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4240" windowHeight="13140" tabRatio="875" firstSheet="10" activeTab="3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1单元-康正" sheetId="76" r:id="rId13"/>
    <sheet name="数据-汇总表" sheetId="6" r:id="rId14"/>
    <sheet name="数据-取费表" sheetId="1" r:id="rId15"/>
    <sheet name="估价对象房地状况" sheetId="20" r:id="rId16"/>
    <sheet name="RX01补充资料" sheetId="68" state="hidden" r:id="rId17"/>
    <sheet name="系统读取表" sheetId="66" r:id="rId18"/>
    <sheet name="结果表" sheetId="9" r:id="rId19"/>
    <sheet name="剩余法-待开发" sheetId="12" r:id="rId20"/>
    <sheet name="剩余法-现房" sheetId="43" state="hidden" r:id="rId21"/>
    <sheet name="比较法-住宅、综合" sheetId="39"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商业" sheetId="15" r:id="rId32"/>
    <sheet name="酒店收入计算" sheetId="57" state="hidden" r:id="rId33"/>
    <sheet name="不动产收益法-办公" sheetId="69" r:id="rId34"/>
    <sheet name="不动产比较法-商业" sheetId="70" r:id="rId35"/>
    <sheet name="不动产比较法-办公" sheetId="71" r:id="rId36"/>
    <sheet name="成本逼近法" sheetId="11" r:id="rId37"/>
    <sheet name="取得费" sheetId="72" r:id="rId38"/>
    <sheet name="开发费" sheetId="73" r:id="rId39"/>
    <sheet name="不动产比较法-住宅" sheetId="21"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昝岗成本参考" sheetId="77" r:id="rId46"/>
  </sheets>
  <externalReferences>
    <externalReference r:id="rId47"/>
    <externalReference r:id="rId48"/>
    <externalReference r:id="rId49"/>
    <externalReference r:id="rId50"/>
  </externalReferences>
  <definedNames>
    <definedName name="_xlnm._FilterDatabase" localSheetId="22" hidden="1">'比较法-工业'!$A$1:$L$45</definedName>
    <definedName name="_xlnm._FilterDatabase" localSheetId="21" hidden="1">'比较法-住宅、综合'!$A$1:$L$50</definedName>
    <definedName name="_xlnm._FilterDatabase" localSheetId="35"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4" hidden="1">'不动产比较法-商业'!$A$1:$L$49</definedName>
    <definedName name="_xlnm._FilterDatabase" localSheetId="3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2">#REF!</definedName>
    <definedName name="办公层高" localSheetId="16">'[1]比较法-办公'!$B$119:$M$119</definedName>
    <definedName name="办公层高">#REF!</definedName>
    <definedName name="办公朝向" localSheetId="12">#REF!</definedName>
    <definedName name="办公朝向" localSheetId="16">'[1]比较法-办公'!$B$91:$M$91</definedName>
    <definedName name="办公朝向">#REF!</definedName>
    <definedName name="办公道路级别" localSheetId="12">#REF!</definedName>
    <definedName name="办公道路级别" localSheetId="16">'[1]比较法-办公'!$B$87:$M$87</definedName>
    <definedName name="办公道路级别">#REF!</definedName>
    <definedName name="办公公共部分装修" localSheetId="12">#REF!</definedName>
    <definedName name="办公公共部分装修" localSheetId="16">'[1]比较法-办公'!$B$108:$M$108</definedName>
    <definedName name="办公公共部分装修">#REF!</definedName>
    <definedName name="办公基础设施水平" localSheetId="12">#REF!</definedName>
    <definedName name="办公基础设施水平" localSheetId="16">'[1]比较法-办公'!$B$117:$M$117</definedName>
    <definedName name="办公基础设施水平">#REF!</definedName>
    <definedName name="办公集聚程度" localSheetId="12">[2]定义!$M$1:$M$6</definedName>
    <definedName name="办公集聚程度" localSheetId="16">[1]定义!$M$1:$M$6</definedName>
    <definedName name="办公集聚程度">定义!$M$1:$M$6</definedName>
    <definedName name="办公建筑结构" localSheetId="12">#REF!</definedName>
    <definedName name="办公建筑结构" localSheetId="16">'[1]比较法-办公'!$B$106:$M$106</definedName>
    <definedName name="办公建筑结构">#REF!</definedName>
    <definedName name="办公建筑类型" localSheetId="12">#REF!</definedName>
    <definedName name="办公建筑类型" localSheetId="16">'[1]比较法-办公'!$B$101:$M$101</definedName>
    <definedName name="办公建筑类型">#REF!</definedName>
    <definedName name="办公交易情况" localSheetId="12">#REF!</definedName>
    <definedName name="办公交易情况" localSheetId="16">'[1]比较法-办公'!$A$62:$M$62</definedName>
    <definedName name="办公交易情况">#REF!</definedName>
    <definedName name="办公楼层" localSheetId="12">#REF!</definedName>
    <definedName name="办公楼层" localSheetId="16">'[1]比较法-办公'!$B$89:$M$89</definedName>
    <definedName name="办公楼层">#REF!</definedName>
    <definedName name="办公内部装修" localSheetId="12">#REF!</definedName>
    <definedName name="办公内部装修" localSheetId="16">'[1]比较法-办公'!$B$123:$M$123</definedName>
    <definedName name="办公内部装修">#REF!</definedName>
    <definedName name="办公物业管理" localSheetId="12">#REF!</definedName>
    <definedName name="办公物业管理" localSheetId="16">'[1]比较法-办公'!$B$115:$M$115</definedName>
    <definedName name="办公物业管理">#REF!</definedName>
    <definedName name="办公用途" localSheetId="12">#REF!</definedName>
    <definedName name="办公用途" localSheetId="16">'[1]比较法-办公'!$B$64:$M$64</definedName>
    <definedName name="办公用途">#REF!</definedName>
    <definedName name="仓储公共部分装修" localSheetId="12">'[2]不动产比较法-仓储'!$B$77:$M$77</definedName>
    <definedName name="仓储公共部分装修" localSheetId="16">'[1]比较法-仓储'!$B$77:$M$77</definedName>
    <definedName name="仓储公共部分装修">'不动产比较法-仓储'!$B$77:$M$77</definedName>
    <definedName name="仓储交易情况" localSheetId="12">'[2]不动产比较法-仓储'!$A$49:$M$49</definedName>
    <definedName name="仓储交易情况" localSheetId="16">'[1]比较法-仓储'!$A$49:$M$49</definedName>
    <definedName name="仓储交易情况">'不动产比较法-仓储'!$A$49:$M$49</definedName>
    <definedName name="仓储楼层" localSheetId="12">'[2]不动产比较法-仓储'!$B$69:$M$69</definedName>
    <definedName name="仓储楼层" localSheetId="16">'[1]比较法-仓储'!$B$69:$M$69</definedName>
    <definedName name="仓储楼层">'不动产比较法-仓储'!$B$69:$M$69</definedName>
    <definedName name="仓储物业等级" localSheetId="12">'[2]不动产比较法-仓储'!$B$82:$M$82</definedName>
    <definedName name="仓储物业等级" localSheetId="16">'[1]比较法-仓储'!$B$82:$M$82</definedName>
    <definedName name="仓储物业等级">'不动产比较法-仓储'!$B$82:$M$82</definedName>
    <definedName name="仓储用途" localSheetId="12">'[2]不动产比较法-仓储'!$B$51:$M$51</definedName>
    <definedName name="仓储用途" localSheetId="16">'[1]比较法-仓储'!$B$51:$M$51</definedName>
    <definedName name="仓储用途">'不动产比较法-仓储'!$B$51:$M$51</definedName>
    <definedName name="产业集聚程度" localSheetId="12">[2]定义!$N$1:$N$6</definedName>
    <definedName name="产业集聚程度" localSheetId="16">[1]定义!$N$1:$N$6</definedName>
    <definedName name="产业集聚程度">定义!$N$1:$N$6</definedName>
    <definedName name="车位公共部分装修" localSheetId="12">'[2]不动产比较法-车位'!$B$83:$M$83</definedName>
    <definedName name="车位公共部分装修" localSheetId="16">'[1]比较法-车位'!$B$83:$M$83</definedName>
    <definedName name="车位公共部分装修">'不动产比较法-车位'!$B$83:$M$83</definedName>
    <definedName name="车位交易情况" localSheetId="12">'[2]不动产比较法-车位'!$A$51:$M$51</definedName>
    <definedName name="车位交易情况" localSheetId="16">'[1]比较法-车位'!$A$51:$M$51</definedName>
    <definedName name="车位交易情况">'不动产比较法-车位'!$A$51:$M$51</definedName>
    <definedName name="车位类型" localSheetId="12">'[2]不动产比较法-车位'!$B$93:$M$93</definedName>
    <definedName name="车位类型" localSheetId="16">'[1]比较法-车位'!$B$93:$M$93</definedName>
    <definedName name="车位类型">'不动产比较法-车位'!$B$93:$M$93</definedName>
    <definedName name="车位楼层" localSheetId="12">'[2]不动产比较法-车位'!$B$71:$M$71</definedName>
    <definedName name="车位楼层" localSheetId="16">'[1]比较法-车位'!$B$71:$M$71</definedName>
    <definedName name="车位楼层">'不动产比较法-车位'!$B$71:$M$71</definedName>
    <definedName name="车位配套类型" localSheetId="12">'[2]不动产比较法-车位'!$B$79:$M$79</definedName>
    <definedName name="车位配套类型" localSheetId="16">'[1]比较法-车位'!$B$79:$M$79</definedName>
    <definedName name="车位配套类型">'不动产比较法-车位'!$B$79:$M$79</definedName>
    <definedName name="车位物业等级" localSheetId="12">'[2]不动产比较法-车位'!$B$88:$M$88</definedName>
    <definedName name="车位物业等级" localSheetId="16">'[1]比较法-车位'!$B$88:$M$88</definedName>
    <definedName name="车位物业等级">'不动产比较法-车位'!$B$88:$M$88</definedName>
    <definedName name="车位用途" localSheetId="12">'[2]不动产比较法-车位'!$B$53:$M$53</definedName>
    <definedName name="车位用途" localSheetId="16">'[1]比较法-车位'!$B$53:$M$53</definedName>
    <definedName name="车位用途">'不动产比较法-车位'!$B$53:$M$53</definedName>
    <definedName name="城镇土地纳税等级分级范围" localSheetId="12">'[2]数据-取费表'!$A$53:$A$63</definedName>
    <definedName name="城镇土地纳税等级分级范围" localSheetId="16">'[1]数据-取费表'!$A$53:$A$63</definedName>
    <definedName name="城镇土地纳税等级分级范围">'数据-取费表'!$A$53:$A$63</definedName>
    <definedName name="单价内涵" localSheetId="12">[2]定义!$V$1:$V$3</definedName>
    <definedName name="单价内涵" localSheetId="16">[1]定义!$V$1:$V$3</definedName>
    <definedName name="单价内涵">定义!$V$1:$V$3</definedName>
    <definedName name="地类判定" localSheetId="12">[2]定义!$H$1:$H$9</definedName>
    <definedName name="地类判定" localSheetId="16">[1]定义!$H$1:$H$9</definedName>
    <definedName name="地类判定">定义!$H$1:$H$9</definedName>
    <definedName name="二级">区片价!$J$1:$J$20</definedName>
    <definedName name="二级分类" localSheetId="12">[2]修正!$C$17:$C$39</definedName>
    <definedName name="二级分类" localSheetId="16">[1]修正!$C$17:$C$39</definedName>
    <definedName name="二级分类">修正!$C$17:$C$39</definedName>
    <definedName name="法定最高年限" localSheetId="12">[2]定义!$G$2:$G$4</definedName>
    <definedName name="法定最高年限" localSheetId="16">[1]定义!$G$1:$G$4</definedName>
    <definedName name="法定最高年限">定义!$G$2:$G$4</definedName>
    <definedName name="工业公共部分装修" localSheetId="12">'[2]不动产比较法-工业'!$B$95:$M$95</definedName>
    <definedName name="工业公共部分装修" localSheetId="16">'[1]比较法-工业'!$B$95:$M$95</definedName>
    <definedName name="工业公共部分装修">'不动产比较法-工业'!$B$95:$M$95</definedName>
    <definedName name="工业基础设施水平" localSheetId="12">'[2]不动产比较法-工业'!$B$102:$M$102</definedName>
    <definedName name="工业基础设施水平" localSheetId="16">'[1]比较法-工业'!$B$102:$M$102</definedName>
    <definedName name="工业基础设施水平">'不动产比较法-工业'!$B$102:$M$102</definedName>
    <definedName name="工业建筑结构" localSheetId="12">'[2]不动产比较法-工业'!$B$93:$M$93</definedName>
    <definedName name="工业建筑结构" localSheetId="16">'[1]比较法-工业'!$B$93:$M$93</definedName>
    <definedName name="工业建筑结构">'不动产比较法-工业'!$B$93:$M$93</definedName>
    <definedName name="工业建筑类型" localSheetId="12">'[2]不动产比较法-工业'!$B$88:$M$88</definedName>
    <definedName name="工业建筑类型" localSheetId="16">'[1]比较法-工业'!$B$88:$M$88</definedName>
    <definedName name="工业建筑类型">'不动产比较法-工业'!$B$88:$M$88</definedName>
    <definedName name="工业交易情况" localSheetId="12">'[2]不动产比较法-工业'!$A$55:$M$55</definedName>
    <definedName name="工业交易情况" localSheetId="16">'[1]比较法-工业'!$A$55:$M$55</definedName>
    <definedName name="工业交易情况">'不动产比较法-工业'!$A$55:$M$55</definedName>
    <definedName name="工业内部装修" localSheetId="12">'[2]不动产比较法-工业'!$B$104:$M$104</definedName>
    <definedName name="工业内部装修" localSheetId="16">'[1]比较法-工业'!$B$104:$M$104</definedName>
    <definedName name="工业内部装修">'不动产比较法-工业'!$B$104:$M$104</definedName>
    <definedName name="工业物业管理" localSheetId="12">'[2]不动产比较法-工业'!$B$100:$M$100</definedName>
    <definedName name="工业物业管理" localSheetId="16">'[1]比较法-工业'!$B$100:$M$100</definedName>
    <definedName name="工业物业管理">'不动产比较法-工业'!$B$100:$M$100</definedName>
    <definedName name="工业用途" localSheetId="12">'[2]不动产比较法-工业'!$B$57:$M$57</definedName>
    <definedName name="工业用途" localSheetId="16">'[1]比较法-工业'!$B$57:$M$57</definedName>
    <definedName name="工业用途">'不动产比较法-工业'!$B$57:$M$57</definedName>
    <definedName name="公共配套设施" localSheetId="12">[2]定义!$Q$1:$Q$6</definedName>
    <definedName name="公共配套设施" localSheetId="16">[1]定义!$Q$1:$Q$6</definedName>
    <definedName name="公共配套设施">定义!$Q$1:$Q$6</definedName>
    <definedName name="估价方法" localSheetId="12">[2]定义!$B$1:$B$50</definedName>
    <definedName name="估价方法" localSheetId="16">[1]定义!$B$1:$B$50</definedName>
    <definedName name="估价方法">定义!$B$1:$B$50</definedName>
    <definedName name="环境" localSheetId="12">[2]定义!$S$1:$S$6</definedName>
    <definedName name="环境" localSheetId="16">[1]定义!$S$1:$S$6</definedName>
    <definedName name="环境">定义!$S$1:$S$6</definedName>
    <definedName name="基础设施水平" localSheetId="12">[2]定义!$R$1:$R$6</definedName>
    <definedName name="基础设施水平" localSheetId="16">[1]定义!$R$1:$R$6</definedName>
    <definedName name="基础设施水平">定义!$R$1:$R$6</definedName>
    <definedName name="季度">基准地价!$N$19:$AB$19</definedName>
    <definedName name="季度2014">地价!$A$2:$A$30</definedName>
    <definedName name="价值类型2" localSheetId="12">[2]定义!$B$54:$B$56</definedName>
    <definedName name="价值类型2" localSheetId="16">[1]定义!$B$54:$B$56</definedName>
    <definedName name="价值类型2">定义!$B$54:$B$56</definedName>
    <definedName name="交通便捷度" localSheetId="12">[2]定义!$O$1:$O$6</definedName>
    <definedName name="交通便捷度" localSheetId="16">[1]定义!$O$1:$O$6</definedName>
    <definedName name="交通便捷度">定义!$O$1:$O$6</definedName>
    <definedName name="九级">区片价!$Q$1:$Q$46</definedName>
    <definedName name="居住社区成熟度" localSheetId="12">[2]定义!$K$1:$K$6</definedName>
    <definedName name="居住社区成熟度" localSheetId="16">[1]定义!$K$1:$K$6</definedName>
    <definedName name="居住社区成熟度">定义!$K$1:$K$6</definedName>
    <definedName name="类别" localSheetId="12">[2]定义!$J$1:$J$3</definedName>
    <definedName name="类别" localSheetId="16">[1]定义!$J$1:$J$3</definedName>
    <definedName name="类别">定义!$J$1:$J$3</definedName>
    <definedName name="临街状况" localSheetId="12">[2]定义!$T$1:$T$5</definedName>
    <definedName name="临街状况" localSheetId="16">[1]定义!$T$1:$T$5</definedName>
    <definedName name="临街状况">定义!$T$1:$T$5</definedName>
    <definedName name="六级">区片价!$N$1:$N$49</definedName>
    <definedName name="内部装修维护情况" localSheetId="12">[2]定义!$U$1:$U$6</definedName>
    <definedName name="内部装修维护情况" localSheetId="16">[1]定义!$U$1:$U$6</definedName>
    <definedName name="内部装修维护情况">定义!$U$1:$U$6</definedName>
    <definedName name="判定" localSheetId="12">[2]定义!$D$1:$D$4</definedName>
    <definedName name="判定" localSheetId="16">[1]定义!$D$1:$D$4</definedName>
    <definedName name="判定">定义!$D$1:$D$4</definedName>
    <definedName name="七级">区片价!$O$1:$O$49</definedName>
    <definedName name="七通一平" localSheetId="12">[2]修正!$A$6:$A$14</definedName>
    <definedName name="七通一平" localSheetId="16">[1]修正!$A$6:$A$14</definedName>
    <definedName name="七通一平">修正!$A$6:$A$14</definedName>
    <definedName name="区域土地利用方向" localSheetId="12">[2]定义!$P$1:$P$6</definedName>
    <definedName name="区域土地利用方向" localSheetId="16">[1]定义!$P$1:$P$6</definedName>
    <definedName name="区域土地利用方向">定义!$P$1:$P$6</definedName>
    <definedName name="三级">区片价!$K$1:$K$21</definedName>
    <definedName name="商业层高" localSheetId="12">#REF!</definedName>
    <definedName name="商业层高" localSheetId="16">'[1]比较法-商业'!$B$116:$M$116</definedName>
    <definedName name="商业层高">#REF!</definedName>
    <definedName name="商业成新度" localSheetId="12">#REF!</definedName>
    <definedName name="商业成新度">#REF!</definedName>
    <definedName name="商业繁华度" localSheetId="12">[2]定义!$L$1:$L$6</definedName>
    <definedName name="商业繁华度" localSheetId="16">[1]定义!$L$1:$L$6</definedName>
    <definedName name="商业繁华度">定义!$L$1:$L$6</definedName>
    <definedName name="商业公共部分装修" localSheetId="12">#REF!</definedName>
    <definedName name="商业公共部分装修" localSheetId="16">'[1]比较法-商业'!$B$107:$M$107</definedName>
    <definedName name="商业公共部分装修">#REF!</definedName>
    <definedName name="商业基础设施水平" localSheetId="12">#REF!</definedName>
    <definedName name="商业基础设施水平" localSheetId="16">'[1]比较法-商业'!$B$112:$M$112</definedName>
    <definedName name="商业基础设施水平">#REF!</definedName>
    <definedName name="商业建筑结构" localSheetId="12">#REF!</definedName>
    <definedName name="商业建筑结构" localSheetId="16">'[1]比较法-商业'!$B$105:$M$105</definedName>
    <definedName name="商业建筑结构">#REF!</definedName>
    <definedName name="商业交易情况" localSheetId="12">#REF!</definedName>
    <definedName name="商业交易情况" localSheetId="16">'[1]比较法-商业'!$A$61:$M$61</definedName>
    <definedName name="商业交易情况">#REF!</definedName>
    <definedName name="商业街名称" localSheetId="12">[2]修正!$C$59:$C$119</definedName>
    <definedName name="商业街名称" localSheetId="16">[1]修正!$C$59:$C$119</definedName>
    <definedName name="商业街名称">修正!$C$59:$C$119</definedName>
    <definedName name="商业进深比" localSheetId="12">#REF!</definedName>
    <definedName name="商业进深比" localSheetId="16">'[1]比较法-商业'!$B$120:$M$120</definedName>
    <definedName name="商业进深比">#REF!</definedName>
    <definedName name="商业类型" localSheetId="12">#REF!</definedName>
    <definedName name="商业类型" localSheetId="16">'[1]比较法-商业'!$B$100:$M$100</definedName>
    <definedName name="商业类型">#REF!</definedName>
    <definedName name="商业临街状况" localSheetId="12">#REF!</definedName>
    <definedName name="商业临街状况" localSheetId="16">'[1]比较法-商业'!$B$86:$M$86</definedName>
    <definedName name="商业临街状况">#REF!</definedName>
    <definedName name="商业楼层" localSheetId="12">#REF!</definedName>
    <definedName name="商业楼层" localSheetId="16">'[1]比较法-商业'!$B$92:$M$92</definedName>
    <definedName name="商业楼层">#REF!</definedName>
    <definedName name="商业内部装修" localSheetId="12">#REF!</definedName>
    <definedName name="商业内部装修" localSheetId="16">'[1]比较法-商业'!$B$122:$M$122</definedName>
    <definedName name="商业内部装修">#REF!</definedName>
    <definedName name="商业人流量" localSheetId="12">#REF!</definedName>
    <definedName name="商业人流量" localSheetId="16">'[1]比较法-商业'!$B$90:$M$90</definedName>
    <definedName name="商业人流量">#REF!</definedName>
    <definedName name="商业业态" localSheetId="12">#REF!</definedName>
    <definedName name="商业业态" localSheetId="16">'[1]比较法-商业'!$B$114:$M$114</definedName>
    <definedName name="商业业态">#REF!</definedName>
    <definedName name="商业用途" localSheetId="12">#REF!</definedName>
    <definedName name="商业用途" localSheetId="16">'[1]比较法-商业'!$B$63:$M$63</definedName>
    <definedName name="商业用途">#REF!</definedName>
    <definedName name="十二级">区片价!$T$1:$T$8</definedName>
    <definedName name="十级">区片价!$R$1:$R$27</definedName>
    <definedName name="十一级">区片价!$S$1:$S$22</definedName>
    <definedName name="是否封闭" localSheetId="12">'[2]不动产比较法-仓储'!$B$89:$M$89</definedName>
    <definedName name="是否封闭" localSheetId="16">'[1]比较法-仓储'!$B$89:$M$89</definedName>
    <definedName name="是否封闭">'不动产比较法-仓储'!$B$89:$M$89</definedName>
    <definedName name="是否直接入户" localSheetId="12">'[2]不动产比较法-车位'!$B$95:$M$95</definedName>
    <definedName name="是否直接入户" localSheetId="16">'[1]比较法-车位'!$B$95:$M$95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 localSheetId="12">'[2]比较法-工业'!$B$116:$M$116</definedName>
    <definedName name="套工工程地质条件">'比较法-工业'!$B$116:$M$116</definedName>
    <definedName name="套工交易情况" localSheetId="12">'[2]比较法-住宅、综合'!$A$75:$M$75</definedName>
    <definedName name="套工交易情况" localSheetId="16">'[1]土地比较法-住宅、综合'!$A$73:$M$73</definedName>
    <definedName name="套工交易情况">'比较法-住宅、综合'!$A$75:$M$75</definedName>
    <definedName name="套工开发程度" localSheetId="12">'[2]比较法-工业'!$B$114:$M$114</definedName>
    <definedName name="套工开发程度">'比较法-工业'!$B$114:$M$114</definedName>
    <definedName name="套工临街等级" localSheetId="12">'[2]比较法-工业'!$B$99:$M$99</definedName>
    <definedName name="套工临街等级">'比较法-工业'!$B$99:$M$99</definedName>
    <definedName name="套工土地级别" localSheetId="12">'[2]比较法-工业'!$B$101:$M$101</definedName>
    <definedName name="套工土地级别" localSheetId="16">'[1]土地比较法-工业'!$B$99:$M$99</definedName>
    <definedName name="套工土地级别">'比较法-工业'!$B$101:$M$101</definedName>
    <definedName name="套工用途" localSheetId="12">'[2]比较法-工业'!$B$72:$M$72</definedName>
    <definedName name="套工用途" localSheetId="16">'[1]土地比较法-工业'!$B$70:$M$70</definedName>
    <definedName name="套工用途">'比较法-工业'!$B$72:$M$72</definedName>
    <definedName name="套工宗地开发程度">'[1]土地比较法-工业'!$B$112:$M$112</definedName>
    <definedName name="套工宗地形状" localSheetId="12">'[2]比较法-工业'!$B$112:$M$112</definedName>
    <definedName name="套工宗地形状" localSheetId="16">'[1]土地比较法-工业'!$B$110:$M$110</definedName>
    <definedName name="套工宗地形状">'比较法-工业'!$B$112:$M$112</definedName>
    <definedName name="套综道路等级" localSheetId="12">'[2]比较法-住宅、综合'!$B$108:$M$108</definedName>
    <definedName name="套综道路等级" localSheetId="16">'[1]土地比较法-住宅、综合'!$B$106:$M$106</definedName>
    <definedName name="套综道路等级">'比较法-住宅、综合'!$B$108:$M$108</definedName>
    <definedName name="套综工程地质条件" localSheetId="12">'[2]比较法-住宅、综合'!$B$127:$M$127</definedName>
    <definedName name="套综工程地质条件" localSheetId="16">'[1]土地比较法-住宅、综合'!$B$125:$M$125</definedName>
    <definedName name="套综工程地质条件">'比较法-住宅、综合'!$B$127:$M$127</definedName>
    <definedName name="套综交易情况" localSheetId="12">'[2]比较法-住宅、综合'!$A$75:$M$75</definedName>
    <definedName name="套综交易情况" localSheetId="16">'[1]土地比较法-住宅、综合'!$A$73:$M$73</definedName>
    <definedName name="套综交易情况">'比较法-住宅、综合'!$A$75:$M$75</definedName>
    <definedName name="套综临街宽度及深度" localSheetId="12">'[2]比较法-住宅、综合'!$B$123:$M$123</definedName>
    <definedName name="套综临街宽度及深度" localSheetId="16">'[1]土地比较法-住宅、综合'!$B$121:$M$121</definedName>
    <definedName name="套综临街宽度及深度">'比较法-住宅、综合'!$B$123:$M$123</definedName>
    <definedName name="套综土地级别" localSheetId="12">'[2]比较法-住宅、综合'!$B$110:$M$110</definedName>
    <definedName name="套综土地级别" localSheetId="16">'[1]土地比较法-住宅、综合'!$B$108:$M$108</definedName>
    <definedName name="套综土地级别">'比较法-住宅、综合'!$B$110:$M$110</definedName>
    <definedName name="套综用途" localSheetId="12">'[2]比较法-住宅、综合'!$B$77:$M$77</definedName>
    <definedName name="套综用途" localSheetId="16">'[1]土地比较法-住宅、综合'!$B$75:$M$75</definedName>
    <definedName name="套综用途">'比较法-住宅、综合'!$B$77:$M$77</definedName>
    <definedName name="套综宗地内开发程度" localSheetId="12">'[2]比较法-住宅、综合'!$B$125:$M$125</definedName>
    <definedName name="套综宗地内开发程度" localSheetId="16">'[1]土地比较法-住宅、综合'!$B$123:$M$123</definedName>
    <definedName name="套综宗地内开发程度">'比较法-住宅、综合'!$B$125:$M$125</definedName>
    <definedName name="套综宗地形状" localSheetId="12">'[2]比较法-住宅、综合'!$B$121:$M$121</definedName>
    <definedName name="套综宗地形状" localSheetId="16">'[1]土地比较法-住宅、综合'!$B$119:$M$119</definedName>
    <definedName name="套综宗地形状">'比较法-住宅、综合'!$B$121:$M$121</definedName>
    <definedName name="土地估价师" localSheetId="12">[2]估价师及机构信息!$D$3:$D$24</definedName>
    <definedName name="土地估价师">估价师及机构信息!$D$3:$D$24</definedName>
    <definedName name="土地级别" localSheetId="12">[2]定义!$C$1:$C$14</definedName>
    <definedName name="土地级别" localSheetId="16">[1]定义!$C$1:$C$14</definedName>
    <definedName name="土地级别">定义!$C$1:$C$14</definedName>
    <definedName name="土地利用方向">定义!$P$1:$P$6</definedName>
    <definedName name="土地年限区间" localSheetId="12">[2]定义!$I$1:$I$8</definedName>
    <definedName name="土地年限区间" localSheetId="16">[1]定义!$I$1:$I$8</definedName>
    <definedName name="土地年限区间">定义!$I$1:$I$8</definedName>
    <definedName name="位置" localSheetId="12">[2]定义!$E$2:$E$4</definedName>
    <definedName name="位置" localSheetId="16">[1]定义!$E$2:$E$4</definedName>
    <definedName name="位置">定义!$E$2:$E$4</definedName>
    <definedName name="五等判定" localSheetId="12">[2]定义!$W$1:$W$6</definedName>
    <definedName name="五等判定" localSheetId="16">[1]定义!$W$1:$W$6</definedName>
    <definedName name="五等判定">定义!$W$1:$W$6</definedName>
    <definedName name="五级">区片价!$M$1:$M$35</definedName>
    <definedName name="项目类型" localSheetId="12">'[2]数据-汇总表'!$C$17:$C$26</definedName>
    <definedName name="项目类型" localSheetId="16">'[1]数据-汇总表'!$C$17:$C$26</definedName>
    <definedName name="项目类型">'数据-汇总表'!$C$17:$C$26</definedName>
    <definedName name="写字楼等级" localSheetId="12">#REF!</definedName>
    <definedName name="写字楼等级" localSheetId="16">'[1]比较法-办公'!$B$113:$M$113</definedName>
    <definedName name="写字楼等级">#REF!</definedName>
    <definedName name="一级">区片价!$I$1:$I$6</definedName>
    <definedName name="一修多修正项2" localSheetId="12">[2]典型户型修正!$5:$5</definedName>
    <definedName name="一修多修正项2" localSheetId="16">[1]典型户型修正!$5:$5</definedName>
    <definedName name="一修多修正项2">典型户型修正!$5:$5</definedName>
    <definedName name="一修多修正项3" localSheetId="12">[2]典型户型修正!$7:$7</definedName>
    <definedName name="一修多修正项3" localSheetId="16">[1]典型户型修正!$7:$7</definedName>
    <definedName name="一修多修正项3">典型户型修正!$7:$7</definedName>
    <definedName name="一修多修正项4" localSheetId="12">[2]典型户型修正!$9:$9</definedName>
    <definedName name="一修多修正项4" localSheetId="16">[1]典型户型修正!$9:$9</definedName>
    <definedName name="一修多修正项4">典型户型修正!$9:$9</definedName>
    <definedName name="一修多修正项5" localSheetId="12">[2]典型户型修正!$11:$11</definedName>
    <definedName name="一修多修正项5" localSheetId="16">[1]典型户型修正!$11:$11</definedName>
    <definedName name="一修多修正项5">典型户型修正!$11:$11</definedName>
    <definedName name="一修多修正项6" localSheetId="12">[2]典型户型修正!$13:$13</definedName>
    <definedName name="一修多修正项6" localSheetId="16">[1]典型户型修正!$13:$13</definedName>
    <definedName name="一修多修正项6">典型户型修正!$13:$13</definedName>
    <definedName name="一修多修正项7" localSheetId="12">[2]典型户型修正!$15:$15</definedName>
    <definedName name="一修多修正项7" localSheetId="16">[1]典型户型修正!$15:$15</definedName>
    <definedName name="一修多修正项7">典型户型修正!$15:$15</definedName>
    <definedName name="一修多修正项8" localSheetId="12">[2]典型户型修正!$17:$17</definedName>
    <definedName name="一修多修正项8" localSheetId="16">[1]典型户型修正!$17:$17</definedName>
    <definedName name="一修多修正项8">典型户型修正!$17:$17</definedName>
    <definedName name="用途类型" localSheetId="12">[2]定义!$A$1:$A$50</definedName>
    <definedName name="用途类型">定义!$A$1:$A$50</definedName>
    <definedName name="用途明细">[1]定义!$A$1:$A$50</definedName>
    <definedName name="有无电梯" localSheetId="12">'[2]不动产比较法-仓储'!$B$84:$M$84</definedName>
    <definedName name="有无电梯" localSheetId="16">'[1]比较法-仓储'!$B$84:$M$84</definedName>
    <definedName name="有无电梯">'不动产比较法-仓储'!$B$84:$M$84</definedName>
    <definedName name="主用途" localSheetId="12">[2]定义!$F$1:$F$10</definedName>
    <definedName name="主用途" localSheetId="16">[1]定义!$F$1:$F$10</definedName>
    <definedName name="主用途">定义!$F$1:$F$10</definedName>
    <definedName name="住宅朝向" localSheetId="12">'[2]不动产比较法-住宅'!$B$88:$M$88</definedName>
    <definedName name="住宅朝向" localSheetId="16">'[1]比较法-住宅'!$B$88:$M$88</definedName>
    <definedName name="住宅朝向">'不动产比较法-住宅'!$B$88:$M$88</definedName>
    <definedName name="住宅房型" localSheetId="12">'[2]不动产比较法-住宅'!$B$118:$M$118</definedName>
    <definedName name="住宅房型" localSheetId="16">'[1]比较法-住宅'!$B$118:$M$118</definedName>
    <definedName name="住宅房型">'不动产比较法-住宅'!$B$118:$M$118</definedName>
    <definedName name="住宅公共部分装修" localSheetId="12">'[2]不动产比较法-住宅'!$B$109:$M$109</definedName>
    <definedName name="住宅公共部分装修" localSheetId="16">'[1]比较法-住宅'!$B$109:$M$109</definedName>
    <definedName name="住宅公共部分装修">'不动产比较法-住宅'!$B$109:$M$109</definedName>
    <definedName name="住宅基础设施水平" localSheetId="12">'[2]不动产比较法-住宅'!$B$116:$M$116</definedName>
    <definedName name="住宅基础设施水平" localSheetId="16">'[1]比较法-住宅'!$B$116:$M$116</definedName>
    <definedName name="住宅基础设施水平">'不动产比较法-住宅'!$B$116:$M$116</definedName>
    <definedName name="住宅建筑结构" localSheetId="12">'[2]不动产比较法-住宅'!$B$105:$M$105</definedName>
    <definedName name="住宅建筑结构" localSheetId="16">'[1]比较法-住宅'!$B$105:$M$105</definedName>
    <definedName name="住宅建筑结构">'不动产比较法-住宅'!$B$105:$M$105</definedName>
    <definedName name="住宅建筑类型" localSheetId="12">'[2]不动产比较法-住宅'!$B$100:$M$100</definedName>
    <definedName name="住宅建筑类型" localSheetId="16">'[1]比较法-住宅'!$B$100:$M$100</definedName>
    <definedName name="住宅建筑类型">'不动产比较法-住宅'!$B$100:$M$100</definedName>
    <definedName name="住宅建筑品质" localSheetId="12">'[2]不动产比较法-住宅'!$B$107:$M$107</definedName>
    <definedName name="住宅建筑品质" localSheetId="16">'[1]比较法-住宅'!$B$107:$M$107</definedName>
    <definedName name="住宅建筑品质">'不动产比较法-住宅'!$B$107:$M$107</definedName>
    <definedName name="住宅交易情况" localSheetId="12">'[2]不动产比较法-住宅'!$A$61:$M$61</definedName>
    <definedName name="住宅交易情况" localSheetId="16">'[1]比较法-住宅'!$A$61:$M$61</definedName>
    <definedName name="住宅交易情况">'不动产比较法-住宅'!$A$61:$M$61</definedName>
    <definedName name="住宅楼层" localSheetId="12">'[2]不动产比较法-住宅'!$B$86:$M$86</definedName>
    <definedName name="住宅楼层" localSheetId="16">'[1]比较法-住宅'!$B$86:$M$86</definedName>
    <definedName name="住宅楼层">'不动产比较法-住宅'!$B$86:$M$86</definedName>
    <definedName name="住宅内部装修" localSheetId="12">'[2]不动产比较法-住宅'!$B$122:$M$122</definedName>
    <definedName name="住宅内部装修" localSheetId="16">'[1]比较法-住宅'!$B$122:$M$122</definedName>
    <definedName name="住宅内部装修">'不动产比较法-住宅'!$B$122:$M$122</definedName>
    <definedName name="住宅物业管理" localSheetId="12">'[2]不动产比较法-住宅'!$B$114:$M$114</definedName>
    <definedName name="住宅物业管理" localSheetId="16">'[1]比较法-住宅'!$B$114:$M$114</definedName>
    <definedName name="住宅物业管理">'不动产比较法-住宅'!$B$114:$M$114</definedName>
    <definedName name="住宅用途" localSheetId="12">'[2]不动产比较法-住宅'!$B$63:$M$63</definedName>
    <definedName name="住宅用途" localSheetId="16">'[1]比较法-住宅'!$B$63:$M$63</definedName>
    <definedName name="住宅用途">'不动产比较法-住宅'!$B$63:$M$63</definedName>
    <definedName name="住宅主力户型面积">'不动产比较法-住宅'!$B$120:$M$120</definedName>
    <definedName name="注册房地产估价师" localSheetId="16">[1]估价师及机构信息!$A$3:$A$24</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6" i="11" l="1"/>
  <c r="C15" i="11"/>
  <c r="F26" i="73"/>
  <c r="F25" i="73"/>
  <c r="F19" i="73"/>
  <c r="F7" i="73"/>
  <c r="C8" i="11"/>
  <c r="N4" i="72"/>
  <c r="K13" i="3"/>
  <c r="I13" i="3"/>
  <c r="A3" i="3"/>
  <c r="G8" i="76"/>
  <c r="G9" i="76"/>
  <c r="G7" i="76"/>
  <c r="D5" i="76" l="1"/>
  <c r="D4" i="76" s="1"/>
  <c r="D6" i="76"/>
  <c r="D7" i="76"/>
  <c r="D8" i="76"/>
  <c r="D9" i="76"/>
  <c r="D10" i="76"/>
  <c r="D11" i="76"/>
  <c r="D12" i="76"/>
  <c r="D13" i="76"/>
  <c r="D14" i="76"/>
  <c r="F24" i="73" l="1"/>
  <c r="I36" i="72"/>
  <c r="I35" i="72"/>
  <c r="J34" i="72"/>
  <c r="I34" i="72"/>
  <c r="I33" i="72" s="1"/>
  <c r="G32" i="72"/>
  <c r="I32" i="72" s="1"/>
  <c r="G31" i="72"/>
  <c r="I31" i="72" s="1"/>
  <c r="G30" i="72"/>
  <c r="I30" i="72" s="1"/>
  <c r="I29" i="72" s="1"/>
  <c r="I28" i="72"/>
  <c r="G27" i="72"/>
  <c r="I27" i="72" s="1"/>
  <c r="I26" i="72"/>
  <c r="G25" i="72"/>
  <c r="I25" i="72" s="1"/>
  <c r="I24" i="72"/>
  <c r="I23" i="72"/>
  <c r="G23" i="72"/>
  <c r="E21" i="72"/>
  <c r="I21" i="72" s="1"/>
  <c r="G20" i="72"/>
  <c r="E20" i="72"/>
  <c r="I20" i="72" s="1"/>
  <c r="G19" i="72"/>
  <c r="I19" i="72" s="1"/>
  <c r="I18" i="72"/>
  <c r="G18" i="72"/>
  <c r="G17" i="72"/>
  <c r="I17" i="72" s="1"/>
  <c r="G16" i="72"/>
  <c r="I16" i="72" s="1"/>
  <c r="G14" i="72"/>
  <c r="I14" i="72" s="1"/>
  <c r="I12" i="72"/>
  <c r="I11" i="72"/>
  <c r="G10" i="72"/>
  <c r="I10" i="72" s="1"/>
  <c r="G9" i="72"/>
  <c r="I9" i="72" s="1"/>
  <c r="G8" i="72"/>
  <c r="I8" i="72" s="1"/>
  <c r="G7" i="72"/>
  <c r="I7" i="72" s="1"/>
  <c r="I6" i="72"/>
  <c r="I5" i="72" s="1"/>
  <c r="G6" i="72"/>
  <c r="L33" i="72" l="1"/>
  <c r="K33" i="72"/>
  <c r="J33" i="72" s="1"/>
  <c r="I15" i="72"/>
  <c r="I13" i="72" s="1"/>
  <c r="L29" i="72"/>
  <c r="K29" i="72"/>
  <c r="J29" i="72" s="1"/>
  <c r="L5" i="72"/>
  <c r="K5" i="72"/>
  <c r="J5" i="72" s="1"/>
  <c r="I22" i="72"/>
  <c r="L13" i="72" l="1"/>
  <c r="K13" i="72"/>
  <c r="J13" i="72" s="1"/>
  <c r="I4" i="72"/>
  <c r="L22" i="72"/>
  <c r="K22" i="72"/>
  <c r="J22" i="72" s="1"/>
  <c r="I38" i="72" l="1"/>
  <c r="L4" i="72"/>
  <c r="M33" i="72" s="1"/>
  <c r="I37" i="72"/>
  <c r="M4" i="72"/>
  <c r="K4" i="72"/>
  <c r="J4" i="72" s="1"/>
  <c r="L37" i="72" l="1"/>
  <c r="K37" i="72"/>
  <c r="L38" i="72"/>
  <c r="K38" i="72"/>
  <c r="I39" i="72"/>
  <c r="J38" i="72" l="1"/>
  <c r="L39" i="72"/>
  <c r="K39" i="72"/>
  <c r="I40" i="72"/>
  <c r="J37" i="72"/>
  <c r="J39" i="72" l="1"/>
  <c r="K40" i="72"/>
  <c r="L40" i="72"/>
  <c r="I41" i="72"/>
  <c r="L41" i="72" l="1"/>
  <c r="K41" i="72"/>
  <c r="J40" i="72"/>
  <c r="J41" i="72" l="1"/>
  <c r="J11" i="68"/>
  <c r="B131" i="71" l="1"/>
  <c r="F47" i="71" s="1"/>
  <c r="B129" i="71"/>
  <c r="J46" i="71" s="1"/>
  <c r="AC46" i="71" s="1"/>
  <c r="B127" i="71"/>
  <c r="D126" i="71"/>
  <c r="E126" i="71" s="1"/>
  <c r="F126" i="71" s="1"/>
  <c r="G126" i="71" s="1"/>
  <c r="D124" i="71"/>
  <c r="E124" i="71" s="1"/>
  <c r="F124" i="71" s="1"/>
  <c r="G124" i="71" s="1"/>
  <c r="H124" i="71" s="1"/>
  <c r="I124" i="71" s="1"/>
  <c r="J124" i="71" s="1"/>
  <c r="K124" i="71" s="1"/>
  <c r="L124" i="71" s="1"/>
  <c r="M124" i="71" s="1"/>
  <c r="D120" i="71"/>
  <c r="D118" i="71"/>
  <c r="E118" i="71" s="1"/>
  <c r="F118" i="71" s="1"/>
  <c r="G118" i="71" s="1"/>
  <c r="D116" i="71"/>
  <c r="E116" i="71" s="1"/>
  <c r="F116" i="71" s="1"/>
  <c r="G116" i="71" s="1"/>
  <c r="H116" i="71" s="1"/>
  <c r="I116" i="71" s="1"/>
  <c r="J116" i="71" s="1"/>
  <c r="K116" i="71" s="1"/>
  <c r="L116" i="71" s="1"/>
  <c r="M116" i="71" s="1"/>
  <c r="D114" i="71"/>
  <c r="E114" i="71" s="1"/>
  <c r="F114" i="71" s="1"/>
  <c r="G114" i="71" s="1"/>
  <c r="H114" i="71" s="1"/>
  <c r="I114" i="71" s="1"/>
  <c r="J114" i="71" s="1"/>
  <c r="K114" i="71" s="1"/>
  <c r="L114" i="71" s="1"/>
  <c r="M114" i="71" s="1"/>
  <c r="D112" i="71"/>
  <c r="E112" i="71" s="1"/>
  <c r="F112" i="71" s="1"/>
  <c r="G110" i="71"/>
  <c r="F110" i="71"/>
  <c r="E110" i="71"/>
  <c r="D110" i="71"/>
  <c r="C110" i="71"/>
  <c r="D109" i="71"/>
  <c r="F36" i="71" s="1"/>
  <c r="D107" i="71"/>
  <c r="E107" i="71" s="1"/>
  <c r="F107" i="71" s="1"/>
  <c r="G107" i="71" s="1"/>
  <c r="H107" i="71" s="1"/>
  <c r="I107" i="71" s="1"/>
  <c r="J107" i="71" s="1"/>
  <c r="K107" i="71" s="1"/>
  <c r="L107" i="71" s="1"/>
  <c r="M107" i="71" s="1"/>
  <c r="M103" i="71"/>
  <c r="L103" i="71"/>
  <c r="K103" i="71"/>
  <c r="J103" i="71"/>
  <c r="I103" i="71"/>
  <c r="H103" i="71"/>
  <c r="G103" i="71"/>
  <c r="F103" i="71"/>
  <c r="E103" i="71"/>
  <c r="D103" i="71"/>
  <c r="C103" i="71"/>
  <c r="D102" i="71"/>
  <c r="E102" i="71" s="1"/>
  <c r="F102" i="71" s="1"/>
  <c r="G102" i="71" s="1"/>
  <c r="H102" i="71" s="1"/>
  <c r="I102" i="71" s="1"/>
  <c r="J102" i="71" s="1"/>
  <c r="K102" i="71" s="1"/>
  <c r="L102" i="71" s="1"/>
  <c r="M102" i="71" s="1"/>
  <c r="B99" i="71"/>
  <c r="B97" i="71"/>
  <c r="B95" i="71"/>
  <c r="B93" i="71"/>
  <c r="F29" i="71" s="1"/>
  <c r="E92" i="71"/>
  <c r="F92" i="71" s="1"/>
  <c r="G92" i="71" s="1"/>
  <c r="H92" i="71" s="1"/>
  <c r="I92" i="71" s="1"/>
  <c r="J92" i="71" s="1"/>
  <c r="K92" i="71" s="1"/>
  <c r="L92" i="71" s="1"/>
  <c r="M92" i="71" s="1"/>
  <c r="D92" i="71"/>
  <c r="B91" i="71"/>
  <c r="F28" i="71" s="1"/>
  <c r="S28" i="71" s="1"/>
  <c r="D90" i="71"/>
  <c r="E90" i="71" s="1"/>
  <c r="F90" i="71" s="1"/>
  <c r="G90" i="71" s="1"/>
  <c r="H90" i="71" s="1"/>
  <c r="I90" i="71" s="1"/>
  <c r="J90" i="71" s="1"/>
  <c r="K90" i="71" s="1"/>
  <c r="L90" i="71" s="1"/>
  <c r="M90" i="71" s="1"/>
  <c r="B89" i="71"/>
  <c r="J27" i="71" s="1"/>
  <c r="AC27" i="71" s="1"/>
  <c r="D88" i="71"/>
  <c r="E88" i="71" s="1"/>
  <c r="F88" i="71" s="1"/>
  <c r="G88" i="71" s="1"/>
  <c r="H88" i="71" s="1"/>
  <c r="I88" i="71" s="1"/>
  <c r="J88" i="71" s="1"/>
  <c r="K88" i="71" s="1"/>
  <c r="L88" i="71" s="1"/>
  <c r="M88" i="71" s="1"/>
  <c r="D86" i="71"/>
  <c r="D84" i="71"/>
  <c r="E84" i="71" s="1"/>
  <c r="F84" i="71" s="1"/>
  <c r="G84" i="71" s="1"/>
  <c r="D82" i="71"/>
  <c r="D80" i="71"/>
  <c r="E80" i="71" s="1"/>
  <c r="F80" i="71" s="1"/>
  <c r="G80" i="71" s="1"/>
  <c r="D78" i="71"/>
  <c r="H15" i="71" s="1"/>
  <c r="B75" i="71"/>
  <c r="B73" i="71"/>
  <c r="J13" i="71" s="1"/>
  <c r="W13" i="71" s="1"/>
  <c r="B71" i="71"/>
  <c r="H12" i="71" s="1"/>
  <c r="E70" i="71"/>
  <c r="F70" i="71" s="1"/>
  <c r="G70" i="71" s="1"/>
  <c r="H70" i="71" s="1"/>
  <c r="I70" i="71" s="1"/>
  <c r="J70" i="71" s="1"/>
  <c r="K70" i="71" s="1"/>
  <c r="L70" i="71" s="1"/>
  <c r="M70" i="71" s="1"/>
  <c r="D70" i="71"/>
  <c r="M68" i="71"/>
  <c r="L68" i="71"/>
  <c r="K68" i="71"/>
  <c r="J68" i="71"/>
  <c r="I68" i="71"/>
  <c r="H68" i="71"/>
  <c r="G68" i="71"/>
  <c r="F68" i="71"/>
  <c r="E68" i="71"/>
  <c r="D68" i="71"/>
  <c r="C68" i="71"/>
  <c r="F67" i="71"/>
  <c r="G67" i="71" s="1"/>
  <c r="H67" i="71" s="1"/>
  <c r="I67" i="71" s="1"/>
  <c r="C64" i="71"/>
  <c r="J9" i="71" s="1"/>
  <c r="P50" i="71"/>
  <c r="P49" i="71"/>
  <c r="P48" i="71"/>
  <c r="I48" i="71"/>
  <c r="G48" i="71"/>
  <c r="T48" i="71" s="1"/>
  <c r="E48" i="71"/>
  <c r="R48" i="71" s="1"/>
  <c r="Q47" i="71"/>
  <c r="Z47" i="71" s="1"/>
  <c r="H47" i="71"/>
  <c r="U47" i="71" s="1"/>
  <c r="Q46" i="71"/>
  <c r="Z46" i="71" s="1"/>
  <c r="Q45" i="71"/>
  <c r="Z45" i="71" s="1"/>
  <c r="J45" i="71"/>
  <c r="AC45" i="71" s="1"/>
  <c r="Q44" i="71"/>
  <c r="Z44" i="71" s="1"/>
  <c r="J44" i="71"/>
  <c r="W44" i="71" s="1"/>
  <c r="H44" i="71"/>
  <c r="U44" i="71" s="1"/>
  <c r="F44" i="71"/>
  <c r="AA44" i="71" s="1"/>
  <c r="Q43" i="71"/>
  <c r="Z43" i="71" s="1"/>
  <c r="J43" i="71"/>
  <c r="AC43" i="71" s="1"/>
  <c r="H43" i="71"/>
  <c r="U43" i="71" s="1"/>
  <c r="F43" i="71"/>
  <c r="S43" i="71" s="1"/>
  <c r="Z42" i="71"/>
  <c r="Q42" i="71"/>
  <c r="J42" i="71"/>
  <c r="AC42" i="71" s="1"/>
  <c r="H42" i="71"/>
  <c r="AB42" i="71" s="1"/>
  <c r="F42" i="71"/>
  <c r="S42" i="71" s="1"/>
  <c r="Q41" i="71"/>
  <c r="Z41" i="71" s="1"/>
  <c r="AC40" i="71"/>
  <c r="Q40" i="71"/>
  <c r="Z40" i="71" s="1"/>
  <c r="J40" i="71"/>
  <c r="W40" i="71" s="1"/>
  <c r="H40" i="71"/>
  <c r="U40" i="71" s="1"/>
  <c r="F40" i="71"/>
  <c r="AA40" i="71" s="1"/>
  <c r="Q39" i="71"/>
  <c r="Z39" i="71" s="1"/>
  <c r="J39" i="71"/>
  <c r="AC39" i="71" s="1"/>
  <c r="H39" i="71"/>
  <c r="U39" i="71" s="1"/>
  <c r="F39" i="71"/>
  <c r="S39" i="71" s="1"/>
  <c r="Z38" i="71"/>
  <c r="Q38" i="71"/>
  <c r="J38" i="71"/>
  <c r="AC38" i="71" s="1"/>
  <c r="H38" i="71"/>
  <c r="AB38" i="71" s="1"/>
  <c r="F38" i="71"/>
  <c r="S38" i="71" s="1"/>
  <c r="Q37" i="71"/>
  <c r="Z37" i="71" s="1"/>
  <c r="Q36" i="71"/>
  <c r="Z36" i="71" s="1"/>
  <c r="Q35" i="71"/>
  <c r="Z35" i="71" s="1"/>
  <c r="J35" i="71"/>
  <c r="AC35" i="71" s="1"/>
  <c r="H35" i="71"/>
  <c r="U35" i="71" s="1"/>
  <c r="F35" i="71"/>
  <c r="S35" i="71" s="1"/>
  <c r="Q34" i="71"/>
  <c r="Z34" i="71" s="1"/>
  <c r="I34" i="71"/>
  <c r="J34" i="71" s="1"/>
  <c r="G34" i="71"/>
  <c r="H34" i="71" s="1"/>
  <c r="E34" i="71"/>
  <c r="F34" i="71" s="1"/>
  <c r="AA34" i="71" s="1"/>
  <c r="Q33" i="71"/>
  <c r="Z33" i="71" s="1"/>
  <c r="J33" i="71"/>
  <c r="W33" i="71" s="1"/>
  <c r="H33" i="71"/>
  <c r="U33" i="71" s="1"/>
  <c r="F33" i="71"/>
  <c r="AA33" i="71" s="1"/>
  <c r="Q32" i="71"/>
  <c r="Z32" i="71" s="1"/>
  <c r="Q31" i="71"/>
  <c r="Z31" i="71" s="1"/>
  <c r="J31" i="71"/>
  <c r="AC31" i="71" s="1"/>
  <c r="H31" i="71"/>
  <c r="U31" i="71" s="1"/>
  <c r="F31" i="71"/>
  <c r="S31" i="71" s="1"/>
  <c r="Q30" i="71"/>
  <c r="Z30" i="71" s="1"/>
  <c r="J30" i="71"/>
  <c r="W30" i="71" s="1"/>
  <c r="H30" i="71"/>
  <c r="AB30" i="71" s="1"/>
  <c r="F30" i="71"/>
  <c r="AA30" i="71" s="1"/>
  <c r="Q29" i="71"/>
  <c r="Z29" i="71" s="1"/>
  <c r="H29" i="71"/>
  <c r="Q28" i="71"/>
  <c r="Z28" i="71" s="1"/>
  <c r="J28" i="71"/>
  <c r="AC28" i="71" s="1"/>
  <c r="H28" i="71"/>
  <c r="U28" i="71" s="1"/>
  <c r="Q27" i="71"/>
  <c r="Z27" i="71" s="1"/>
  <c r="H27" i="71"/>
  <c r="AB27" i="71" s="1"/>
  <c r="F27" i="71"/>
  <c r="AA27" i="71" s="1"/>
  <c r="W25" i="71"/>
  <c r="Q25" i="71"/>
  <c r="Z25" i="71" s="1"/>
  <c r="J25" i="71"/>
  <c r="AC25" i="71" s="1"/>
  <c r="H25" i="71"/>
  <c r="AB25" i="71" s="1"/>
  <c r="F25" i="71"/>
  <c r="AA25" i="71" s="1"/>
  <c r="Q23" i="71"/>
  <c r="Z23" i="71" s="1"/>
  <c r="H23" i="71"/>
  <c r="U23" i="71" s="1"/>
  <c r="C23" i="71"/>
  <c r="Q21" i="71"/>
  <c r="Z21" i="71" s="1"/>
  <c r="J21" i="71"/>
  <c r="AC21" i="71" s="1"/>
  <c r="H21" i="71"/>
  <c r="AB21" i="71" s="1"/>
  <c r="F21" i="71"/>
  <c r="AA21" i="71" s="1"/>
  <c r="C21" i="71"/>
  <c r="Z19" i="71"/>
  <c r="U19" i="71"/>
  <c r="Q19" i="71"/>
  <c r="J19" i="71"/>
  <c r="H19" i="71"/>
  <c r="AB19" i="71" s="1"/>
  <c r="C19" i="71"/>
  <c r="Q17" i="71"/>
  <c r="Z17" i="71" s="1"/>
  <c r="J17" i="71"/>
  <c r="W17" i="71" s="1"/>
  <c r="C17" i="71"/>
  <c r="Q15" i="71"/>
  <c r="Z15" i="71" s="1"/>
  <c r="C15" i="71"/>
  <c r="Q14" i="71"/>
  <c r="Z14" i="71" s="1"/>
  <c r="J14" i="71"/>
  <c r="H14" i="71"/>
  <c r="U14" i="71" s="1"/>
  <c r="F14" i="71"/>
  <c r="AA14" i="71" s="1"/>
  <c r="AB13" i="71"/>
  <c r="Q13" i="71"/>
  <c r="Z13" i="71" s="1"/>
  <c r="H13" i="71"/>
  <c r="U13" i="71" s="1"/>
  <c r="F13" i="71"/>
  <c r="AA13" i="71" s="1"/>
  <c r="Q12" i="71"/>
  <c r="Z12" i="71" s="1"/>
  <c r="J12" i="71"/>
  <c r="AC12" i="71" s="1"/>
  <c r="Q11" i="71"/>
  <c r="Z11" i="71" s="1"/>
  <c r="J11" i="71"/>
  <c r="H11" i="71"/>
  <c r="AB11" i="71" s="1"/>
  <c r="F11" i="71"/>
  <c r="S11" i="71" s="1"/>
  <c r="Q10" i="71"/>
  <c r="Z10" i="71" s="1"/>
  <c r="J10" i="71"/>
  <c r="AC10" i="71" s="1"/>
  <c r="Q9" i="71"/>
  <c r="Z9" i="71" s="1"/>
  <c r="F9" i="71"/>
  <c r="S9" i="71" s="1"/>
  <c r="AA8" i="71"/>
  <c r="J8" i="71"/>
  <c r="AC8" i="71" s="1"/>
  <c r="H8" i="71"/>
  <c r="U8" i="71" s="1"/>
  <c r="F8" i="71"/>
  <c r="S8" i="71" s="1"/>
  <c r="C7" i="71"/>
  <c r="G7" i="71" s="1"/>
  <c r="I6" i="71"/>
  <c r="E6" i="71"/>
  <c r="I5" i="71"/>
  <c r="D3" i="71"/>
  <c r="B130" i="70"/>
  <c r="J46" i="70" s="1"/>
  <c r="AC46" i="70" s="1"/>
  <c r="B128" i="70"/>
  <c r="J45" i="70" s="1"/>
  <c r="B126" i="70"/>
  <c r="H44" i="70" s="1"/>
  <c r="D125" i="70"/>
  <c r="E125" i="70" s="1"/>
  <c r="F125" i="70" s="1"/>
  <c r="G125" i="70" s="1"/>
  <c r="F123" i="70"/>
  <c r="G123" i="70" s="1"/>
  <c r="H123" i="70" s="1"/>
  <c r="I123" i="70" s="1"/>
  <c r="J123" i="70" s="1"/>
  <c r="K123" i="70" s="1"/>
  <c r="L123" i="70" s="1"/>
  <c r="M123" i="70" s="1"/>
  <c r="D123" i="70"/>
  <c r="E123" i="70" s="1"/>
  <c r="D121" i="70"/>
  <c r="E121" i="70" s="1"/>
  <c r="F121" i="70" s="1"/>
  <c r="G121" i="70" s="1"/>
  <c r="H121" i="70" s="1"/>
  <c r="I121" i="70" s="1"/>
  <c r="J121" i="70" s="1"/>
  <c r="K121" i="70" s="1"/>
  <c r="L121" i="70" s="1"/>
  <c r="M121" i="70" s="1"/>
  <c r="D117" i="70"/>
  <c r="E117" i="70" s="1"/>
  <c r="F117" i="70" s="1"/>
  <c r="G117" i="70" s="1"/>
  <c r="D115" i="70"/>
  <c r="E115" i="70" s="1"/>
  <c r="F115" i="70" s="1"/>
  <c r="G115" i="70" s="1"/>
  <c r="H115" i="70" s="1"/>
  <c r="I115" i="70" s="1"/>
  <c r="J115" i="70" s="1"/>
  <c r="K115" i="70" s="1"/>
  <c r="L115" i="70" s="1"/>
  <c r="M115" i="70" s="1"/>
  <c r="D113" i="70"/>
  <c r="E113" i="70" s="1"/>
  <c r="F113" i="70" s="1"/>
  <c r="G113" i="70" s="1"/>
  <c r="H113" i="70" s="1"/>
  <c r="I113" i="70" s="1"/>
  <c r="J113" i="70" s="1"/>
  <c r="K113" i="70" s="1"/>
  <c r="L113" i="70" s="1"/>
  <c r="M113" i="70" s="1"/>
  <c r="D111" i="70"/>
  <c r="E111" i="70" s="1"/>
  <c r="F111" i="70" s="1"/>
  <c r="G111" i="70" s="1"/>
  <c r="H111" i="70" s="1"/>
  <c r="I111" i="70" s="1"/>
  <c r="J111" i="70" s="1"/>
  <c r="K111" i="70" s="1"/>
  <c r="L111" i="70" s="1"/>
  <c r="M111" i="70" s="1"/>
  <c r="G109" i="70"/>
  <c r="F109" i="70"/>
  <c r="E109" i="70"/>
  <c r="D109" i="70"/>
  <c r="C109" i="70"/>
  <c r="G108" i="70"/>
  <c r="H108" i="70" s="1"/>
  <c r="I108" i="70" s="1"/>
  <c r="J108" i="70" s="1"/>
  <c r="K108" i="70" s="1"/>
  <c r="L108" i="70" s="1"/>
  <c r="M108" i="70" s="1"/>
  <c r="D108" i="70"/>
  <c r="E108" i="70" s="1"/>
  <c r="F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F30" i="70" s="1"/>
  <c r="B94" i="70"/>
  <c r="H29" i="70" s="1"/>
  <c r="AB29" i="70" s="1"/>
  <c r="B92" i="70"/>
  <c r="D91" i="70"/>
  <c r="E91" i="70" s="1"/>
  <c r="F91" i="70" s="1"/>
  <c r="G91" i="70" s="1"/>
  <c r="H91" i="70" s="1"/>
  <c r="I91" i="70" s="1"/>
  <c r="J91" i="70" s="1"/>
  <c r="K91" i="70" s="1"/>
  <c r="L91" i="70" s="1"/>
  <c r="M91" i="70" s="1"/>
  <c r="B90" i="70"/>
  <c r="J27" i="70" s="1"/>
  <c r="W27" i="70" s="1"/>
  <c r="B88" i="70"/>
  <c r="J26" i="70" s="1"/>
  <c r="AC26" i="70" s="1"/>
  <c r="H87" i="70"/>
  <c r="I87" i="70" s="1"/>
  <c r="J87" i="70" s="1"/>
  <c r="K87" i="70" s="1"/>
  <c r="L87" i="70" s="1"/>
  <c r="M87" i="70" s="1"/>
  <c r="D87" i="70"/>
  <c r="E87" i="70" s="1"/>
  <c r="F87" i="70" s="1"/>
  <c r="G87" i="70" s="1"/>
  <c r="D85" i="70"/>
  <c r="J23" i="70" s="1"/>
  <c r="D83" i="70"/>
  <c r="E83" i="70" s="1"/>
  <c r="F83" i="70" s="1"/>
  <c r="G83" i="70" s="1"/>
  <c r="D81" i="70"/>
  <c r="H19" i="70" s="1"/>
  <c r="D79" i="70"/>
  <c r="D77" i="70"/>
  <c r="J15" i="70" s="1"/>
  <c r="B74" i="70"/>
  <c r="J14" i="70" s="1"/>
  <c r="W14" i="70" s="1"/>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G66" i="70"/>
  <c r="H66" i="70" s="1"/>
  <c r="I66" i="70" s="1"/>
  <c r="C63" i="70"/>
  <c r="F9" i="70" s="1"/>
  <c r="P49" i="70"/>
  <c r="P48" i="70"/>
  <c r="P47" i="70"/>
  <c r="I47" i="70"/>
  <c r="G47" i="70"/>
  <c r="E47" i="70"/>
  <c r="R47" i="70" s="1"/>
  <c r="Q46" i="70"/>
  <c r="Z46" i="70" s="1"/>
  <c r="H46" i="70"/>
  <c r="AB46" i="70" s="1"/>
  <c r="F46" i="70"/>
  <c r="S46" i="70" s="1"/>
  <c r="Q45" i="70"/>
  <c r="Z45" i="70" s="1"/>
  <c r="H45" i="70"/>
  <c r="AB45" i="70" s="1"/>
  <c r="F45" i="70"/>
  <c r="AA45" i="70" s="1"/>
  <c r="Q44" i="70"/>
  <c r="Z44" i="70" s="1"/>
  <c r="J44" i="70"/>
  <c r="W44" i="70" s="1"/>
  <c r="Q43" i="70"/>
  <c r="Z43" i="70" s="1"/>
  <c r="Q42" i="70"/>
  <c r="Z42" i="70" s="1"/>
  <c r="J42" i="70"/>
  <c r="AC42" i="70" s="1"/>
  <c r="H42" i="70"/>
  <c r="AB42" i="70" s="1"/>
  <c r="F42" i="70"/>
  <c r="AA42" i="70" s="1"/>
  <c r="Q41" i="70"/>
  <c r="Z41" i="70" s="1"/>
  <c r="J41" i="70"/>
  <c r="AC41" i="70" s="1"/>
  <c r="H41" i="70"/>
  <c r="AB41" i="70" s="1"/>
  <c r="F41" i="70"/>
  <c r="AA41" i="70" s="1"/>
  <c r="AC40" i="70"/>
  <c r="Q40" i="70"/>
  <c r="Z40" i="70" s="1"/>
  <c r="J40" i="70"/>
  <c r="W40" i="70" s="1"/>
  <c r="H40" i="70"/>
  <c r="AB40" i="70" s="1"/>
  <c r="F40" i="70"/>
  <c r="AA40" i="70" s="1"/>
  <c r="Q39" i="70"/>
  <c r="Z39" i="70" s="1"/>
  <c r="J39" i="70"/>
  <c r="AC39" i="70" s="1"/>
  <c r="H39" i="70"/>
  <c r="AB39" i="70" s="1"/>
  <c r="F39" i="70"/>
  <c r="AA39" i="70" s="1"/>
  <c r="Q38" i="70"/>
  <c r="Z38" i="70" s="1"/>
  <c r="J38" i="70"/>
  <c r="AC38" i="70" s="1"/>
  <c r="H38" i="70"/>
  <c r="U38" i="70" s="1"/>
  <c r="F38" i="70"/>
  <c r="AA38" i="70" s="1"/>
  <c r="Q37" i="70"/>
  <c r="Z37" i="70" s="1"/>
  <c r="J37" i="70"/>
  <c r="AC37" i="70" s="1"/>
  <c r="H37" i="70"/>
  <c r="AB37" i="70" s="1"/>
  <c r="F37" i="70"/>
  <c r="S37" i="70" s="1"/>
  <c r="Q36" i="70"/>
  <c r="Z36" i="70" s="1"/>
  <c r="I36" i="70"/>
  <c r="G36" i="70"/>
  <c r="C36" i="70"/>
  <c r="Q35" i="70"/>
  <c r="Z35" i="70" s="1"/>
  <c r="J35" i="70"/>
  <c r="AC35" i="70" s="1"/>
  <c r="H35" i="70"/>
  <c r="U35" i="70" s="1"/>
  <c r="F35" i="70"/>
  <c r="AA35" i="70" s="1"/>
  <c r="Q34" i="70"/>
  <c r="Z34" i="70" s="1"/>
  <c r="J34" i="70"/>
  <c r="AC34" i="70" s="1"/>
  <c r="H34" i="70"/>
  <c r="AB34" i="70" s="1"/>
  <c r="F34" i="70"/>
  <c r="S34" i="70" s="1"/>
  <c r="Q33" i="70"/>
  <c r="Z33" i="70" s="1"/>
  <c r="J33" i="70"/>
  <c r="W33" i="70" s="1"/>
  <c r="H33" i="70"/>
  <c r="AB33" i="70" s="1"/>
  <c r="F33" i="70"/>
  <c r="AA33" i="70" s="1"/>
  <c r="Q32" i="70"/>
  <c r="Z32" i="70" s="1"/>
  <c r="J32" i="70"/>
  <c r="AC32" i="70" s="1"/>
  <c r="H32" i="70"/>
  <c r="U32" i="70" s="1"/>
  <c r="F32" i="70"/>
  <c r="AA32" i="70" s="1"/>
  <c r="Q31" i="70"/>
  <c r="Z31" i="70" s="1"/>
  <c r="J31" i="70"/>
  <c r="AC31" i="70" s="1"/>
  <c r="H31" i="70"/>
  <c r="AB31" i="70" s="1"/>
  <c r="F31" i="70"/>
  <c r="S31" i="70" s="1"/>
  <c r="Q30" i="70"/>
  <c r="Z30" i="70" s="1"/>
  <c r="Q29" i="70"/>
  <c r="Z29" i="70" s="1"/>
  <c r="Q28" i="70"/>
  <c r="Z28" i="70" s="1"/>
  <c r="J28" i="70"/>
  <c r="AC28" i="70" s="1"/>
  <c r="H28" i="70"/>
  <c r="U28" i="70" s="1"/>
  <c r="F28" i="70"/>
  <c r="AA28" i="70" s="1"/>
  <c r="Q27" i="70"/>
  <c r="Z27" i="70" s="1"/>
  <c r="H27" i="70"/>
  <c r="AB27" i="70" s="1"/>
  <c r="F27" i="70"/>
  <c r="S27" i="70" s="1"/>
  <c r="Q26" i="70"/>
  <c r="Z26" i="70" s="1"/>
  <c r="AA25" i="70"/>
  <c r="Q25" i="70"/>
  <c r="Z25" i="70" s="1"/>
  <c r="J25" i="70"/>
  <c r="AC25" i="70" s="1"/>
  <c r="H25" i="70"/>
  <c r="AB25" i="70" s="1"/>
  <c r="F25" i="70"/>
  <c r="S25" i="70" s="1"/>
  <c r="Q23" i="70"/>
  <c r="Z23" i="70" s="1"/>
  <c r="C23" i="70"/>
  <c r="Q21" i="70"/>
  <c r="Z21" i="70" s="1"/>
  <c r="J21" i="70"/>
  <c r="AC21" i="70" s="1"/>
  <c r="H21" i="70"/>
  <c r="U21" i="70" s="1"/>
  <c r="F21" i="70"/>
  <c r="AA21" i="70" s="1"/>
  <c r="C21" i="70"/>
  <c r="Q19" i="70"/>
  <c r="Z19" i="70" s="1"/>
  <c r="C19" i="70"/>
  <c r="U17" i="70"/>
  <c r="Q17" i="70"/>
  <c r="Z17" i="70" s="1"/>
  <c r="J17" i="70"/>
  <c r="W17" i="70" s="1"/>
  <c r="H17" i="70"/>
  <c r="AB17" i="70" s="1"/>
  <c r="C17" i="70"/>
  <c r="Q15" i="70"/>
  <c r="Z15" i="70" s="1"/>
  <c r="H15" i="70"/>
  <c r="U15" i="70" s="1"/>
  <c r="C15" i="70"/>
  <c r="Q14" i="70"/>
  <c r="Z14" i="70" s="1"/>
  <c r="Q13" i="70"/>
  <c r="Z13" i="70" s="1"/>
  <c r="J13" i="70"/>
  <c r="W13" i="70" s="1"/>
  <c r="H13" i="70"/>
  <c r="U13" i="70" s="1"/>
  <c r="F13" i="70"/>
  <c r="AA13" i="70" s="1"/>
  <c r="Q12" i="70"/>
  <c r="Z12" i="70" s="1"/>
  <c r="J12" i="70"/>
  <c r="AC12" i="70" s="1"/>
  <c r="H12" i="70"/>
  <c r="AB12" i="70" s="1"/>
  <c r="F12" i="70"/>
  <c r="S12" i="70" s="1"/>
  <c r="Z11" i="70"/>
  <c r="Q11" i="70"/>
  <c r="J11" i="70"/>
  <c r="W11" i="70" s="1"/>
  <c r="H11" i="70"/>
  <c r="AB11" i="70" s="1"/>
  <c r="F11" i="70"/>
  <c r="S11" i="70" s="1"/>
  <c r="W10" i="70"/>
  <c r="Q10" i="70"/>
  <c r="Z10" i="70" s="1"/>
  <c r="J10" i="70"/>
  <c r="AC10" i="70" s="1"/>
  <c r="H10" i="70"/>
  <c r="U10" i="70" s="1"/>
  <c r="F10" i="70"/>
  <c r="AA10" i="70" s="1"/>
  <c r="Q9" i="70"/>
  <c r="Z9" i="70" s="1"/>
  <c r="H9" i="70"/>
  <c r="AB9" i="70" s="1"/>
  <c r="J8" i="70"/>
  <c r="AC8" i="70" s="1"/>
  <c r="H8" i="70"/>
  <c r="U8" i="70" s="1"/>
  <c r="F8" i="70"/>
  <c r="S8" i="70" s="1"/>
  <c r="C7" i="70"/>
  <c r="G7" i="70" s="1"/>
  <c r="C5" i="70"/>
  <c r="C5" i="71" s="1"/>
  <c r="D3" i="70"/>
  <c r="AM7" i="1"/>
  <c r="AL7" i="1"/>
  <c r="AK7" i="1"/>
  <c r="J7" i="1"/>
  <c r="I7" i="1"/>
  <c r="H7" i="1"/>
  <c r="Q73" i="69"/>
  <c r="Q60" i="69"/>
  <c r="D60" i="69"/>
  <c r="Q59" i="69"/>
  <c r="K59" i="69"/>
  <c r="P75" i="69" s="1"/>
  <c r="Q52" i="69"/>
  <c r="J50" i="69"/>
  <c r="J51" i="69" s="1"/>
  <c r="M47" i="69"/>
  <c r="F33" i="69"/>
  <c r="F60" i="69" s="1"/>
  <c r="F23" i="69"/>
  <c r="D23" i="69" s="1"/>
  <c r="F21" i="69"/>
  <c r="F20" i="69"/>
  <c r="M19" i="69"/>
  <c r="F18" i="69"/>
  <c r="F17" i="69"/>
  <c r="F15" i="69"/>
  <c r="E35" i="68"/>
  <c r="D34" i="68"/>
  <c r="C34" i="68"/>
  <c r="D28" i="68"/>
  <c r="C28" i="68"/>
  <c r="D22" i="68"/>
  <c r="C22" i="68"/>
  <c r="D15" i="68"/>
  <c r="C15" i="68"/>
  <c r="AB19" i="70" l="1"/>
  <c r="U19" i="70"/>
  <c r="AA11" i="70"/>
  <c r="J19" i="70"/>
  <c r="AC13" i="70"/>
  <c r="AC17" i="70"/>
  <c r="W28" i="70"/>
  <c r="W32" i="70"/>
  <c r="J29" i="70"/>
  <c r="W29" i="70" s="1"/>
  <c r="F36" i="70"/>
  <c r="AB38" i="70"/>
  <c r="U21" i="71"/>
  <c r="AA38" i="71"/>
  <c r="AC44" i="71"/>
  <c r="AA42" i="71"/>
  <c r="W21" i="70"/>
  <c r="J47" i="71"/>
  <c r="AC47" i="71" s="1"/>
  <c r="AA8" i="70"/>
  <c r="AB33" i="71"/>
  <c r="W9" i="71"/>
  <c r="AC9" i="71"/>
  <c r="AB12" i="71"/>
  <c r="U12" i="71"/>
  <c r="AA30" i="70"/>
  <c r="S30" i="70"/>
  <c r="S47" i="71"/>
  <c r="AA47" i="71"/>
  <c r="AA27" i="70"/>
  <c r="J36" i="70"/>
  <c r="W36" i="70" s="1"/>
  <c r="AA9" i="71"/>
  <c r="AB28" i="71"/>
  <c r="AA31" i="71"/>
  <c r="AA35" i="71"/>
  <c r="H9" i="71"/>
  <c r="AB9" i="71" s="1"/>
  <c r="AB14" i="71"/>
  <c r="AA39" i="71"/>
  <c r="AA43" i="71"/>
  <c r="F46" i="71"/>
  <c r="E109" i="71"/>
  <c r="F109" i="71" s="1"/>
  <c r="G109" i="71" s="1"/>
  <c r="H109" i="71" s="1"/>
  <c r="I109" i="71" s="1"/>
  <c r="J109" i="71" s="1"/>
  <c r="K109" i="71" s="1"/>
  <c r="L109" i="71" s="1"/>
  <c r="M109" i="71" s="1"/>
  <c r="C35" i="68"/>
  <c r="AA12" i="70"/>
  <c r="H14" i="70"/>
  <c r="W25" i="70"/>
  <c r="H26" i="70"/>
  <c r="F29" i="70"/>
  <c r="AA29" i="70" s="1"/>
  <c r="AA34" i="70"/>
  <c r="H36" i="70"/>
  <c r="AB36" i="70" s="1"/>
  <c r="H43" i="70"/>
  <c r="U43" i="70" s="1"/>
  <c r="W8" i="71"/>
  <c r="F10" i="71"/>
  <c r="AA10" i="71" s="1"/>
  <c r="W10" i="71"/>
  <c r="F12" i="71"/>
  <c r="AC13" i="71"/>
  <c r="F17" i="71"/>
  <c r="AA17" i="71" s="1"/>
  <c r="J29" i="71"/>
  <c r="S34" i="71"/>
  <c r="J36" i="71"/>
  <c r="AB39" i="71"/>
  <c r="AB43" i="71"/>
  <c r="H46" i="71"/>
  <c r="AB46" i="71" s="1"/>
  <c r="AA46" i="70"/>
  <c r="AB47" i="71"/>
  <c r="AB10" i="70"/>
  <c r="F14" i="70"/>
  <c r="AA14" i="70" s="1"/>
  <c r="F26" i="70"/>
  <c r="AC33" i="71"/>
  <c r="H36" i="71"/>
  <c r="AB36" i="71" s="1"/>
  <c r="D35" i="68"/>
  <c r="W8" i="70"/>
  <c r="AB13" i="70"/>
  <c r="AA31" i="70"/>
  <c r="AB35" i="70"/>
  <c r="AA37" i="70"/>
  <c r="J43" i="70"/>
  <c r="AC43" i="70" s="1"/>
  <c r="AC44" i="70"/>
  <c r="I54" i="70"/>
  <c r="J54" i="70" s="1"/>
  <c r="H10" i="71"/>
  <c r="H17" i="71"/>
  <c r="AC17" i="71"/>
  <c r="W28" i="71"/>
  <c r="AC30" i="71"/>
  <c r="AB40" i="71"/>
  <c r="AB44" i="71"/>
  <c r="W45" i="71"/>
  <c r="I55" i="71"/>
  <c r="J55" i="71" s="1"/>
  <c r="E55" i="71"/>
  <c r="F55" i="71" s="1"/>
  <c r="S9" i="70"/>
  <c r="AA9" i="70"/>
  <c r="AC15" i="70"/>
  <c r="W15" i="70"/>
  <c r="W23" i="70"/>
  <c r="AC23" i="70"/>
  <c r="U12" i="70"/>
  <c r="S13" i="70"/>
  <c r="G54" i="70"/>
  <c r="H54" i="70" s="1"/>
  <c r="E54" i="70"/>
  <c r="F54" i="70" s="1"/>
  <c r="W14" i="71"/>
  <c r="AC14" i="71"/>
  <c r="AB28" i="70"/>
  <c r="AC29" i="70"/>
  <c r="AB32" i="70"/>
  <c r="AC33" i="70"/>
  <c r="S35" i="70"/>
  <c r="S38" i="70"/>
  <c r="U39" i="70"/>
  <c r="F17" i="70"/>
  <c r="E79" i="70"/>
  <c r="F79" i="70" s="1"/>
  <c r="G79" i="70" s="1"/>
  <c r="AC45" i="70"/>
  <c r="W45" i="70"/>
  <c r="W11" i="71"/>
  <c r="AC11" i="71"/>
  <c r="AB23" i="71"/>
  <c r="AC34" i="71"/>
  <c r="W34" i="71"/>
  <c r="H23" i="70"/>
  <c r="C58" i="70"/>
  <c r="D58" i="70" s="1"/>
  <c r="E58" i="70" s="1"/>
  <c r="F58" i="70" s="1"/>
  <c r="G58" i="70" s="1"/>
  <c r="H58" i="70" s="1"/>
  <c r="I58" i="70" s="1"/>
  <c r="J58" i="70" s="1"/>
  <c r="K58" i="70" s="1"/>
  <c r="L58" i="70" s="1"/>
  <c r="M58" i="70" s="1"/>
  <c r="N58" i="70" s="1"/>
  <c r="O58" i="70" s="1"/>
  <c r="I7" i="70"/>
  <c r="E7" i="70"/>
  <c r="S42" i="70"/>
  <c r="F19" i="70"/>
  <c r="E81" i="70"/>
  <c r="F81" i="70" s="1"/>
  <c r="G81" i="70" s="1"/>
  <c r="U15" i="71"/>
  <c r="AB15" i="71"/>
  <c r="W19" i="71"/>
  <c r="AC19" i="71"/>
  <c r="E78" i="71"/>
  <c r="F78" i="71" s="1"/>
  <c r="G78" i="71" s="1"/>
  <c r="F15" i="71"/>
  <c r="J15" i="71"/>
  <c r="H32" i="71"/>
  <c r="F32" i="71"/>
  <c r="J32" i="71"/>
  <c r="U9" i="70"/>
  <c r="U27" i="70"/>
  <c r="U31" i="70"/>
  <c r="F15" i="70"/>
  <c r="E77" i="70"/>
  <c r="F77" i="70" s="1"/>
  <c r="G77" i="70" s="1"/>
  <c r="F23" i="70"/>
  <c r="E85" i="70"/>
  <c r="F85" i="70" s="1"/>
  <c r="G85" i="70" s="1"/>
  <c r="AB44" i="70"/>
  <c r="U44" i="70"/>
  <c r="J9" i="70"/>
  <c r="AB8" i="70"/>
  <c r="AC11" i="70"/>
  <c r="AC14" i="70"/>
  <c r="AB15" i="70"/>
  <c r="AB21" i="70"/>
  <c r="AA36" i="70"/>
  <c r="S36" i="70"/>
  <c r="T47" i="70"/>
  <c r="J30" i="70"/>
  <c r="H30" i="70"/>
  <c r="S13" i="71"/>
  <c r="W39" i="70"/>
  <c r="S41" i="70"/>
  <c r="U42" i="70"/>
  <c r="W43" i="70"/>
  <c r="S45" i="70"/>
  <c r="U46" i="70"/>
  <c r="V47" i="70"/>
  <c r="AA11" i="71"/>
  <c r="S25" i="71"/>
  <c r="U27" i="71"/>
  <c r="H41" i="71"/>
  <c r="E120" i="71"/>
  <c r="F120" i="71" s="1"/>
  <c r="G120" i="71" s="1"/>
  <c r="H120" i="71" s="1"/>
  <c r="I120" i="71" s="1"/>
  <c r="J120" i="71" s="1"/>
  <c r="K120" i="71" s="1"/>
  <c r="L120" i="71" s="1"/>
  <c r="M120" i="71" s="1"/>
  <c r="F41" i="71"/>
  <c r="J41" i="71"/>
  <c r="AC27" i="70"/>
  <c r="U34" i="70"/>
  <c r="W35" i="70"/>
  <c r="U37" i="70"/>
  <c r="W38" i="70"/>
  <c r="S40" i="70"/>
  <c r="U41" i="70"/>
  <c r="W42" i="70"/>
  <c r="F44" i="70"/>
  <c r="U45" i="70"/>
  <c r="W46" i="70"/>
  <c r="C59" i="71"/>
  <c r="D59" i="71" s="1"/>
  <c r="E59" i="71" s="1"/>
  <c r="F59" i="71" s="1"/>
  <c r="G59" i="71" s="1"/>
  <c r="H59" i="71" s="1"/>
  <c r="I59" i="71" s="1"/>
  <c r="J59" i="71" s="1"/>
  <c r="K59" i="71" s="1"/>
  <c r="L59" i="71" s="1"/>
  <c r="M59" i="71" s="1"/>
  <c r="N59" i="71" s="1"/>
  <c r="O59" i="71" s="1"/>
  <c r="I7" i="71"/>
  <c r="E7" i="71"/>
  <c r="AB8" i="71"/>
  <c r="U29" i="71"/>
  <c r="AB29" i="71"/>
  <c r="E86" i="71"/>
  <c r="F86" i="71" s="1"/>
  <c r="G86" i="71" s="1"/>
  <c r="J23" i="71"/>
  <c r="F23" i="71"/>
  <c r="S29" i="70"/>
  <c r="W31" i="70"/>
  <c r="S33" i="70"/>
  <c r="S10" i="70"/>
  <c r="U11" i="70"/>
  <c r="W12" i="70"/>
  <c r="S21" i="70"/>
  <c r="U25" i="70"/>
  <c r="W26" i="70"/>
  <c r="S28" i="70"/>
  <c r="U29" i="70"/>
  <c r="S32" i="70"/>
  <c r="U33" i="70"/>
  <c r="W34" i="70"/>
  <c r="W37" i="70"/>
  <c r="S39" i="70"/>
  <c r="U40" i="70"/>
  <c r="W41" i="70"/>
  <c r="F43" i="70"/>
  <c r="S30" i="71"/>
  <c r="AB34" i="71"/>
  <c r="U34" i="71"/>
  <c r="E82" i="71"/>
  <c r="F82" i="71" s="1"/>
  <c r="G82" i="71" s="1"/>
  <c r="F19" i="71"/>
  <c r="S10" i="71"/>
  <c r="U11" i="71"/>
  <c r="W12" i="71"/>
  <c r="S14" i="71"/>
  <c r="S21" i="71"/>
  <c r="U25" i="71"/>
  <c r="W27" i="71"/>
  <c r="AA28" i="71"/>
  <c r="AB31" i="71"/>
  <c r="AB35" i="71"/>
  <c r="AA29" i="71"/>
  <c r="S29" i="71"/>
  <c r="H45" i="71"/>
  <c r="F45" i="71"/>
  <c r="G55" i="71"/>
  <c r="H55" i="71" s="1"/>
  <c r="V48" i="71"/>
  <c r="AA36" i="71"/>
  <c r="S36" i="71"/>
  <c r="W21" i="71"/>
  <c r="S27" i="71"/>
  <c r="G112" i="71"/>
  <c r="H112" i="71" s="1"/>
  <c r="I112" i="71" s="1"/>
  <c r="J112" i="71" s="1"/>
  <c r="K112" i="71" s="1"/>
  <c r="L112" i="71" s="1"/>
  <c r="M112" i="71" s="1"/>
  <c r="W35" i="71"/>
  <c r="U38" i="71"/>
  <c r="W39" i="71"/>
  <c r="U42" i="71"/>
  <c r="W43" i="71"/>
  <c r="W47" i="71"/>
  <c r="U30" i="71"/>
  <c r="W31" i="71"/>
  <c r="S33" i="71"/>
  <c r="W38" i="71"/>
  <c r="S40" i="71"/>
  <c r="W42" i="71"/>
  <c r="S44" i="71"/>
  <c r="W46" i="71"/>
  <c r="D24" i="69"/>
  <c r="P62" i="69"/>
  <c r="D22" i="69"/>
  <c r="AB43" i="70" l="1"/>
  <c r="AC19" i="70"/>
  <c r="W19" i="70"/>
  <c r="S14" i="70"/>
  <c r="U9" i="71"/>
  <c r="S17" i="71"/>
  <c r="U46" i="71"/>
  <c r="AC36" i="70"/>
  <c r="AC29" i="71"/>
  <c r="W29" i="71"/>
  <c r="F37" i="71"/>
  <c r="S37" i="71" s="1"/>
  <c r="U36" i="71"/>
  <c r="F7" i="71"/>
  <c r="AA7" i="71" s="1"/>
  <c r="U36" i="70"/>
  <c r="U17" i="71"/>
  <c r="AB17" i="71"/>
  <c r="AB14" i="70"/>
  <c r="U14" i="70"/>
  <c r="S46" i="71"/>
  <c r="AA46" i="71"/>
  <c r="J37" i="71"/>
  <c r="W37" i="71" s="1"/>
  <c r="U10" i="71"/>
  <c r="AB10" i="71"/>
  <c r="S26" i="70"/>
  <c r="AA26" i="70"/>
  <c r="W36" i="71"/>
  <c r="AC36" i="71"/>
  <c r="H7" i="71"/>
  <c r="U7" i="71" s="1"/>
  <c r="S12" i="71"/>
  <c r="AA12" i="71"/>
  <c r="U26" i="70"/>
  <c r="AB26" i="70"/>
  <c r="AA23" i="71"/>
  <c r="S23" i="71"/>
  <c r="J7" i="71"/>
  <c r="AA44" i="70"/>
  <c r="S44" i="70"/>
  <c r="AB41" i="71"/>
  <c r="U41" i="71"/>
  <c r="AA15" i="70"/>
  <c r="S15" i="70"/>
  <c r="AC32" i="71"/>
  <c r="W32" i="71"/>
  <c r="AA15" i="71"/>
  <c r="S15" i="71"/>
  <c r="AB23" i="70"/>
  <c r="U23" i="70"/>
  <c r="H7" i="70"/>
  <c r="AC15" i="71"/>
  <c r="W15" i="71"/>
  <c r="AA17" i="70"/>
  <c r="S17" i="70"/>
  <c r="S32" i="71"/>
  <c r="AA32" i="71"/>
  <c r="AA43" i="70"/>
  <c r="S43" i="70"/>
  <c r="AC37" i="71"/>
  <c r="AA19" i="70"/>
  <c r="S19" i="70"/>
  <c r="H37" i="71"/>
  <c r="AA45" i="71"/>
  <c r="S45" i="71"/>
  <c r="AC23" i="71"/>
  <c r="W23" i="71"/>
  <c r="W41" i="71"/>
  <c r="AC41" i="71"/>
  <c r="AB30" i="70"/>
  <c r="U30" i="70"/>
  <c r="F7" i="70"/>
  <c r="AB45" i="71"/>
  <c r="U45" i="71"/>
  <c r="AA19" i="71"/>
  <c r="S19" i="71"/>
  <c r="AA41" i="71"/>
  <c r="S41" i="71"/>
  <c r="AC30" i="70"/>
  <c r="W30" i="70"/>
  <c r="W9" i="70"/>
  <c r="AC9" i="70"/>
  <c r="AA23" i="70"/>
  <c r="S23" i="70"/>
  <c r="U32" i="71"/>
  <c r="AB32" i="71"/>
  <c r="J7" i="70"/>
  <c r="AH5" i="59"/>
  <c r="AG5" i="59"/>
  <c r="AE5" i="59"/>
  <c r="AF5" i="59" s="1"/>
  <c r="AD5" i="59"/>
  <c r="Q5" i="59"/>
  <c r="P5" i="59"/>
  <c r="O5" i="59"/>
  <c r="N5" i="59"/>
  <c r="S7" i="71" l="1"/>
  <c r="AA37" i="71"/>
  <c r="AB7" i="71"/>
  <c r="T49" i="71" s="1"/>
  <c r="G49" i="71" s="1"/>
  <c r="AB37" i="71"/>
  <c r="U37" i="71"/>
  <c r="W7" i="71"/>
  <c r="AC7" i="71"/>
  <c r="V49" i="71" s="1"/>
  <c r="I49" i="71" s="1"/>
  <c r="S7" i="70"/>
  <c r="AA7" i="70"/>
  <c r="R48" i="70" s="1"/>
  <c r="R49" i="71"/>
  <c r="W7" i="70"/>
  <c r="AC7" i="70"/>
  <c r="V48" i="70" s="1"/>
  <c r="I48" i="70" s="1"/>
  <c r="AB7" i="70"/>
  <c r="T48" i="70" s="1"/>
  <c r="G48" i="70" s="1"/>
  <c r="U7" i="70"/>
  <c r="F25" i="12"/>
  <c r="C25" i="12" s="1"/>
  <c r="N7" i="59"/>
  <c r="O7" i="59"/>
  <c r="P7" i="59"/>
  <c r="Q7" i="59"/>
  <c r="AH6" i="59"/>
  <c r="AG6" i="59"/>
  <c r="AE6" i="59"/>
  <c r="AF6" i="59" s="1"/>
  <c r="AD6" i="59"/>
  <c r="Q6" i="59"/>
  <c r="P6" i="59"/>
  <c r="O6" i="59"/>
  <c r="N6" i="59"/>
  <c r="Q8" i="59"/>
  <c r="Q9" i="59"/>
  <c r="P8" i="59"/>
  <c r="P9" i="59"/>
  <c r="O8" i="59"/>
  <c r="O9" i="59"/>
  <c r="N8" i="59"/>
  <c r="N9" i="59"/>
  <c r="AD7" i="59"/>
  <c r="AE7" i="59"/>
  <c r="AF7" i="59"/>
  <c r="AG7" i="59"/>
  <c r="AH7" i="59"/>
  <c r="AH8" i="59"/>
  <c r="AG8" i="59"/>
  <c r="AE8" i="59"/>
  <c r="AF8" i="59" s="1"/>
  <c r="AD8" i="59"/>
  <c r="AH9" i="59"/>
  <c r="AG9" i="59"/>
  <c r="AE9" i="59"/>
  <c r="AF9" i="59" s="1"/>
  <c r="AD9" i="59"/>
  <c r="M15" i="49"/>
  <c r="L15" i="49"/>
  <c r="K15" i="49"/>
  <c r="J15" i="49"/>
  <c r="I15" i="49"/>
  <c r="H15" i="49"/>
  <c r="G15" i="49"/>
  <c r="F15" i="49"/>
  <c r="E15" i="49"/>
  <c r="D15" i="49"/>
  <c r="C15" i="49"/>
  <c r="B15" i="49"/>
  <c r="AH10" i="59"/>
  <c r="AG10" i="59"/>
  <c r="AE10" i="59"/>
  <c r="AF10" i="59" s="1"/>
  <c r="AD10" i="59"/>
  <c r="Q10" i="59"/>
  <c r="P10" i="59"/>
  <c r="O10" i="59"/>
  <c r="N10" i="59"/>
  <c r="L3" i="59"/>
  <c r="AH3" i="59" s="1"/>
  <c r="K3" i="59"/>
  <c r="AG3" i="59" s="1"/>
  <c r="J3" i="59"/>
  <c r="AE3" i="59" s="1"/>
  <c r="AF3" i="59" s="1"/>
  <c r="I3" i="59"/>
  <c r="AD3" i="59" s="1"/>
  <c r="AH11" i="59"/>
  <c r="AG11" i="59"/>
  <c r="AE11" i="59"/>
  <c r="AF11" i="59" s="1"/>
  <c r="AD11" i="59"/>
  <c r="Q11" i="59"/>
  <c r="Q12" i="59"/>
  <c r="P11" i="59"/>
  <c r="P12" i="59"/>
  <c r="O11" i="59"/>
  <c r="O12" i="59"/>
  <c r="N11" i="59"/>
  <c r="N12" i="59"/>
  <c r="AH12" i="59"/>
  <c r="AG12" i="59"/>
  <c r="AE12" i="59"/>
  <c r="AF12" i="59" s="1"/>
  <c r="AD12" i="59"/>
  <c r="Q13" i="59"/>
  <c r="P13" i="59"/>
  <c r="O13" i="59"/>
  <c r="N13" i="59"/>
  <c r="M19" i="46"/>
  <c r="J50" i="15"/>
  <c r="J51" i="15" s="1"/>
  <c r="D15" i="59"/>
  <c r="AH13" i="59"/>
  <c r="AG13" i="59"/>
  <c r="AE13" i="59"/>
  <c r="AF13" i="59" s="1"/>
  <c r="AD13" i="59"/>
  <c r="AE14" i="59"/>
  <c r="AF14" i="59" s="1"/>
  <c r="AG14" i="59"/>
  <c r="AH14" i="59"/>
  <c r="AD14" i="59"/>
  <c r="Q14" i="59"/>
  <c r="F14" i="59" s="1"/>
  <c r="V14" i="59" s="1"/>
  <c r="P14" i="59"/>
  <c r="AA3" i="59" s="1"/>
  <c r="O14" i="59"/>
  <c r="C14" i="59" s="1"/>
  <c r="N14" i="59"/>
  <c r="N15" i="59"/>
  <c r="Q15" i="59"/>
  <c r="P15" i="59"/>
  <c r="O15" i="59"/>
  <c r="K59" i="15"/>
  <c r="P62" i="15"/>
  <c r="P75" i="15"/>
  <c r="Q74" i="44"/>
  <c r="Q61" i="44"/>
  <c r="Q60" i="44"/>
  <c r="Q53" i="44"/>
  <c r="J51" i="44"/>
  <c r="J52" i="44" s="1"/>
  <c r="M48" i="44"/>
  <c r="A16" i="55"/>
  <c r="B67" i="63" s="1"/>
  <c r="A15" i="55"/>
  <c r="B66" i="63" s="1"/>
  <c r="A14" i="55"/>
  <c r="A11" i="55"/>
  <c r="A10" i="55"/>
  <c r="B61" i="63" s="1"/>
  <c r="A9" i="55"/>
  <c r="B60" i="63" s="1"/>
  <c r="A8" i="55"/>
  <c r="A6" i="54"/>
  <c r="B49" i="63" s="1"/>
  <c r="A8" i="54"/>
  <c r="A7" i="54"/>
  <c r="B51" i="63" s="1"/>
  <c r="A28" i="51"/>
  <c r="B21" i="63" s="1"/>
  <c r="A27" i="51"/>
  <c r="B20" i="63" s="1"/>
  <c r="Q16" i="59"/>
  <c r="O16" i="59"/>
  <c r="N17" i="59"/>
  <c r="O17" i="59"/>
  <c r="P17" i="59"/>
  <c r="Q17" i="59"/>
  <c r="N16" i="59"/>
  <c r="P16" i="59"/>
  <c r="C18" i="59"/>
  <c r="C17" i="59" s="1"/>
  <c r="D17" i="59" s="1"/>
  <c r="K75" i="9"/>
  <c r="K6" i="4"/>
  <c r="O76" i="9" s="1"/>
  <c r="B22" i="31"/>
  <c r="E15" i="66"/>
  <c r="F15" i="66"/>
  <c r="E16" i="66"/>
  <c r="F16" i="66"/>
  <c r="E17" i="66"/>
  <c r="F17" i="66"/>
  <c r="E18" i="66"/>
  <c r="F18" i="66"/>
  <c r="E19" i="66"/>
  <c r="F19" i="66"/>
  <c r="E20" i="66"/>
  <c r="F20" i="66"/>
  <c r="E21" i="66"/>
  <c r="F21" i="66"/>
  <c r="E22" i="66"/>
  <c r="F22" i="66"/>
  <c r="E23" i="66"/>
  <c r="F23" i="66"/>
  <c r="B3" i="66"/>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H29" i="59"/>
  <c r="AG29" i="59"/>
  <c r="AE29" i="59"/>
  <c r="AF29" i="59" s="1"/>
  <c r="AD29" i="59"/>
  <c r="AD30" i="59"/>
  <c r="AE30" i="59"/>
  <c r="AF30" i="59" s="1"/>
  <c r="AG30" i="59"/>
  <c r="AH30" i="59"/>
  <c r="S2" i="31"/>
  <c r="M2" i="31"/>
  <c r="N2" i="31"/>
  <c r="O2" i="31"/>
  <c r="P2" i="31"/>
  <c r="Q2" i="31"/>
  <c r="R2" i="31"/>
  <c r="C3" i="65"/>
  <c r="C1" i="65"/>
  <c r="N1" i="65" s="1"/>
  <c r="B76" i="63"/>
  <c r="M5" i="54"/>
  <c r="B41" i="63" s="1"/>
  <c r="A23" i="51"/>
  <c r="B17" i="63" s="1"/>
  <c r="Y12" i="46"/>
  <c r="AA9" i="46"/>
  <c r="AB9" i="46"/>
  <c r="AB10" i="46" s="1"/>
  <c r="AC9" i="46"/>
  <c r="AD9" i="46"/>
  <c r="AD10" i="46" s="1"/>
  <c r="AE9" i="46"/>
  <c r="AE10" i="46" s="1"/>
  <c r="AF9" i="46"/>
  <c r="AF10" i="46"/>
  <c r="AG9" i="46"/>
  <c r="AG10" i="46" s="1"/>
  <c r="AH9" i="46"/>
  <c r="AH10" i="46"/>
  <c r="AI9" i="46"/>
  <c r="AI10" i="46" s="1"/>
  <c r="AJ9" i="46"/>
  <c r="AJ10" i="46" s="1"/>
  <c r="Z9" i="46"/>
  <c r="Z10" i="46"/>
  <c r="AC10" i="46"/>
  <c r="Y10" i="46"/>
  <c r="Z12" i="46"/>
  <c r="AG12" i="46"/>
  <c r="AE12" i="46"/>
  <c r="AC12" i="46"/>
  <c r="B75" i="63"/>
  <c r="B73" i="63"/>
  <c r="A21" i="64"/>
  <c r="A27" i="64"/>
  <c r="A15" i="64"/>
  <c r="A14" i="64"/>
  <c r="A11" i="64"/>
  <c r="A3" i="64"/>
  <c r="A45" i="9"/>
  <c r="K40" i="9" s="1"/>
  <c r="A44" i="9"/>
  <c r="C57" i="10"/>
  <c r="A28" i="64" s="1"/>
  <c r="C56" i="10"/>
  <c r="A26" i="64" s="1"/>
  <c r="C55" i="10"/>
  <c r="C54" i="10"/>
  <c r="B44" i="63"/>
  <c r="B40" i="63"/>
  <c r="B30" i="63"/>
  <c r="B27" i="63"/>
  <c r="B25" i="63"/>
  <c r="A11" i="51"/>
  <c r="A26" i="51"/>
  <c r="K39" i="9"/>
  <c r="B58" i="63"/>
  <c r="B53" i="63"/>
  <c r="A46" i="9"/>
  <c r="K41" i="9" s="1"/>
  <c r="B8" i="63"/>
  <c r="A21" i="55"/>
  <c r="B71" i="63" s="1"/>
  <c r="A20" i="55"/>
  <c r="B69" i="63"/>
  <c r="B26" i="63"/>
  <c r="B28" i="63"/>
  <c r="B29" i="63"/>
  <c r="B31" i="63"/>
  <c r="B33" i="63"/>
  <c r="B35" i="63"/>
  <c r="B36" i="63"/>
  <c r="B37" i="63"/>
  <c r="B63" i="63"/>
  <c r="B64" i="63"/>
  <c r="B68" i="63"/>
  <c r="D51" i="10"/>
  <c r="B59" i="63"/>
  <c r="B10" i="63"/>
  <c r="B51" i="10"/>
  <c r="A15" i="51"/>
  <c r="B12" i="63" s="1"/>
  <c r="A14" i="51"/>
  <c r="B11" i="63"/>
  <c r="A4" i="55"/>
  <c r="B57" i="63" s="1"/>
  <c r="G5" i="54"/>
  <c r="B34" i="63"/>
  <c r="E5" i="54"/>
  <c r="B32" i="63" s="1"/>
  <c r="R2" i="54"/>
  <c r="B24" i="63"/>
  <c r="B19" i="63"/>
  <c r="B49" i="50"/>
  <c r="B5" i="63" s="1"/>
  <c r="B40" i="50"/>
  <c r="B3" i="63" s="1"/>
  <c r="N4" i="63"/>
  <c r="I19" i="46"/>
  <c r="Q18" i="59"/>
  <c r="P18" i="59"/>
  <c r="O18" i="59"/>
  <c r="N18" i="59"/>
  <c r="D79" i="59"/>
  <c r="F78" i="59"/>
  <c r="E78" i="59"/>
  <c r="E77" i="59" s="1"/>
  <c r="E76" i="59" s="1"/>
  <c r="C78" i="59"/>
  <c r="C77" i="59" s="1"/>
  <c r="D78" i="59"/>
  <c r="B78" i="59"/>
  <c r="B77" i="59" s="1"/>
  <c r="B76" i="59" s="1"/>
  <c r="F77" i="59"/>
  <c r="F76" i="59" s="1"/>
  <c r="D75" i="59"/>
  <c r="F74" i="59"/>
  <c r="E74" i="59"/>
  <c r="E73" i="59"/>
  <c r="E72" i="59" s="1"/>
  <c r="C74" i="59"/>
  <c r="D74" i="59" s="1"/>
  <c r="B74" i="59"/>
  <c r="B73" i="59" s="1"/>
  <c r="B72" i="59" s="1"/>
  <c r="F73" i="59"/>
  <c r="F72" i="59" s="1"/>
  <c r="D71" i="59"/>
  <c r="Q70" i="59"/>
  <c r="P70" i="59"/>
  <c r="O70" i="59"/>
  <c r="N70" i="59"/>
  <c r="F70" i="59"/>
  <c r="V70" i="59"/>
  <c r="E70" i="59"/>
  <c r="U70" i="59" s="1"/>
  <c r="C70" i="59"/>
  <c r="T70" i="59" s="1"/>
  <c r="B70" i="59"/>
  <c r="S70" i="59"/>
  <c r="Q69" i="59"/>
  <c r="P69" i="59"/>
  <c r="O69" i="59"/>
  <c r="N69" i="59"/>
  <c r="F69" i="59"/>
  <c r="F68" i="59"/>
  <c r="B69" i="59"/>
  <c r="B68" i="59" s="1"/>
  <c r="Q68" i="59"/>
  <c r="P68" i="59"/>
  <c r="O68" i="59"/>
  <c r="N68" i="59"/>
  <c r="Q67" i="59"/>
  <c r="P67" i="59"/>
  <c r="O67" i="59"/>
  <c r="N67" i="59"/>
  <c r="D67" i="59"/>
  <c r="Q66" i="59"/>
  <c r="P66" i="59"/>
  <c r="O66" i="59"/>
  <c r="N66" i="59"/>
  <c r="F66" i="59"/>
  <c r="V66" i="59"/>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c r="Q61" i="59"/>
  <c r="P61" i="59"/>
  <c r="O61" i="59"/>
  <c r="N61" i="59"/>
  <c r="B61" i="59"/>
  <c r="B60" i="59"/>
  <c r="Q60" i="59"/>
  <c r="P60" i="59"/>
  <c r="O60" i="59"/>
  <c r="N60" i="59"/>
  <c r="Q59" i="59"/>
  <c r="P59" i="59"/>
  <c r="O59" i="59"/>
  <c r="N59" i="59"/>
  <c r="D59" i="59"/>
  <c r="F58" i="59"/>
  <c r="V58" i="59" s="1"/>
  <c r="E58" i="59"/>
  <c r="P58" i="59" s="1"/>
  <c r="E57" i="59"/>
  <c r="E56" i="59" s="1"/>
  <c r="C58" i="59"/>
  <c r="B58" i="59"/>
  <c r="N58" i="59" s="1"/>
  <c r="B57" i="59"/>
  <c r="N57" i="59" s="1"/>
  <c r="D55" i="59"/>
  <c r="Q54" i="59"/>
  <c r="P54" i="59"/>
  <c r="O54" i="59"/>
  <c r="N54" i="59"/>
  <c r="Q53" i="59"/>
  <c r="P53" i="59"/>
  <c r="O53" i="59"/>
  <c r="N53" i="59"/>
  <c r="Q52" i="59"/>
  <c r="P52" i="59"/>
  <c r="O52" i="59"/>
  <c r="N52" i="59"/>
  <c r="Q51" i="59"/>
  <c r="F52" i="59" s="1"/>
  <c r="F53" i="59" s="1"/>
  <c r="F54" i="59" s="1"/>
  <c r="V54" i="59" s="1"/>
  <c r="P51" i="59"/>
  <c r="E52" i="59" s="1"/>
  <c r="O51" i="59"/>
  <c r="C52" i="59" s="1"/>
  <c r="N51" i="59"/>
  <c r="B52" i="59"/>
  <c r="D51" i="59"/>
  <c r="Q50" i="59"/>
  <c r="P50" i="59"/>
  <c r="O50" i="59"/>
  <c r="N50" i="59"/>
  <c r="Q49" i="59"/>
  <c r="P49" i="59"/>
  <c r="O49" i="59"/>
  <c r="N49" i="59"/>
  <c r="Q48" i="59"/>
  <c r="P48" i="59"/>
  <c r="O48" i="59"/>
  <c r="N48" i="59"/>
  <c r="Q47" i="59"/>
  <c r="F48" i="59"/>
  <c r="P47" i="59"/>
  <c r="E48" i="59" s="1"/>
  <c r="E49" i="59" s="1"/>
  <c r="E50" i="59" s="1"/>
  <c r="U50" i="59" s="1"/>
  <c r="O47" i="59"/>
  <c r="C48" i="59" s="1"/>
  <c r="D48" i="59" s="1"/>
  <c r="N47" i="59"/>
  <c r="B48" i="59"/>
  <c r="D47" i="59"/>
  <c r="Q46" i="59"/>
  <c r="P46" i="59"/>
  <c r="O46" i="59"/>
  <c r="N46" i="59"/>
  <c r="Q45" i="59"/>
  <c r="P45" i="59"/>
  <c r="O45" i="59"/>
  <c r="N45" i="59"/>
  <c r="Q44" i="59"/>
  <c r="P44" i="59"/>
  <c r="O44" i="59"/>
  <c r="N44" i="59"/>
  <c r="Q43" i="59"/>
  <c r="F44" i="59" s="1"/>
  <c r="P43" i="59"/>
  <c r="E44" i="59"/>
  <c r="E45" i="59" s="1"/>
  <c r="E46" i="59" s="1"/>
  <c r="U46" i="59" s="1"/>
  <c r="O43" i="59"/>
  <c r="C44" i="59"/>
  <c r="D44" i="59" s="1"/>
  <c r="N43" i="59"/>
  <c r="B44" i="59" s="1"/>
  <c r="D43" i="59"/>
  <c r="Q42" i="59"/>
  <c r="P42" i="59"/>
  <c r="O42" i="59"/>
  <c r="N42" i="59"/>
  <c r="Q41" i="59"/>
  <c r="P41" i="59"/>
  <c r="O41" i="59"/>
  <c r="N41" i="59"/>
  <c r="Q40" i="59"/>
  <c r="P40" i="59"/>
  <c r="O40" i="59"/>
  <c r="N40" i="59"/>
  <c r="Q39" i="59"/>
  <c r="F40" i="59" s="1"/>
  <c r="P39" i="59"/>
  <c r="E40" i="59" s="1"/>
  <c r="E41" i="59" s="1"/>
  <c r="E42" i="59" s="1"/>
  <c r="U42" i="59" s="1"/>
  <c r="O39" i="59"/>
  <c r="C40" i="59"/>
  <c r="D40" i="59" s="1"/>
  <c r="N39" i="59"/>
  <c r="B40" i="59" s="1"/>
  <c r="D39" i="59"/>
  <c r="T38" i="59"/>
  <c r="Q38" i="59"/>
  <c r="P38" i="59"/>
  <c r="O38" i="59"/>
  <c r="N38" i="59"/>
  <c r="D38" i="59"/>
  <c r="Q37" i="59"/>
  <c r="P37" i="59"/>
  <c r="O37" i="59"/>
  <c r="N37" i="59"/>
  <c r="Q36" i="59"/>
  <c r="P36" i="59"/>
  <c r="O36" i="59"/>
  <c r="C37" i="59" s="1"/>
  <c r="N36" i="59"/>
  <c r="Q35" i="59"/>
  <c r="F36" i="59"/>
  <c r="F37" i="59" s="1"/>
  <c r="F38" i="59" s="1"/>
  <c r="V38" i="59" s="1"/>
  <c r="P35" i="59"/>
  <c r="E36" i="59" s="1"/>
  <c r="E37" i="59" s="1"/>
  <c r="O35" i="59"/>
  <c r="C36" i="59" s="1"/>
  <c r="N35" i="59"/>
  <c r="B36" i="59" s="1"/>
  <c r="B37" i="59" s="1"/>
  <c r="B38" i="59" s="1"/>
  <c r="S38" i="59" s="1"/>
  <c r="D35" i="59"/>
  <c r="Q34" i="59"/>
  <c r="P34" i="59"/>
  <c r="O34" i="59"/>
  <c r="N34" i="59"/>
  <c r="Q33" i="59"/>
  <c r="P33" i="59"/>
  <c r="O33" i="59"/>
  <c r="N33" i="59"/>
  <c r="Q32" i="59"/>
  <c r="F33" i="59" s="1"/>
  <c r="F34" i="59" s="1"/>
  <c r="V34" i="59" s="1"/>
  <c r="P32" i="59"/>
  <c r="O32" i="59"/>
  <c r="N32" i="59"/>
  <c r="Q31" i="59"/>
  <c r="F32" i="59" s="1"/>
  <c r="P31" i="59"/>
  <c r="E32" i="59" s="1"/>
  <c r="O31" i="59"/>
  <c r="C32" i="59" s="1"/>
  <c r="N31" i="59"/>
  <c r="B32" i="59"/>
  <c r="B33" i="59" s="1"/>
  <c r="D31" i="59"/>
  <c r="Q30" i="59"/>
  <c r="P30" i="59"/>
  <c r="O30" i="59"/>
  <c r="N30" i="59"/>
  <c r="Q29" i="59"/>
  <c r="AB29" i="59" s="1"/>
  <c r="P29" i="59"/>
  <c r="O29" i="59"/>
  <c r="N29" i="59"/>
  <c r="X29" i="59" s="1"/>
  <c r="Q28" i="59"/>
  <c r="AB28" i="59" s="1"/>
  <c r="P28" i="59"/>
  <c r="O28" i="59"/>
  <c r="N28" i="59"/>
  <c r="Q27" i="59"/>
  <c r="F28" i="59"/>
  <c r="F29" i="59" s="1"/>
  <c r="F30" i="59" s="1"/>
  <c r="V30" i="59" s="1"/>
  <c r="P27" i="59"/>
  <c r="E28" i="59" s="1"/>
  <c r="E29" i="59" s="1"/>
  <c r="E30" i="59" s="1"/>
  <c r="U30" i="59" s="1"/>
  <c r="O27" i="59"/>
  <c r="N27" i="59"/>
  <c r="B28" i="59" s="1"/>
  <c r="D27" i="59"/>
  <c r="Q26" i="59"/>
  <c r="AB26" i="59" s="1"/>
  <c r="P26" i="59"/>
  <c r="O26" i="59"/>
  <c r="N26" i="59"/>
  <c r="Q25" i="59"/>
  <c r="P25" i="59"/>
  <c r="O25" i="59"/>
  <c r="N25" i="59"/>
  <c r="Q24" i="59"/>
  <c r="P24" i="59"/>
  <c r="O24" i="59"/>
  <c r="N24" i="59"/>
  <c r="Q23" i="59"/>
  <c r="P23" i="59"/>
  <c r="O23" i="59"/>
  <c r="C24" i="59"/>
  <c r="N23" i="59"/>
  <c r="B24" i="59"/>
  <c r="B25" i="59" s="1"/>
  <c r="B26" i="59"/>
  <c r="S26" i="59" s="1"/>
  <c r="D23" i="59"/>
  <c r="Q22" i="59"/>
  <c r="P22" i="59"/>
  <c r="O22" i="59"/>
  <c r="N22" i="59"/>
  <c r="Q21" i="59"/>
  <c r="P21" i="59"/>
  <c r="O21" i="59"/>
  <c r="N21" i="59"/>
  <c r="Q20" i="59"/>
  <c r="P20" i="59"/>
  <c r="O20" i="59"/>
  <c r="N20" i="59"/>
  <c r="Q19" i="59"/>
  <c r="F20" i="59"/>
  <c r="P19" i="59"/>
  <c r="O19" i="59"/>
  <c r="N19" i="59"/>
  <c r="D19" i="59"/>
  <c r="E20" i="59"/>
  <c r="S58" i="59"/>
  <c r="F45" i="59"/>
  <c r="F46" i="59" s="1"/>
  <c r="V46" i="59" s="1"/>
  <c r="F49" i="59"/>
  <c r="F50" i="59" s="1"/>
  <c r="V50" i="59" s="1"/>
  <c r="D37" i="59"/>
  <c r="D36" i="59"/>
  <c r="C41" i="59"/>
  <c r="C42" i="59" s="1"/>
  <c r="T58" i="59"/>
  <c r="O58" i="59"/>
  <c r="D58" i="59"/>
  <c r="C57" i="59"/>
  <c r="D57" i="59" s="1"/>
  <c r="D62" i="59"/>
  <c r="C65" i="59"/>
  <c r="D65" i="59" s="1"/>
  <c r="C69" i="59"/>
  <c r="D69" i="59" s="1"/>
  <c r="E69" i="59"/>
  <c r="E68" i="59" s="1"/>
  <c r="D70" i="59"/>
  <c r="C73" i="59"/>
  <c r="D73" i="59" s="1"/>
  <c r="U16" i="4"/>
  <c r="S16" i="4"/>
  <c r="Q16" i="4"/>
  <c r="O16" i="4"/>
  <c r="M16" i="4"/>
  <c r="K16" i="4"/>
  <c r="C68" i="59"/>
  <c r="D68" i="59"/>
  <c r="C56" i="59"/>
  <c r="O56" i="59" s="1"/>
  <c r="O57" i="59"/>
  <c r="C64" i="59"/>
  <c r="D64"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Z21" i="21"/>
  <c r="Q21" i="21"/>
  <c r="D83" i="21"/>
  <c r="E83" i="21"/>
  <c r="F83" i="21" s="1"/>
  <c r="G83" i="21" s="1"/>
  <c r="F21" i="21"/>
  <c r="S21" i="21" s="1"/>
  <c r="C21" i="21"/>
  <c r="Z27" i="40"/>
  <c r="Q27" i="40"/>
  <c r="D96" i="40"/>
  <c r="E96" i="40" s="1"/>
  <c r="F96" i="40" s="1"/>
  <c r="F27" i="40"/>
  <c r="AA27" i="40" s="1"/>
  <c r="Q31" i="39"/>
  <c r="Z31" i="39" s="1"/>
  <c r="D105" i="39"/>
  <c r="E105" i="39"/>
  <c r="F105" i="39" s="1"/>
  <c r="F31" i="39"/>
  <c r="AA31" i="39" s="1"/>
  <c r="G20" i="20"/>
  <c r="B85" i="46" s="1"/>
  <c r="C22" i="20"/>
  <c r="S21" i="37"/>
  <c r="B74" i="46"/>
  <c r="E66" i="36"/>
  <c r="H18" i="35"/>
  <c r="J18" i="35"/>
  <c r="H21" i="37"/>
  <c r="J21" i="37"/>
  <c r="H21" i="21"/>
  <c r="J21" i="21"/>
  <c r="H27" i="40"/>
  <c r="H31" i="39"/>
  <c r="F23" i="15"/>
  <c r="D23" i="15" s="1"/>
  <c r="D22" i="15"/>
  <c r="G17" i="11"/>
  <c r="F15" i="15"/>
  <c r="F17" i="15"/>
  <c r="F18" i="15"/>
  <c r="F20" i="15"/>
  <c r="F21" i="15"/>
  <c r="F33" i="15"/>
  <c r="F60" i="15"/>
  <c r="K2" i="4"/>
  <c r="A4" i="64" s="1"/>
  <c r="K1" i="4"/>
  <c r="B1" i="4"/>
  <c r="B37" i="50" s="1"/>
  <c r="B2" i="63" s="1"/>
  <c r="C31" i="57"/>
  <c r="C32" i="57"/>
  <c r="I23" i="57"/>
  <c r="D20" i="57"/>
  <c r="I19" i="57"/>
  <c r="I18" i="57"/>
  <c r="I17" i="57"/>
  <c r="E15" i="57"/>
  <c r="I14" i="57"/>
  <c r="I13" i="57"/>
  <c r="I12" i="57"/>
  <c r="I15" i="57" s="1"/>
  <c r="I9" i="57"/>
  <c r="I8" i="57"/>
  <c r="I7" i="57"/>
  <c r="I6" i="57"/>
  <c r="I5" i="57"/>
  <c r="I4" i="57"/>
  <c r="I3" i="57"/>
  <c r="I10" i="57" s="1"/>
  <c r="C30" i="57"/>
  <c r="E26" i="57"/>
  <c r="C112" i="9"/>
  <c r="F80" i="46"/>
  <c r="H81" i="46"/>
  <c r="D1" i="46"/>
  <c r="F113" i="46"/>
  <c r="D99" i="46"/>
  <c r="D108" i="46" s="1"/>
  <c r="E99" i="46"/>
  <c r="E108" i="46" s="1"/>
  <c r="F99" i="46"/>
  <c r="F100" i="46" s="1"/>
  <c r="G99" i="46"/>
  <c r="G108" i="46" s="1"/>
  <c r="H99" i="46"/>
  <c r="H108" i="46" s="1"/>
  <c r="I99" i="46"/>
  <c r="I108" i="46" s="1"/>
  <c r="J99" i="46"/>
  <c r="J108" i="46" s="1"/>
  <c r="K99" i="46"/>
  <c r="K108" i="46" s="1"/>
  <c r="L99" i="46"/>
  <c r="L100" i="46"/>
  <c r="M99" i="46"/>
  <c r="M108" i="46" s="1"/>
  <c r="N99" i="46"/>
  <c r="N108" i="46" s="1"/>
  <c r="C99" i="46"/>
  <c r="C108" i="46" s="1"/>
  <c r="L108" i="46"/>
  <c r="K58" i="46"/>
  <c r="J58" i="46"/>
  <c r="D58" i="46"/>
  <c r="K50" i="46"/>
  <c r="D83" i="46"/>
  <c r="D77" i="46"/>
  <c r="B83" i="46"/>
  <c r="B82" i="46"/>
  <c r="B71" i="46"/>
  <c r="B60" i="46"/>
  <c r="B49" i="46"/>
  <c r="M87" i="46"/>
  <c r="N87" i="46" s="1"/>
  <c r="K87" i="46"/>
  <c r="J87" i="46"/>
  <c r="D87" i="46"/>
  <c r="M86" i="46"/>
  <c r="N86" i="46"/>
  <c r="D86" i="46"/>
  <c r="K86" i="46"/>
  <c r="J86" i="46" s="1"/>
  <c r="M85" i="46"/>
  <c r="N85" i="46" s="1"/>
  <c r="D85" i="46"/>
  <c r="K85" i="46"/>
  <c r="J85" i="46" s="1"/>
  <c r="M84" i="46"/>
  <c r="N84" i="46" s="1"/>
  <c r="K84" i="46"/>
  <c r="J84" i="46" s="1"/>
  <c r="M83" i="46"/>
  <c r="N83" i="46" s="1"/>
  <c r="K83" i="46"/>
  <c r="J83" i="46"/>
  <c r="M82" i="46"/>
  <c r="N82" i="46" s="1"/>
  <c r="K82" i="46"/>
  <c r="J82" i="46" s="1"/>
  <c r="D82" i="46"/>
  <c r="M81" i="46"/>
  <c r="N81" i="46" s="1"/>
  <c r="K81" i="46"/>
  <c r="J81" i="46"/>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c r="K72" i="46"/>
  <c r="J72" i="46" s="1"/>
  <c r="D72" i="46"/>
  <c r="M71" i="46"/>
  <c r="N71" i="46" s="1"/>
  <c r="K71" i="46"/>
  <c r="J71" i="46" s="1"/>
  <c r="M70" i="46"/>
  <c r="N70" i="46" s="1"/>
  <c r="K70" i="46"/>
  <c r="J70" i="46" s="1"/>
  <c r="D70" i="46"/>
  <c r="M69" i="46"/>
  <c r="N69" i="46" s="1"/>
  <c r="K69" i="46"/>
  <c r="J69" i="46"/>
  <c r="M66" i="46"/>
  <c r="N66" i="46" s="1"/>
  <c r="K66" i="46"/>
  <c r="M65" i="46"/>
  <c r="N65" i="46" s="1"/>
  <c r="K65" i="46"/>
  <c r="J65" i="46" s="1"/>
  <c r="D65" i="46"/>
  <c r="M64" i="46"/>
  <c r="N64" i="46" s="1"/>
  <c r="K64" i="46"/>
  <c r="J64" i="46" s="1"/>
  <c r="D64" i="46"/>
  <c r="M63" i="46"/>
  <c r="N63" i="46"/>
  <c r="K63" i="46"/>
  <c r="J63" i="46" s="1"/>
  <c r="D63" i="46"/>
  <c r="M62" i="46"/>
  <c r="N62" i="46"/>
  <c r="K62" i="46"/>
  <c r="J62" i="46" s="1"/>
  <c r="D62" i="46"/>
  <c r="M61" i="46"/>
  <c r="N61" i="46" s="1"/>
  <c r="K61" i="46"/>
  <c r="J61" i="46" s="1"/>
  <c r="D61" i="46"/>
  <c r="M60" i="46"/>
  <c r="N60" i="46" s="1"/>
  <c r="K60" i="46"/>
  <c r="J60" i="46" s="1"/>
  <c r="D60" i="46"/>
  <c r="M59" i="46"/>
  <c r="N59" i="46"/>
  <c r="K59" i="46"/>
  <c r="J59" i="46" s="1"/>
  <c r="D59" i="46"/>
  <c r="M58" i="46"/>
  <c r="N58" i="46" s="1"/>
  <c r="M55" i="46"/>
  <c r="N55" i="46" s="1"/>
  <c r="K55" i="46"/>
  <c r="J55" i="46" s="1"/>
  <c r="M54" i="46"/>
  <c r="N54" i="46" s="1"/>
  <c r="K54" i="46"/>
  <c r="M53" i="46"/>
  <c r="N53" i="46" s="1"/>
  <c r="K53" i="46"/>
  <c r="J53" i="46"/>
  <c r="D53" i="46"/>
  <c r="M52" i="46"/>
  <c r="N52" i="46" s="1"/>
  <c r="K52" i="46"/>
  <c r="J52" i="46" s="1"/>
  <c r="D52" i="46"/>
  <c r="M51" i="46"/>
  <c r="N51" i="46" s="1"/>
  <c r="K51" i="46"/>
  <c r="J51" i="46" s="1"/>
  <c r="M50" i="46"/>
  <c r="N50" i="46" s="1"/>
  <c r="M49" i="46"/>
  <c r="N49" i="46" s="1"/>
  <c r="K49" i="46"/>
  <c r="J49" i="46" s="1"/>
  <c r="D49" i="46"/>
  <c r="M48" i="46"/>
  <c r="N48" i="46" s="1"/>
  <c r="K48" i="46"/>
  <c r="J48" i="46"/>
  <c r="D48" i="46"/>
  <c r="M47" i="46"/>
  <c r="N47" i="46"/>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F13" i="1"/>
  <c r="D11" i="1"/>
  <c r="D12" i="1"/>
  <c r="D13" i="1"/>
  <c r="D6" i="1"/>
  <c r="D7" i="1"/>
  <c r="D8" i="1"/>
  <c r="D9" i="1"/>
  <c r="F10" i="1"/>
  <c r="AP10" i="1" s="1"/>
  <c r="D10" i="1"/>
  <c r="B2" i="1"/>
  <c r="C7" i="37" s="1"/>
  <c r="C52" i="37" s="1"/>
  <c r="A12" i="1"/>
  <c r="R12" i="1" s="1"/>
  <c r="A13" i="1"/>
  <c r="B13" i="1"/>
  <c r="E13" i="1" s="1"/>
  <c r="A7" i="1"/>
  <c r="A8" i="1"/>
  <c r="A9" i="1"/>
  <c r="A10" i="1"/>
  <c r="R10" i="1" s="1"/>
  <c r="A11" i="1"/>
  <c r="A6" i="1"/>
  <c r="T4" i="1"/>
  <c r="K13" i="1"/>
  <c r="M13" i="1" s="1"/>
  <c r="G79" i="36"/>
  <c r="G85" i="35"/>
  <c r="G97" i="37"/>
  <c r="L2" i="31"/>
  <c r="K2" i="31"/>
  <c r="J2" i="31"/>
  <c r="I2" i="31"/>
  <c r="H2" i="31"/>
  <c r="G2" i="31"/>
  <c r="F2" i="31"/>
  <c r="E2" i="31"/>
  <c r="D2" i="31"/>
  <c r="C2" i="31"/>
  <c r="D60" i="15"/>
  <c r="G19" i="20"/>
  <c r="B84" i="46"/>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G76" i="3" s="1"/>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L66" i="3" s="1"/>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L64" i="3" s="1"/>
  <c r="BQ64" i="3"/>
  <c r="BP64" i="3"/>
  <c r="BO64" i="3"/>
  <c r="BN64" i="3"/>
  <c r="BM64" i="3"/>
  <c r="BK64" i="3"/>
  <c r="BJ64" i="3"/>
  <c r="BI64" i="3"/>
  <c r="BH64" i="3"/>
  <c r="BG64" i="3"/>
  <c r="BF64" i="3"/>
  <c r="BE64" i="3"/>
  <c r="BD64" i="3"/>
  <c r="BC64" i="3"/>
  <c r="BB64" i="3"/>
  <c r="AX64" i="3"/>
  <c r="AW64" i="3"/>
  <c r="AV64" i="3"/>
  <c r="AC64" i="3"/>
  <c r="H64" i="3"/>
  <c r="BT63" i="3"/>
  <c r="BS63" i="3"/>
  <c r="BR63" i="3"/>
  <c r="BL63" i="3" s="1"/>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L61" i="3" s="1"/>
  <c r="BR61" i="3"/>
  <c r="BQ61" i="3"/>
  <c r="BP61" i="3"/>
  <c r="BO61" i="3"/>
  <c r="BN61" i="3"/>
  <c r="BM61" i="3"/>
  <c r="BK61" i="3"/>
  <c r="BJ61" i="3"/>
  <c r="BI61" i="3"/>
  <c r="BH61" i="3"/>
  <c r="BG61" i="3"/>
  <c r="BF61" i="3"/>
  <c r="BE61" i="3"/>
  <c r="BD61" i="3"/>
  <c r="BC61" i="3"/>
  <c r="BB61" i="3"/>
  <c r="AX61" i="3"/>
  <c r="AW61" i="3"/>
  <c r="AV61" i="3"/>
  <c r="AC61" i="3"/>
  <c r="G61" i="3" s="1"/>
  <c r="H61" i="3"/>
  <c r="BT60" i="3"/>
  <c r="BS60" i="3"/>
  <c r="BL60" i="3" s="1"/>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A55" i="3" s="1"/>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A53" i="3" s="1"/>
  <c r="BF53" i="3"/>
  <c r="BE53" i="3"/>
  <c r="BD53" i="3"/>
  <c r="BC53" i="3"/>
  <c r="BB53" i="3"/>
  <c r="AX53" i="3"/>
  <c r="AW53" i="3"/>
  <c r="AV53" i="3"/>
  <c r="AC53" i="3"/>
  <c r="H53" i="3"/>
  <c r="G53" i="3"/>
  <c r="BT52" i="3"/>
  <c r="BS52" i="3"/>
  <c r="BR52" i="3"/>
  <c r="BQ52" i="3"/>
  <c r="BP52" i="3"/>
  <c r="BO52" i="3"/>
  <c r="BN52" i="3"/>
  <c r="BM52" i="3"/>
  <c r="BK52" i="3"/>
  <c r="BJ52" i="3"/>
  <c r="BI52" i="3"/>
  <c r="BH52" i="3"/>
  <c r="BA52" i="3" s="1"/>
  <c r="BG52" i="3"/>
  <c r="BF52" i="3"/>
  <c r="BE52" i="3"/>
  <c r="BD52" i="3"/>
  <c r="BC52" i="3"/>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A49" i="3" s="1"/>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L40" i="3" s="1"/>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A194" i="3" s="1"/>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A191" i="3" s="1"/>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L169" i="3" s="1"/>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A144" i="3" s="1"/>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A141" i="3" s="1"/>
  <c r="BD141" i="3"/>
  <c r="BC141" i="3"/>
  <c r="BB141" i="3"/>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L132" i="3" s="1"/>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A293" i="3" s="1"/>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A290" i="3" s="1"/>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A282" i="3" s="1"/>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A277" i="3" s="1"/>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L270" i="3" s="1"/>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A266" i="3" s="1"/>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A255" i="3" s="1"/>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L252" i="3" s="1"/>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L249" i="3" s="1"/>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L220" i="3" s="1"/>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L217" i="3" s="1"/>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A207" i="3" s="1"/>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L388" i="3" s="1"/>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L366" i="3" s="1"/>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A335" i="3" s="1"/>
  <c r="BH335" i="3"/>
  <c r="BG335" i="3"/>
  <c r="BF335" i="3"/>
  <c r="BE335" i="3"/>
  <c r="BD335" i="3"/>
  <c r="BC335" i="3"/>
  <c r="BB335" i="3"/>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A319" i="3" s="1"/>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A313" i="3" s="1"/>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L310" i="3" s="1"/>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A304" i="3" s="1"/>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A480" i="3" s="1"/>
  <c r="BF480" i="3"/>
  <c r="BE480" i="3"/>
  <c r="BD480" i="3"/>
  <c r="BC480" i="3"/>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A477" i="3" s="1"/>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L474" i="3" s="1"/>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L471" i="3" s="1"/>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A441" i="3" s="1"/>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A431" i="3" s="1"/>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A429" i="3" s="1"/>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A426" i="3" s="1"/>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L420" i="3" s="1"/>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A419" i="3" s="1"/>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L415" i="3" s="1"/>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L414" i="3" s="1"/>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L408" i="3" s="1"/>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L402" i="3" s="1"/>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L397" i="3" s="1"/>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c r="C56" i="40"/>
  <c r="H55" i="40"/>
  <c r="I55" i="40"/>
  <c r="C55" i="40" s="1"/>
  <c r="H54" i="40"/>
  <c r="I54" i="40" s="1"/>
  <c r="C54" i="40" s="1"/>
  <c r="H63" i="39"/>
  <c r="I63" i="39" s="1"/>
  <c r="C63" i="39" s="1"/>
  <c r="H59" i="39"/>
  <c r="I59" i="39" s="1"/>
  <c r="C59" i="39" s="1"/>
  <c r="H67" i="39"/>
  <c r="I67" i="39"/>
  <c r="C67" i="39" s="1"/>
  <c r="H66" i="39"/>
  <c r="I66" i="39" s="1"/>
  <c r="C66" i="39"/>
  <c r="H65" i="39"/>
  <c r="I65" i="39" s="1"/>
  <c r="C65" i="39" s="1"/>
  <c r="H64" i="39"/>
  <c r="I64" i="39"/>
  <c r="C64" i="39" s="1"/>
  <c r="H62" i="39"/>
  <c r="I62" i="39" s="1"/>
  <c r="C62" i="39" s="1"/>
  <c r="H61" i="39"/>
  <c r="I61" i="39" s="1"/>
  <c r="C61" i="39" s="1"/>
  <c r="H60" i="39"/>
  <c r="I60" i="39"/>
  <c r="C60" i="39" s="1"/>
  <c r="L25" i="4"/>
  <c r="C109" i="9"/>
  <c r="C145" i="21"/>
  <c r="K139" i="21" s="1"/>
  <c r="J142" i="21"/>
  <c r="J140" i="21"/>
  <c r="M87" i="21"/>
  <c r="L87" i="21"/>
  <c r="K87" i="21"/>
  <c r="J87" i="21"/>
  <c r="I87" i="21"/>
  <c r="H87" i="21"/>
  <c r="G87" i="21"/>
  <c r="F87" i="21"/>
  <c r="E87" i="21"/>
  <c r="D87" i="21"/>
  <c r="G2" i="46"/>
  <c r="H17" i="46" s="1"/>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S41" i="31" s="1"/>
  <c r="R42" i="31"/>
  <c r="S42" i="31"/>
  <c r="R43" i="31"/>
  <c r="R44" i="31"/>
  <c r="S44" i="31" s="1"/>
  <c r="R45" i="31"/>
  <c r="R46" i="31"/>
  <c r="S46" i="31"/>
  <c r="R47" i="31"/>
  <c r="R48" i="31"/>
  <c r="S48" i="31" s="1"/>
  <c r="R49" i="31"/>
  <c r="R50" i="31"/>
  <c r="S50" i="31" s="1"/>
  <c r="R51" i="31"/>
  <c r="R52" i="31"/>
  <c r="S52" i="31" s="1"/>
  <c r="R53" i="31"/>
  <c r="S53" i="31" s="1"/>
  <c r="R54" i="31"/>
  <c r="S54" i="31" s="1"/>
  <c r="R55" i="31"/>
  <c r="R56" i="31"/>
  <c r="S56" i="31" s="1"/>
  <c r="R57" i="31"/>
  <c r="R58" i="31"/>
  <c r="S58" i="31"/>
  <c r="R59" i="31"/>
  <c r="R60" i="31"/>
  <c r="S60" i="31" s="1"/>
  <c r="R61" i="31"/>
  <c r="R62" i="31"/>
  <c r="S62" i="31" s="1"/>
  <c r="R63" i="31"/>
  <c r="R64" i="31"/>
  <c r="S64" i="31" s="1"/>
  <c r="R65" i="31"/>
  <c r="R66" i="31"/>
  <c r="S66" i="31"/>
  <c r="R67" i="31"/>
  <c r="S67" i="31" s="1"/>
  <c r="R68" i="31"/>
  <c r="S68" i="31" s="1"/>
  <c r="R69" i="31"/>
  <c r="R70" i="31"/>
  <c r="S70" i="31"/>
  <c r="R71" i="31"/>
  <c r="R72" i="31"/>
  <c r="S72" i="31" s="1"/>
  <c r="R73" i="31"/>
  <c r="R74" i="31"/>
  <c r="S74" i="31" s="1"/>
  <c r="R75" i="31"/>
  <c r="R76" i="31"/>
  <c r="S76" i="31" s="1"/>
  <c r="R77" i="31"/>
  <c r="R78" i="31"/>
  <c r="S78" i="31" s="1"/>
  <c r="R79" i="31"/>
  <c r="R80" i="31"/>
  <c r="S80" i="31"/>
  <c r="R81" i="31"/>
  <c r="R82" i="31"/>
  <c r="S82" i="31"/>
  <c r="R83" i="31"/>
  <c r="R84" i="31"/>
  <c r="S84" i="31" s="1"/>
  <c r="R85" i="31"/>
  <c r="S85" i="31" s="1"/>
  <c r="R86" i="31"/>
  <c r="S86" i="31"/>
  <c r="R87" i="31"/>
  <c r="R88" i="31"/>
  <c r="S88" i="31" s="1"/>
  <c r="R89" i="31"/>
  <c r="R90" i="31"/>
  <c r="S90" i="31" s="1"/>
  <c r="R91" i="31"/>
  <c r="R92" i="31"/>
  <c r="S92" i="31" s="1"/>
  <c r="R93" i="31"/>
  <c r="R94" i="31"/>
  <c r="S94" i="31" s="1"/>
  <c r="R95" i="31"/>
  <c r="R96" i="31"/>
  <c r="S96" i="31"/>
  <c r="R97" i="31"/>
  <c r="R98" i="31"/>
  <c r="S98" i="31" s="1"/>
  <c r="R99" i="31"/>
  <c r="S99" i="31" s="1"/>
  <c r="R100" i="31"/>
  <c r="S100" i="31" s="1"/>
  <c r="R101" i="31"/>
  <c r="R102" i="31"/>
  <c r="S102" i="31" s="1"/>
  <c r="R103" i="31"/>
  <c r="R104" i="31"/>
  <c r="S104" i="31"/>
  <c r="R105" i="31"/>
  <c r="R106" i="31"/>
  <c r="S106" i="31"/>
  <c r="R107" i="31"/>
  <c r="R108" i="31"/>
  <c r="S108" i="31" s="1"/>
  <c r="R109" i="31"/>
  <c r="R110" i="31"/>
  <c r="S110" i="31"/>
  <c r="R111" i="31"/>
  <c r="R112" i="31"/>
  <c r="S112" i="31" s="1"/>
  <c r="R113" i="31"/>
  <c r="R114" i="31"/>
  <c r="S114" i="31" s="1"/>
  <c r="R115" i="31"/>
  <c r="R116" i="31"/>
  <c r="S116" i="31" s="1"/>
  <c r="R117" i="31"/>
  <c r="S117" i="31" s="1"/>
  <c r="R118" i="31"/>
  <c r="S118" i="31" s="1"/>
  <c r="R119" i="31"/>
  <c r="R120" i="31"/>
  <c r="S120" i="31" s="1"/>
  <c r="R121" i="31"/>
  <c r="R122" i="31"/>
  <c r="S122" i="31"/>
  <c r="R123" i="31"/>
  <c r="R124" i="31"/>
  <c r="S124" i="31" s="1"/>
  <c r="R125" i="31"/>
  <c r="R126" i="31"/>
  <c r="S126" i="31" s="1"/>
  <c r="R127" i="31"/>
  <c r="R128" i="31"/>
  <c r="S128" i="31" s="1"/>
  <c r="R129" i="31"/>
  <c r="R130" i="31"/>
  <c r="S130" i="31"/>
  <c r="R131" i="31"/>
  <c r="S131" i="31" s="1"/>
  <c r="R132" i="31"/>
  <c r="S132" i="31" s="1"/>
  <c r="R133" i="31"/>
  <c r="R134" i="31"/>
  <c r="S134" i="31"/>
  <c r="R135" i="31"/>
  <c r="R136" i="31"/>
  <c r="S136" i="31" s="1"/>
  <c r="R137" i="31"/>
  <c r="R138" i="31"/>
  <c r="S138" i="31" s="1"/>
  <c r="R139" i="31"/>
  <c r="R140" i="31"/>
  <c r="S140" i="31" s="1"/>
  <c r="R141" i="31"/>
  <c r="R142" i="31"/>
  <c r="S142" i="31" s="1"/>
  <c r="R143" i="31"/>
  <c r="R144" i="31"/>
  <c r="S144" i="31"/>
  <c r="R145" i="31"/>
  <c r="R146" i="31"/>
  <c r="S146" i="31"/>
  <c r="R147" i="31"/>
  <c r="R148" i="31"/>
  <c r="S148" i="31" s="1"/>
  <c r="R149" i="31"/>
  <c r="R150" i="31"/>
  <c r="S150" i="31"/>
  <c r="R151" i="31"/>
  <c r="R152" i="31"/>
  <c r="S152" i="31" s="1"/>
  <c r="R153" i="31"/>
  <c r="R154" i="31"/>
  <c r="S154" i="31" s="1"/>
  <c r="R155" i="31"/>
  <c r="R156" i="31"/>
  <c r="S156" i="31" s="1"/>
  <c r="R157" i="31"/>
  <c r="R158" i="31"/>
  <c r="S158" i="31" s="1"/>
  <c r="R159" i="31"/>
  <c r="R160" i="31"/>
  <c r="S160" i="31"/>
  <c r="R161" i="31"/>
  <c r="R162" i="31"/>
  <c r="S162" i="31" s="1"/>
  <c r="R163" i="31"/>
  <c r="S163" i="31" s="1"/>
  <c r="R164" i="31"/>
  <c r="S164" i="31" s="1"/>
  <c r="R165" i="31"/>
  <c r="R166" i="31"/>
  <c r="S166" i="31" s="1"/>
  <c r="R167" i="31"/>
  <c r="R168" i="31"/>
  <c r="S168" i="31"/>
  <c r="R169" i="31"/>
  <c r="R170" i="31"/>
  <c r="S170" i="3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S195" i="31" s="1"/>
  <c r="R196" i="31"/>
  <c r="S196" i="31" s="1"/>
  <c r="R197" i="31"/>
  <c r="R198" i="31"/>
  <c r="S198" i="31"/>
  <c r="R199" i="31"/>
  <c r="R200" i="31"/>
  <c r="S200" i="31" s="1"/>
  <c r="R201" i="31"/>
  <c r="R202" i="31"/>
  <c r="S202" i="31" s="1"/>
  <c r="R203" i="31"/>
  <c r="R204" i="31"/>
  <c r="S204" i="31" s="1"/>
  <c r="R205" i="31"/>
  <c r="R206" i="31"/>
  <c r="S206" i="31" s="1"/>
  <c r="R207" i="31"/>
  <c r="R208" i="31"/>
  <c r="S208" i="31"/>
  <c r="R209" i="31"/>
  <c r="R210" i="31"/>
  <c r="S210" i="31"/>
  <c r="R211" i="31"/>
  <c r="R212" i="31"/>
  <c r="S212" i="31" s="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s="1"/>
  <c r="R427" i="31"/>
  <c r="R428" i="31"/>
  <c r="S428" i="31"/>
  <c r="R429" i="31"/>
  <c r="R430" i="31"/>
  <c r="S430" i="31" s="1"/>
  <c r="R431" i="31"/>
  <c r="R432" i="31"/>
  <c r="S432" i="31" s="1"/>
  <c r="R433" i="31"/>
  <c r="R434" i="31"/>
  <c r="S434" i="31" s="1"/>
  <c r="R435" i="31"/>
  <c r="R436" i="31"/>
  <c r="S436" i="3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S457" i="31" s="1"/>
  <c r="R458" i="31"/>
  <c r="S458" i="31" s="1"/>
  <c r="R459" i="31"/>
  <c r="R460" i="31"/>
  <c r="S460" i="31" s="1"/>
  <c r="R461" i="31"/>
  <c r="R462" i="31"/>
  <c r="S462" i="3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c r="R515" i="31"/>
  <c r="S515" i="31" s="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c r="A3" i="51"/>
  <c r="R41" i="4"/>
  <c r="Q41" i="4"/>
  <c r="P41" i="4"/>
  <c r="O41" i="4"/>
  <c r="N41" i="4"/>
  <c r="M41" i="4"/>
  <c r="L41" i="4"/>
  <c r="K40" i="4"/>
  <c r="T40" i="4"/>
  <c r="F23" i="4"/>
  <c r="D19" i="4"/>
  <c r="I19" i="4"/>
  <c r="H19" i="4"/>
  <c r="G19" i="4"/>
  <c r="F9" i="1"/>
  <c r="F19" i="4"/>
  <c r="F8" i="1"/>
  <c r="AP8" i="1" s="1"/>
  <c r="E19" i="4"/>
  <c r="F7" i="1"/>
  <c r="B2" i="52"/>
  <c r="B6" i="52" s="1"/>
  <c r="I2" i="46"/>
  <c r="N12" i="46" s="1"/>
  <c r="A7" i="46"/>
  <c r="F41" i="4"/>
  <c r="J52" i="40" s="1"/>
  <c r="H61" i="49"/>
  <c r="H39" i="46"/>
  <c r="H38" i="46"/>
  <c r="H37" i="46"/>
  <c r="H36" i="46"/>
  <c r="H35" i="46"/>
  <c r="H34" i="46"/>
  <c r="H33" i="46"/>
  <c r="J20" i="46"/>
  <c r="C18" i="46"/>
  <c r="F15" i="46"/>
  <c r="E15" i="46"/>
  <c r="D15" i="46"/>
  <c r="C15" i="46"/>
  <c r="C10" i="46"/>
  <c r="C11" i="46" s="1"/>
  <c r="C9" i="46"/>
  <c r="E32" i="6"/>
  <c r="E21" i="6"/>
  <c r="K8" i="1"/>
  <c r="M8" i="1" s="1"/>
  <c r="O8" i="1" s="1"/>
  <c r="E22" i="6"/>
  <c r="E23" i="6"/>
  <c r="E24" i="6"/>
  <c r="E25" i="6"/>
  <c r="E26" i="6"/>
  <c r="C35" i="4"/>
  <c r="E16" i="12"/>
  <c r="F14" i="12"/>
  <c r="F15" i="12"/>
  <c r="F17" i="12"/>
  <c r="E19" i="12"/>
  <c r="E21" i="12"/>
  <c r="E22" i="12"/>
  <c r="F23" i="12"/>
  <c r="F24" i="12"/>
  <c r="C43" i="9"/>
  <c r="K47" i="9" s="1"/>
  <c r="B65" i="63"/>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c r="H10" i="40"/>
  <c r="AB10" i="40" s="1"/>
  <c r="H11" i="40"/>
  <c r="AB11" i="40"/>
  <c r="H36" i="40"/>
  <c r="AB36" i="40" s="1"/>
  <c r="J10" i="40"/>
  <c r="AC10" i="40" s="1"/>
  <c r="J11" i="40"/>
  <c r="AC11" i="40" s="1"/>
  <c r="J36" i="40"/>
  <c r="AC36" i="40"/>
  <c r="F10" i="39"/>
  <c r="AA10" i="39" s="1"/>
  <c r="F11" i="39"/>
  <c r="AA11" i="39"/>
  <c r="C25" i="39"/>
  <c r="F36" i="39"/>
  <c r="AA36" i="39"/>
  <c r="F40" i="39"/>
  <c r="F42" i="39"/>
  <c r="AA42" i="39" s="1"/>
  <c r="H10" i="39"/>
  <c r="H11" i="39"/>
  <c r="AB11" i="39"/>
  <c r="H36" i="39"/>
  <c r="AB36" i="39" s="1"/>
  <c r="H40" i="39"/>
  <c r="AB40" i="39"/>
  <c r="H42" i="39"/>
  <c r="AB42" i="39" s="1"/>
  <c r="J10" i="39"/>
  <c r="AC10" i="39"/>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K44" i="9"/>
  <c r="K43" i="9"/>
  <c r="B31" i="1"/>
  <c r="E10" i="11" s="1"/>
  <c r="B22" i="1"/>
  <c r="G21" i="43"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221" i="31"/>
  <c r="S219" i="31"/>
  <c r="S217" i="31"/>
  <c r="S215" i="31"/>
  <c r="S213" i="31"/>
  <c r="S211" i="31"/>
  <c r="S209" i="31"/>
  <c r="S207" i="31"/>
  <c r="S205" i="31"/>
  <c r="S203" i="31"/>
  <c r="S201" i="31"/>
  <c r="S199" i="31"/>
  <c r="S197" i="31"/>
  <c r="S193" i="31"/>
  <c r="S191" i="31"/>
  <c r="S189" i="31"/>
  <c r="S187" i="31"/>
  <c r="S185" i="31"/>
  <c r="S183" i="31"/>
  <c r="S181" i="31"/>
  <c r="S179" i="31"/>
  <c r="S177" i="31"/>
  <c r="S175" i="31"/>
  <c r="S173" i="31"/>
  <c r="S171" i="31"/>
  <c r="S169" i="31"/>
  <c r="S167" i="31"/>
  <c r="S165" i="31"/>
  <c r="S161" i="31"/>
  <c r="S159" i="31"/>
  <c r="S157" i="31"/>
  <c r="S155" i="31"/>
  <c r="S153" i="31"/>
  <c r="S151" i="31"/>
  <c r="S149" i="31"/>
  <c r="S147" i="31"/>
  <c r="S145" i="31"/>
  <c r="S143" i="31"/>
  <c r="S141" i="31"/>
  <c r="S139" i="31"/>
  <c r="S137" i="31"/>
  <c r="S135" i="31"/>
  <c r="S133"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5" i="31"/>
  <c r="S113" i="31"/>
  <c r="S467" i="31"/>
  <c r="S465" i="31"/>
  <c r="S463" i="31"/>
  <c r="S461" i="31"/>
  <c r="S459" i="31"/>
  <c r="S455" i="31"/>
  <c r="S453" i="31"/>
  <c r="S451" i="31"/>
  <c r="S51" i="31"/>
  <c r="S49" i="31"/>
  <c r="S47" i="31"/>
  <c r="S45" i="31"/>
  <c r="S43" i="31"/>
  <c r="S39" i="31"/>
  <c r="S37" i="31"/>
  <c r="S35" i="31"/>
  <c r="S33" i="31"/>
  <c r="S77" i="31"/>
  <c r="S75" i="31"/>
  <c r="S73" i="31"/>
  <c r="S71" i="31"/>
  <c r="S69" i="31"/>
  <c r="S65" i="31"/>
  <c r="S63" i="31"/>
  <c r="S61" i="31"/>
  <c r="S59" i="31"/>
  <c r="S57" i="31"/>
  <c r="S55" i="31"/>
  <c r="S24" i="31"/>
  <c r="S97" i="31"/>
  <c r="S95" i="31"/>
  <c r="S93" i="31"/>
  <c r="S91" i="31"/>
  <c r="S89" i="31"/>
  <c r="S87" i="31"/>
  <c r="S83" i="31"/>
  <c r="S81" i="31"/>
  <c r="S79" i="31"/>
  <c r="S31" i="31"/>
  <c r="S2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H14" i="3"/>
  <c r="AC14" i="3"/>
  <c r="H15" i="3"/>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L485" i="3" s="1"/>
  <c r="AZ485" i="3" s="1"/>
  <c r="BT485" i="3"/>
  <c r="H486" i="3"/>
  <c r="G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L487" i="3" s="1"/>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L491" i="3" s="1"/>
  <c r="AZ491" i="3" s="1"/>
  <c r="BT491" i="3"/>
  <c r="H492" i="3"/>
  <c r="AC492" i="3"/>
  <c r="BB492" i="3"/>
  <c r="BC492" i="3"/>
  <c r="BD492" i="3"/>
  <c r="BE492" i="3"/>
  <c r="BF492" i="3"/>
  <c r="BA492" i="3" s="1"/>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L498" i="3" s="1"/>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A505" i="3" s="1"/>
  <c r="AZ505" i="3" s="1"/>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A515" i="3" s="1"/>
  <c r="AZ515" i="3" s="1"/>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B5" i="3" s="1"/>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A520" i="3" s="1"/>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L528" i="3" s="1"/>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A532" i="3" s="1"/>
  <c r="AZ532" i="3" s="1"/>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L534" i="3" s="1"/>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A551" i="3" s="1"/>
  <c r="AZ551" i="3" s="1"/>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L559" i="3" s="1"/>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A562" i="3" s="1"/>
  <c r="AZ562" i="3" s="1"/>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A566" i="3" s="1"/>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A569" i="3" s="1"/>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S31" i="35" s="1"/>
  <c r="D87" i="35"/>
  <c r="E87" i="35" s="1"/>
  <c r="F87" i="35" s="1"/>
  <c r="G87" i="35" s="1"/>
  <c r="H87" i="35" s="1"/>
  <c r="I87" i="35" s="1"/>
  <c r="J87" i="35" s="1"/>
  <c r="K87" i="35" s="1"/>
  <c r="L87" i="35" s="1"/>
  <c r="M87" i="35" s="1"/>
  <c r="H34" i="37"/>
  <c r="AB34" i="37"/>
  <c r="D101" i="37"/>
  <c r="F34" i="37"/>
  <c r="AA34" i="37" s="1"/>
  <c r="D99" i="37"/>
  <c r="E99" i="37"/>
  <c r="S517" i="31"/>
  <c r="S519" i="31"/>
  <c r="S521" i="31"/>
  <c r="S523" i="31"/>
  <c r="F41" i="21"/>
  <c r="S41" i="21" s="1"/>
  <c r="J41" i="21"/>
  <c r="AC41" i="21" s="1"/>
  <c r="H41" i="21"/>
  <c r="U41" i="21" s="1"/>
  <c r="D83" i="39"/>
  <c r="E83" i="39"/>
  <c r="F83" i="39" s="1"/>
  <c r="G83" i="39" s="1"/>
  <c r="H83" i="39" s="1"/>
  <c r="I83" i="39" s="1"/>
  <c r="J83" i="39" s="1"/>
  <c r="K83" i="39" s="1"/>
  <c r="L83" i="39" s="1"/>
  <c r="M83" i="39" s="1"/>
  <c r="D78" i="40"/>
  <c r="F13" i="40"/>
  <c r="S13" i="40" s="1"/>
  <c r="B122" i="40"/>
  <c r="F42" i="40" s="1"/>
  <c r="AA42" i="40" s="1"/>
  <c r="B120" i="40"/>
  <c r="B118" i="40"/>
  <c r="F40" i="40" s="1"/>
  <c r="AA40" i="40"/>
  <c r="D117" i="40"/>
  <c r="E117" i="40" s="1"/>
  <c r="F117" i="40" s="1"/>
  <c r="G117" i="40" s="1"/>
  <c r="H117" i="40" s="1"/>
  <c r="I117" i="40"/>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c r="Q38" i="40"/>
  <c r="Z38" i="40"/>
  <c r="Q37" i="40"/>
  <c r="Z37" i="40"/>
  <c r="Q36" i="40"/>
  <c r="Z36" i="40" s="1"/>
  <c r="Q35" i="40"/>
  <c r="Z35" i="40" s="1"/>
  <c r="Q34" i="40"/>
  <c r="Z34" i="40"/>
  <c r="Q33" i="40"/>
  <c r="Z33" i="40"/>
  <c r="Q32" i="40"/>
  <c r="Z32" i="40"/>
  <c r="Q30" i="40"/>
  <c r="Z30" i="40"/>
  <c r="Q29" i="40"/>
  <c r="Z29" i="40" s="1"/>
  <c r="Q25" i="40"/>
  <c r="Z25" i="40" s="1"/>
  <c r="Q23" i="40"/>
  <c r="Z23" i="40"/>
  <c r="Q21" i="40"/>
  <c r="Z21" i="40"/>
  <c r="Q19" i="40"/>
  <c r="Z19" i="40"/>
  <c r="Q17" i="40"/>
  <c r="Z17" i="40"/>
  <c r="Q16" i="40"/>
  <c r="Z16" i="40" s="1"/>
  <c r="Q15" i="40"/>
  <c r="Z15" i="40" s="1"/>
  <c r="Q14" i="40"/>
  <c r="Z14" i="40"/>
  <c r="Q13" i="40"/>
  <c r="Z13" i="40"/>
  <c r="Q12" i="40"/>
  <c r="Z12" i="40"/>
  <c r="Q11" i="40"/>
  <c r="Z11" i="40"/>
  <c r="C9" i="40"/>
  <c r="C65" i="40" s="1"/>
  <c r="C67"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c r="Q47" i="39"/>
  <c r="Z47" i="39"/>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F97" i="39" s="1"/>
  <c r="G97" i="39" s="1"/>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s="1"/>
  <c r="Q33" i="39"/>
  <c r="Z33" i="39" s="1"/>
  <c r="Q29" i="39"/>
  <c r="Z29" i="39"/>
  <c r="Q27" i="39"/>
  <c r="Z27" i="39"/>
  <c r="Q25" i="39"/>
  <c r="Z25" i="39"/>
  <c r="Q23" i="39"/>
  <c r="Z23" i="39"/>
  <c r="Q21" i="39"/>
  <c r="Z21" i="39" s="1"/>
  <c r="Q19" i="39"/>
  <c r="Z19" i="39" s="1"/>
  <c r="Q17" i="39"/>
  <c r="Z17" i="39"/>
  <c r="Q16" i="39"/>
  <c r="Z16" i="39"/>
  <c r="Q15" i="39"/>
  <c r="Z15" i="39"/>
  <c r="Q14" i="39"/>
  <c r="Z14" i="39"/>
  <c r="Q13" i="39"/>
  <c r="Z13" i="39" s="1"/>
  <c r="Q12" i="39"/>
  <c r="Z12" i="39" s="1"/>
  <c r="Q11" i="39"/>
  <c r="Z11" i="39"/>
  <c r="C20" i="36"/>
  <c r="C20" i="35"/>
  <c r="C16" i="36"/>
  <c r="C16" i="35"/>
  <c r="C14" i="36"/>
  <c r="C14" i="35"/>
  <c r="B80" i="37"/>
  <c r="F25" i="37" s="1"/>
  <c r="S25" i="37" s="1"/>
  <c r="B110" i="37"/>
  <c r="F39" i="37" s="1"/>
  <c r="S39" i="37" s="1"/>
  <c r="J39" i="37"/>
  <c r="AC39" i="37" s="1"/>
  <c r="B108" i="37"/>
  <c r="C23" i="37"/>
  <c r="C19" i="37"/>
  <c r="C17" i="37"/>
  <c r="C15" i="37"/>
  <c r="B112" i="37"/>
  <c r="D107" i="37"/>
  <c r="E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D94" i="37"/>
  <c r="E94" i="37" s="1"/>
  <c r="M90" i="37"/>
  <c r="L90" i="37"/>
  <c r="K90" i="37"/>
  <c r="J90" i="37"/>
  <c r="I90" i="37"/>
  <c r="H90" i="37"/>
  <c r="G90" i="37"/>
  <c r="F90" i="37"/>
  <c r="E90" i="37"/>
  <c r="D90" i="37"/>
  <c r="C90" i="37"/>
  <c r="D89" i="37"/>
  <c r="B86" i="37"/>
  <c r="B84" i="37"/>
  <c r="B82" i="37"/>
  <c r="D79" i="37"/>
  <c r="E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AB10" i="37" s="1"/>
  <c r="U10"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W31" i="37" s="1"/>
  <c r="Q30" i="37"/>
  <c r="Z30" i="37"/>
  <c r="J30" i="37"/>
  <c r="W30" i="37" s="1"/>
  <c r="H30" i="37"/>
  <c r="AB30" i="37" s="1"/>
  <c r="F30" i="37"/>
  <c r="AA30" i="37" s="1"/>
  <c r="Q29" i="37"/>
  <c r="Z29" i="37" s="1"/>
  <c r="H29" i="37"/>
  <c r="U29" i="37" s="1"/>
  <c r="Q28" i="37"/>
  <c r="Z28" i="37" s="1"/>
  <c r="Q27" i="37"/>
  <c r="Z27" i="37" s="1"/>
  <c r="Q26" i="37"/>
  <c r="Z26" i="37" s="1"/>
  <c r="J26" i="37"/>
  <c r="H26" i="37"/>
  <c r="AB26" i="37" s="1"/>
  <c r="F26" i="37"/>
  <c r="AA26" i="37" s="1"/>
  <c r="Q25" i="37"/>
  <c r="Z25" i="37" s="1"/>
  <c r="Q23" i="37"/>
  <c r="Z23" i="37" s="1"/>
  <c r="Q19" i="37"/>
  <c r="Z19" i="37"/>
  <c r="Q17" i="37"/>
  <c r="Z17" i="37"/>
  <c r="Q15" i="37"/>
  <c r="Z15" i="37"/>
  <c r="Q14" i="37"/>
  <c r="Z14" i="37"/>
  <c r="Q13" i="37"/>
  <c r="Z13" i="37"/>
  <c r="Q12" i="37"/>
  <c r="Z12" i="37" s="1"/>
  <c r="Q11" i="37"/>
  <c r="Z11" i="37"/>
  <c r="Q10" i="37"/>
  <c r="Z10" i="37"/>
  <c r="F10" i="37"/>
  <c r="AA10" i="37"/>
  <c r="Q9" i="37"/>
  <c r="Z9" i="37"/>
  <c r="J8" i="37"/>
  <c r="W8" i="37"/>
  <c r="H8" i="37"/>
  <c r="AB8" i="37" s="1"/>
  <c r="F8" i="37"/>
  <c r="J31" i="36"/>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B91" i="36"/>
  <c r="H32" i="36" s="1"/>
  <c r="B95" i="36"/>
  <c r="H34" i="36" s="1"/>
  <c r="U34" i="36" s="1"/>
  <c r="D83" i="36"/>
  <c r="E83" i="36" s="1"/>
  <c r="F83" i="36"/>
  <c r="G83" i="36" s="1"/>
  <c r="H83" i="36" s="1"/>
  <c r="I83" i="36" s="1"/>
  <c r="J83" i="36" s="1"/>
  <c r="K83" i="36"/>
  <c r="L83" i="36" s="1"/>
  <c r="M83" i="36" s="1"/>
  <c r="D78" i="36"/>
  <c r="J26" i="36"/>
  <c r="W26" i="36" s="1"/>
  <c r="B75" i="36"/>
  <c r="B73" i="36"/>
  <c r="H24" i="36" s="1"/>
  <c r="U24" i="36" s="1"/>
  <c r="B71" i="36"/>
  <c r="D70" i="36"/>
  <c r="H22" i="36"/>
  <c r="AB22" i="36" s="1"/>
  <c r="D68" i="36"/>
  <c r="E68" i="36" s="1"/>
  <c r="D64" i="36"/>
  <c r="E64" i="36"/>
  <c r="F64" i="36" s="1"/>
  <c r="G64" i="36"/>
  <c r="J16" i="36"/>
  <c r="D62" i="36"/>
  <c r="E62" i="36" s="1"/>
  <c r="B59" i="36"/>
  <c r="F13" i="36" s="1"/>
  <c r="S13" i="36" s="1"/>
  <c r="B57" i="36"/>
  <c r="B55" i="36"/>
  <c r="F54" i="36"/>
  <c r="G54" i="36" s="1"/>
  <c r="H54" i="36" s="1"/>
  <c r="I54" i="36" s="1"/>
  <c r="J10" i="36"/>
  <c r="W10" i="36" s="1"/>
  <c r="C51" i="36"/>
  <c r="F9" i="36" s="1"/>
  <c r="P37" i="36"/>
  <c r="P36" i="36"/>
  <c r="V35" i="36"/>
  <c r="T35" i="36"/>
  <c r="R35" i="36"/>
  <c r="P35" i="36"/>
  <c r="Q34" i="36"/>
  <c r="Z34" i="36" s="1"/>
  <c r="Q33" i="36"/>
  <c r="Z33" i="36"/>
  <c r="Q32" i="36"/>
  <c r="Z32" i="36"/>
  <c r="Q31" i="36"/>
  <c r="Z31" i="36"/>
  <c r="Q30" i="36"/>
  <c r="Z30" i="36"/>
  <c r="Q29" i="36"/>
  <c r="Z29" i="36" s="1"/>
  <c r="Q28" i="36"/>
  <c r="Z28" i="36" s="1"/>
  <c r="J28" i="36"/>
  <c r="AC28" i="36"/>
  <c r="Q27" i="36"/>
  <c r="Z27" i="36"/>
  <c r="Q26" i="36"/>
  <c r="Z26" i="36"/>
  <c r="H26" i="36"/>
  <c r="AB26" i="36" s="1"/>
  <c r="Q25" i="36"/>
  <c r="Z25" i="36"/>
  <c r="Q24" i="36"/>
  <c r="Z24" i="36" s="1"/>
  <c r="Q23" i="36"/>
  <c r="Z23" i="36" s="1"/>
  <c r="J23" i="36"/>
  <c r="AC23" i="36" s="1"/>
  <c r="H23" i="36"/>
  <c r="AB23" i="36"/>
  <c r="F23" i="36"/>
  <c r="AA23" i="36" s="1"/>
  <c r="Q22" i="36"/>
  <c r="Z22" i="36"/>
  <c r="J22" i="36"/>
  <c r="AC22" i="36"/>
  <c r="Q20" i="36"/>
  <c r="Z20" i="36" s="1"/>
  <c r="Q16" i="36"/>
  <c r="Z16" i="36" s="1"/>
  <c r="Q14" i="36"/>
  <c r="Z14" i="36"/>
  <c r="Q13" i="36"/>
  <c r="Z13" i="36"/>
  <c r="Q12" i="36"/>
  <c r="Z12" i="36" s="1"/>
  <c r="Q11" i="36"/>
  <c r="Z11" i="36" s="1"/>
  <c r="Q10" i="36"/>
  <c r="Z10" i="36"/>
  <c r="F10" i="36"/>
  <c r="AA10" i="36" s="1"/>
  <c r="Q9" i="36"/>
  <c r="Z9" i="36" s="1"/>
  <c r="J8" i="36"/>
  <c r="AC8" i="36"/>
  <c r="H8" i="36"/>
  <c r="F8" i="36"/>
  <c r="AA8"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s="1"/>
  <c r="B99" i="35"/>
  <c r="B97" i="35"/>
  <c r="B77" i="35"/>
  <c r="B75" i="35"/>
  <c r="F24" i="35" s="1"/>
  <c r="AA24" i="35" s="1"/>
  <c r="B73" i="35"/>
  <c r="B57" i="35"/>
  <c r="F11" i="35" s="1"/>
  <c r="S11" i="35" s="1"/>
  <c r="B61" i="35"/>
  <c r="J13" i="35" s="1"/>
  <c r="B59" i="35"/>
  <c r="F12" i="35" s="1"/>
  <c r="D96" i="35"/>
  <c r="E96" i="35" s="1"/>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J36" i="35"/>
  <c r="Q35" i="35"/>
  <c r="Z35" i="35" s="1"/>
  <c r="Q34" i="35"/>
  <c r="Z34" i="35"/>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c r="Q26" i="35"/>
  <c r="Z26" i="35" s="1"/>
  <c r="Q25" i="35"/>
  <c r="Z25" i="35" s="1"/>
  <c r="Q24" i="35"/>
  <c r="Z24" i="35" s="1"/>
  <c r="Q23" i="35"/>
  <c r="Z23" i="35" s="1"/>
  <c r="J23" i="35"/>
  <c r="Q22" i="35"/>
  <c r="Z22" i="35"/>
  <c r="Q20" i="35"/>
  <c r="Z20" i="35" s="1"/>
  <c r="Q16" i="35"/>
  <c r="Z16" i="35"/>
  <c r="Q14" i="35"/>
  <c r="Z14" i="35" s="1"/>
  <c r="Q13" i="35"/>
  <c r="Z13" i="35" s="1"/>
  <c r="Q12" i="35"/>
  <c r="Z12" i="35" s="1"/>
  <c r="Q11" i="35"/>
  <c r="Z11" i="35" s="1"/>
  <c r="Q10" i="35"/>
  <c r="Z10" i="35"/>
  <c r="Q9" i="35"/>
  <c r="Z9" i="35"/>
  <c r="J8" i="35"/>
  <c r="AC8" i="35" s="1"/>
  <c r="H8" i="35"/>
  <c r="F8" i="35"/>
  <c r="AA8" i="35" s="1"/>
  <c r="C15" i="21"/>
  <c r="M102" i="21"/>
  <c r="D102" i="21"/>
  <c r="E102" i="21"/>
  <c r="F102" i="21"/>
  <c r="G102" i="21"/>
  <c r="H102" i="21"/>
  <c r="I102" i="21"/>
  <c r="J102" i="21"/>
  <c r="K102" i="21"/>
  <c r="L102" i="21"/>
  <c r="C102" i="21"/>
  <c r="C63" i="21"/>
  <c r="J9" i="21" s="1"/>
  <c r="AC9" i="21" s="1"/>
  <c r="F9" i="21"/>
  <c r="S9" i="21" s="1"/>
  <c r="G18" i="20"/>
  <c r="B87" i="46" s="1"/>
  <c r="C25" i="40"/>
  <c r="G16" i="20"/>
  <c r="B81" i="46"/>
  <c r="G15" i="20"/>
  <c r="B80" i="46" s="1"/>
  <c r="C24" i="20"/>
  <c r="B72" i="46"/>
  <c r="C21" i="20"/>
  <c r="C29" i="39" s="1"/>
  <c r="C20" i="20"/>
  <c r="B76" i="46" s="1"/>
  <c r="C18" i="20"/>
  <c r="B70" i="46" s="1"/>
  <c r="C17" i="20"/>
  <c r="B58" i="46" s="1"/>
  <c r="C16" i="20"/>
  <c r="B47" i="46" s="1"/>
  <c r="C15" i="20"/>
  <c r="B69" i="46"/>
  <c r="E54" i="21"/>
  <c r="F54" i="21" s="1"/>
  <c r="I54" i="21"/>
  <c r="J54" i="21"/>
  <c r="G54" i="21"/>
  <c r="H54" i="21" s="1"/>
  <c r="D125" i="21"/>
  <c r="E125" i="21" s="1"/>
  <c r="F125" i="21" s="1"/>
  <c r="G125" i="21" s="1"/>
  <c r="D123" i="21"/>
  <c r="E123" i="21" s="1"/>
  <c r="F123" i="21" s="1"/>
  <c r="G123" i="21"/>
  <c r="H123" i="21" s="1"/>
  <c r="I123" i="21" s="1"/>
  <c r="J123" i="21" s="1"/>
  <c r="K123" i="21" s="1"/>
  <c r="L123" i="21" s="1"/>
  <c r="M123" i="21" s="1"/>
  <c r="H42" i="21"/>
  <c r="AB42"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c r="H110" i="21" s="1"/>
  <c r="I110" i="21" s="1"/>
  <c r="J110" i="21" s="1"/>
  <c r="K110" i="21"/>
  <c r="L110" i="21" s="1"/>
  <c r="M110" i="21" s="1"/>
  <c r="J36" i="21"/>
  <c r="W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c r="I101" i="21"/>
  <c r="J101" i="21" s="1"/>
  <c r="K101" i="21" s="1"/>
  <c r="L101" i="21" s="1"/>
  <c r="M101" i="21"/>
  <c r="D89" i="21"/>
  <c r="E89" i="21"/>
  <c r="F89" i="21" s="1"/>
  <c r="G89" i="2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D81" i="21"/>
  <c r="E81" i="21" s="1"/>
  <c r="F81" i="21" s="1"/>
  <c r="G81" i="21" s="1"/>
  <c r="D77" i="21"/>
  <c r="E77" i="21" s="1"/>
  <c r="B130" i="21"/>
  <c r="H46" i="21" s="1"/>
  <c r="B128" i="21"/>
  <c r="F45" i="21" s="1"/>
  <c r="AA45" i="21" s="1"/>
  <c r="B126" i="21"/>
  <c r="J44" i="21" s="1"/>
  <c r="AC44" i="21" s="1"/>
  <c r="B98" i="21"/>
  <c r="B96" i="21"/>
  <c r="F30" i="21" s="1"/>
  <c r="B94" i="21"/>
  <c r="H29" i="21" s="1"/>
  <c r="B92" i="21"/>
  <c r="B90" i="21"/>
  <c r="J27" i="21" s="1"/>
  <c r="B74" i="21"/>
  <c r="H14" i="21" s="1"/>
  <c r="B72" i="21"/>
  <c r="J13" i="21" s="1"/>
  <c r="AC13" i="21" s="1"/>
  <c r="B70" i="21"/>
  <c r="F10" i="21"/>
  <c r="AA10"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c r="E13" i="11"/>
  <c r="E12" i="11"/>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L571" i="3" s="1"/>
  <c r="AZ571" i="3" s="1"/>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G570" i="3" s="1"/>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AH6" i="1" s="1"/>
  <c r="L5" i="3"/>
  <c r="M5" i="3"/>
  <c r="N5" i="3"/>
  <c r="O5" i="3"/>
  <c r="P5" i="3"/>
  <c r="Q5" i="3"/>
  <c r="R5" i="3"/>
  <c r="S5" i="3"/>
  <c r="T5" i="3"/>
  <c r="U5" i="3"/>
  <c r="V5" i="3"/>
  <c r="W5" i="3"/>
  <c r="X5" i="3"/>
  <c r="Y5" i="3"/>
  <c r="Z5" i="3"/>
  <c r="AA5" i="3"/>
  <c r="AB5" i="3"/>
  <c r="H570" i="3"/>
  <c r="H571" i="3"/>
  <c r="H572" i="3"/>
  <c r="F5" i="3"/>
  <c r="G27" i="6"/>
  <c r="F34" i="21"/>
  <c r="AA34" i="21"/>
  <c r="H34" i="21"/>
  <c r="U34" i="21"/>
  <c r="F43" i="21"/>
  <c r="S43" i="21"/>
  <c r="H38" i="21"/>
  <c r="AB38" i="21"/>
  <c r="H43" i="21"/>
  <c r="AB43" i="21"/>
  <c r="F32" i="21"/>
  <c r="F38" i="21"/>
  <c r="F36" i="21"/>
  <c r="S36" i="21" s="1"/>
  <c r="F39" i="21"/>
  <c r="AA39" i="21" s="1"/>
  <c r="J40" i="21"/>
  <c r="AC40" i="21" s="1"/>
  <c r="H35" i="21"/>
  <c r="AB35" i="21" s="1"/>
  <c r="J8" i="21"/>
  <c r="AC8" i="21"/>
  <c r="H8" i="21"/>
  <c r="AB8" i="21" s="1"/>
  <c r="H10" i="21"/>
  <c r="U10" i="21" s="1"/>
  <c r="H39" i="21"/>
  <c r="AB39" i="21" s="1"/>
  <c r="J34" i="21"/>
  <c r="W34" i="21" s="1"/>
  <c r="H36" i="21"/>
  <c r="U36" i="21" s="1"/>
  <c r="F35" i="21"/>
  <c r="AA35" i="21"/>
  <c r="J33" i="21"/>
  <c r="AC33" i="21" s="1"/>
  <c r="W33" i="21"/>
  <c r="H33" i="21"/>
  <c r="U33" i="21" s="1"/>
  <c r="F33" i="21"/>
  <c r="S33" i="21" s="1"/>
  <c r="J10" i="21"/>
  <c r="AC10" i="21" s="1"/>
  <c r="H26" i="21"/>
  <c r="F19" i="21"/>
  <c r="S19" i="21" s="1"/>
  <c r="H19" i="21"/>
  <c r="AB19" i="21" s="1"/>
  <c r="J19" i="21"/>
  <c r="W19" i="21" s="1"/>
  <c r="H12" i="21"/>
  <c r="U12" i="21" s="1"/>
  <c r="J26" i="21"/>
  <c r="W26" i="21" s="1"/>
  <c r="F26" i="21"/>
  <c r="AA26" i="21" s="1"/>
  <c r="AB41" i="21"/>
  <c r="W41" i="21"/>
  <c r="S10" i="39"/>
  <c r="U30" i="37"/>
  <c r="W39" i="37"/>
  <c r="F29" i="36"/>
  <c r="AA29" i="36" s="1"/>
  <c r="F16" i="36"/>
  <c r="AA16" i="36"/>
  <c r="W22" i="36"/>
  <c r="U26" i="36"/>
  <c r="J33" i="36"/>
  <c r="W33" i="36" s="1"/>
  <c r="AC27" i="35"/>
  <c r="U31" i="35"/>
  <c r="S8" i="21"/>
  <c r="W8" i="21"/>
  <c r="AB27" i="35"/>
  <c r="S10" i="40"/>
  <c r="W10" i="40"/>
  <c r="S11" i="40"/>
  <c r="U11" i="40"/>
  <c r="S36" i="40"/>
  <c r="U36" i="40"/>
  <c r="S36" i="39"/>
  <c r="F11" i="21"/>
  <c r="S11" i="21" s="1"/>
  <c r="AC35" i="21"/>
  <c r="U36" i="39"/>
  <c r="S42" i="39"/>
  <c r="H11" i="21"/>
  <c r="U11" i="21"/>
  <c r="J11" i="21"/>
  <c r="W11" i="21"/>
  <c r="F86" i="40"/>
  <c r="G86" i="40" s="1"/>
  <c r="J27" i="36"/>
  <c r="W27" i="36" s="1"/>
  <c r="J30" i="35"/>
  <c r="W30" i="35" s="1"/>
  <c r="F22" i="35"/>
  <c r="S22" i="35" s="1"/>
  <c r="H10" i="35"/>
  <c r="U10" i="35" s="1"/>
  <c r="E85" i="36"/>
  <c r="F85" i="36" s="1"/>
  <c r="G85" i="36" s="1"/>
  <c r="H85" i="36" s="1"/>
  <c r="I85" i="36" s="1"/>
  <c r="J85" i="36" s="1"/>
  <c r="K85" i="36" s="1"/>
  <c r="L85" i="36" s="1"/>
  <c r="M85" i="36" s="1"/>
  <c r="J29" i="36"/>
  <c r="AC29" i="36" s="1"/>
  <c r="H16" i="35"/>
  <c r="U16" i="35" s="1"/>
  <c r="H33" i="35"/>
  <c r="AB33" i="35" s="1"/>
  <c r="F35" i="37"/>
  <c r="E101" i="37"/>
  <c r="F101" i="37" s="1"/>
  <c r="G101" i="37" s="1"/>
  <c r="H101" i="37" s="1"/>
  <c r="I101" i="37" s="1"/>
  <c r="J101" i="37" s="1"/>
  <c r="K101" i="37" s="1"/>
  <c r="L101" i="37" s="1"/>
  <c r="M101" i="37" s="1"/>
  <c r="J34" i="37"/>
  <c r="W34" i="37" s="1"/>
  <c r="AB30" i="36"/>
  <c r="H29" i="35"/>
  <c r="U34" i="37"/>
  <c r="J42" i="21"/>
  <c r="AC42" i="21" s="1"/>
  <c r="J10" i="35"/>
  <c r="W10" i="35" s="1"/>
  <c r="AL5" i="3"/>
  <c r="BQ13" i="3"/>
  <c r="J14" i="21"/>
  <c r="F14" i="21"/>
  <c r="AA14" i="21" s="1"/>
  <c r="U14" i="21"/>
  <c r="H28" i="21"/>
  <c r="F28" i="21"/>
  <c r="AA28" i="21" s="1"/>
  <c r="J28" i="21"/>
  <c r="AC28" i="21"/>
  <c r="H44" i="21"/>
  <c r="U44" i="21" s="1"/>
  <c r="F44" i="21"/>
  <c r="AA44" i="21"/>
  <c r="J46" i="21"/>
  <c r="W46" i="21" s="1"/>
  <c r="F46" i="21"/>
  <c r="F33" i="35"/>
  <c r="S33" i="35" s="1"/>
  <c r="J33" i="35"/>
  <c r="W33" i="35" s="1"/>
  <c r="F30" i="35"/>
  <c r="AA30" i="35" s="1"/>
  <c r="H10" i="36"/>
  <c r="AB10" i="36" s="1"/>
  <c r="F28" i="36"/>
  <c r="S28" i="36"/>
  <c r="F27" i="36"/>
  <c r="S27" i="36"/>
  <c r="F13" i="21"/>
  <c r="AA13" i="21" s="1"/>
  <c r="H27" i="21"/>
  <c r="AB27" i="21" s="1"/>
  <c r="F27" i="21"/>
  <c r="AA27" i="21" s="1"/>
  <c r="J29" i="21"/>
  <c r="AC29" i="21" s="1"/>
  <c r="U29" i="21"/>
  <c r="F29" i="21"/>
  <c r="S29" i="21"/>
  <c r="J31" i="21"/>
  <c r="AC31" i="21" s="1"/>
  <c r="H31" i="21"/>
  <c r="AB31" i="21" s="1"/>
  <c r="F31" i="21"/>
  <c r="S31" i="21" s="1"/>
  <c r="J45" i="21"/>
  <c r="W45" i="21" s="1"/>
  <c r="H45" i="21"/>
  <c r="U45" i="21" s="1"/>
  <c r="H28" i="36"/>
  <c r="AB28" i="36" s="1"/>
  <c r="U28" i="36"/>
  <c r="AB32" i="36"/>
  <c r="J11" i="36"/>
  <c r="W11" i="36" s="1"/>
  <c r="H13" i="36"/>
  <c r="AB13" i="36" s="1"/>
  <c r="E89" i="37"/>
  <c r="F89" i="37" s="1"/>
  <c r="G89" i="37" s="1"/>
  <c r="H89" i="37" s="1"/>
  <c r="I89" i="37" s="1"/>
  <c r="J89" i="37" s="1"/>
  <c r="K89" i="37" s="1"/>
  <c r="L89" i="37" s="1"/>
  <c r="M89" i="37" s="1"/>
  <c r="J29" i="37"/>
  <c r="AC29" i="37" s="1"/>
  <c r="W29" i="37"/>
  <c r="F29" i="37"/>
  <c r="AA29" i="37" s="1"/>
  <c r="AB36" i="37"/>
  <c r="F107" i="37"/>
  <c r="G107" i="37" s="1"/>
  <c r="J37" i="37"/>
  <c r="AC37" i="37" s="1"/>
  <c r="H37" i="37"/>
  <c r="U37" i="37"/>
  <c r="H40" i="37"/>
  <c r="J40" i="37"/>
  <c r="F40" i="37"/>
  <c r="AA40" i="37"/>
  <c r="J25" i="35"/>
  <c r="AC25" i="35" s="1"/>
  <c r="F25" i="35"/>
  <c r="AA25" i="35"/>
  <c r="H25" i="35"/>
  <c r="AB25" i="35" s="1"/>
  <c r="F35" i="35"/>
  <c r="S35" i="35" s="1"/>
  <c r="J25" i="36"/>
  <c r="W25" i="36" s="1"/>
  <c r="F25" i="36"/>
  <c r="AA25" i="36" s="1"/>
  <c r="H25" i="36"/>
  <c r="AB25" i="36" s="1"/>
  <c r="F13" i="37"/>
  <c r="S13" i="37" s="1"/>
  <c r="F28" i="37"/>
  <c r="AA28" i="37"/>
  <c r="J28" i="37"/>
  <c r="AC28" i="37"/>
  <c r="H28" i="37"/>
  <c r="U28" i="37"/>
  <c r="J38" i="37"/>
  <c r="AC38" i="37" s="1"/>
  <c r="F14" i="37"/>
  <c r="AA14" i="37" s="1"/>
  <c r="J14" i="37"/>
  <c r="W14" i="37" s="1"/>
  <c r="J36" i="37"/>
  <c r="AC36" i="37"/>
  <c r="S28" i="21"/>
  <c r="AB14" i="21"/>
  <c r="W42" i="21"/>
  <c r="U36" i="37"/>
  <c r="S45" i="21"/>
  <c r="G529" i="3"/>
  <c r="G521" i="3"/>
  <c r="G508" i="3"/>
  <c r="G499" i="3"/>
  <c r="G493" i="3"/>
  <c r="G565" i="3"/>
  <c r="G561" i="3"/>
  <c r="G549" i="3"/>
  <c r="G539" i="3"/>
  <c r="BL561" i="3"/>
  <c r="BL535" i="3"/>
  <c r="BL527" i="3"/>
  <c r="BL501" i="3"/>
  <c r="G16" i="3"/>
  <c r="BL555" i="3"/>
  <c r="BL551" i="3"/>
  <c r="BL525" i="3"/>
  <c r="AZ525" i="3" s="1"/>
  <c r="G518" i="3"/>
  <c r="G514" i="3"/>
  <c r="BL495" i="3"/>
  <c r="BA561" i="3"/>
  <c r="BA559" i="3"/>
  <c r="BA557" i="3"/>
  <c r="BA541" i="3"/>
  <c r="BA521" i="3"/>
  <c r="AZ521" i="3" s="1"/>
  <c r="BA493" i="3"/>
  <c r="BA556" i="3"/>
  <c r="BA554" i="3"/>
  <c r="BA544" i="3"/>
  <c r="BA516" i="3"/>
  <c r="BA502" i="3"/>
  <c r="G562" i="3"/>
  <c r="G560" i="3"/>
  <c r="G558" i="3"/>
  <c r="G550" i="3"/>
  <c r="G546" i="3"/>
  <c r="AC542" i="3"/>
  <c r="G542" i="3" s="1"/>
  <c r="BQ542" i="3"/>
  <c r="BL542" i="3" s="1"/>
  <c r="BQ568" i="3"/>
  <c r="BQ566" i="3"/>
  <c r="BQ564" i="3"/>
  <c r="BQ562" i="3"/>
  <c r="BL562" i="3"/>
  <c r="BQ560" i="3"/>
  <c r="BQ558" i="3"/>
  <c r="BL558" i="3" s="1"/>
  <c r="BQ556" i="3"/>
  <c r="BQ554" i="3"/>
  <c r="BQ552" i="3"/>
  <c r="BQ550" i="3"/>
  <c r="BQ548" i="3"/>
  <c r="BQ546" i="3"/>
  <c r="BL546" i="3"/>
  <c r="BQ544" i="3"/>
  <c r="G544" i="3"/>
  <c r="G538" i="3"/>
  <c r="G534" i="3"/>
  <c r="G526" i="3"/>
  <c r="G522" i="3"/>
  <c r="BQ540" i="3"/>
  <c r="BQ538" i="3"/>
  <c r="BQ536" i="3"/>
  <c r="BQ534" i="3"/>
  <c r="BQ532" i="3"/>
  <c r="BL532" i="3"/>
  <c r="BQ530" i="3"/>
  <c r="BL530" i="3" s="1"/>
  <c r="AZ530" i="3" s="1"/>
  <c r="BQ528" i="3"/>
  <c r="BQ526" i="3"/>
  <c r="BL526" i="3" s="1"/>
  <c r="BQ524" i="3"/>
  <c r="BQ522" i="3"/>
  <c r="BQ520" i="3"/>
  <c r="BQ518" i="3"/>
  <c r="BQ516" i="3"/>
  <c r="BL516" i="3" s="1"/>
  <c r="AZ516" i="3" s="1"/>
  <c r="BQ514" i="3"/>
  <c r="BL514" i="3"/>
  <c r="BQ512" i="3"/>
  <c r="BQ510" i="3"/>
  <c r="BQ508" i="3"/>
  <c r="BL508" i="3" s="1"/>
  <c r="AC506" i="3"/>
  <c r="G506" i="3" s="1"/>
  <c r="BQ506" i="3"/>
  <c r="BL506" i="3" s="1"/>
  <c r="G502" i="3"/>
  <c r="BQ504" i="3"/>
  <c r="BQ502" i="3"/>
  <c r="BL502" i="3" s="1"/>
  <c r="BQ500" i="3"/>
  <c r="BQ498" i="3"/>
  <c r="BQ496" i="3"/>
  <c r="AC494" i="3"/>
  <c r="AC5" i="3" s="1"/>
  <c r="BQ494" i="3"/>
  <c r="G492" i="3"/>
  <c r="G488" i="3"/>
  <c r="BQ492" i="3"/>
  <c r="BL492" i="3" s="1"/>
  <c r="BQ490" i="3"/>
  <c r="BQ488" i="3"/>
  <c r="BQ486" i="3"/>
  <c r="BQ484" i="3"/>
  <c r="BL484" i="3"/>
  <c r="BQ482" i="3"/>
  <c r="BL482" i="3"/>
  <c r="AZ482" i="3" s="1"/>
  <c r="BQ20" i="3"/>
  <c r="BL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s="1"/>
  <c r="J25" i="21"/>
  <c r="AC25" i="21"/>
  <c r="H17" i="37"/>
  <c r="U17" i="37" s="1"/>
  <c r="F23" i="37"/>
  <c r="S23" i="37"/>
  <c r="F79" i="37"/>
  <c r="F22" i="36"/>
  <c r="S22" i="36"/>
  <c r="F10" i="35"/>
  <c r="H24" i="35"/>
  <c r="AB24" i="35" s="1"/>
  <c r="H23" i="37"/>
  <c r="AB23" i="37" s="1"/>
  <c r="J32" i="37"/>
  <c r="AC32" i="37" s="1"/>
  <c r="F36" i="37"/>
  <c r="S36" i="37" s="1"/>
  <c r="F37" i="37"/>
  <c r="AA37" i="37" s="1"/>
  <c r="U23" i="37"/>
  <c r="G79" i="37"/>
  <c r="J23" i="37"/>
  <c r="W23" i="37" s="1"/>
  <c r="F17" i="37"/>
  <c r="AA17" i="37" s="1"/>
  <c r="D3" i="21"/>
  <c r="AC23" i="37"/>
  <c r="AC8" i="37"/>
  <c r="AA36" i="21"/>
  <c r="AA23" i="37"/>
  <c r="H107" i="37"/>
  <c r="I107" i="37" s="1"/>
  <c r="J107" i="37" s="1"/>
  <c r="K107" i="37" s="1"/>
  <c r="L107" i="37" s="1"/>
  <c r="M107" i="37" s="1"/>
  <c r="AA9" i="21"/>
  <c r="F37" i="21"/>
  <c r="S37" i="21"/>
  <c r="J37" i="21"/>
  <c r="W37" i="21" s="1"/>
  <c r="J10" i="37"/>
  <c r="W10" i="37" s="1"/>
  <c r="F36" i="35"/>
  <c r="S36" i="35" s="1"/>
  <c r="J9" i="37"/>
  <c r="W9" i="37"/>
  <c r="H9" i="37"/>
  <c r="U9" i="37" s="1"/>
  <c r="F9" i="37"/>
  <c r="S9" i="37"/>
  <c r="F11" i="37"/>
  <c r="S11" i="37" s="1"/>
  <c r="J12" i="37"/>
  <c r="AC12" i="37"/>
  <c r="H12" i="37"/>
  <c r="AB12" i="37" s="1"/>
  <c r="F12" i="37"/>
  <c r="AA12" i="37" s="1"/>
  <c r="H15" i="37"/>
  <c r="U15" i="37" s="1"/>
  <c r="F31" i="37"/>
  <c r="S31" i="37" s="1"/>
  <c r="F94" i="37"/>
  <c r="G94" i="37" s="1"/>
  <c r="H94" i="37" s="1"/>
  <c r="I94" i="37" s="1"/>
  <c r="J94" i="37" s="1"/>
  <c r="K94" i="37" s="1"/>
  <c r="L94" i="37" s="1"/>
  <c r="M94" i="37" s="1"/>
  <c r="H31" i="37"/>
  <c r="AB31" i="37" s="1"/>
  <c r="J15" i="37"/>
  <c r="W15" i="37"/>
  <c r="J11" i="37"/>
  <c r="W11" i="37" s="1"/>
  <c r="E90" i="40"/>
  <c r="F90" i="40" s="1"/>
  <c r="G90" i="40" s="1"/>
  <c r="F21" i="40"/>
  <c r="S21" i="40" s="1"/>
  <c r="W36" i="40"/>
  <c r="U40" i="39"/>
  <c r="J21" i="40"/>
  <c r="AC21" i="40"/>
  <c r="S27" i="31"/>
  <c r="G483" i="3"/>
  <c r="G515" i="3"/>
  <c r="G507" i="3"/>
  <c r="BA15" i="3"/>
  <c r="BL17" i="3"/>
  <c r="BL15" i="3"/>
  <c r="AZ15" i="3" s="1"/>
  <c r="J57" i="39"/>
  <c r="H13" i="40"/>
  <c r="U13" i="40" s="1"/>
  <c r="H12" i="48"/>
  <c r="I4" i="4"/>
  <c r="K141" i="21"/>
  <c r="K144" i="21"/>
  <c r="I59" i="40"/>
  <c r="C59" i="40" s="1"/>
  <c r="G297" i="3"/>
  <c r="BL298" i="3"/>
  <c r="G299" i="3"/>
  <c r="BL300" i="3"/>
  <c r="BA302" i="3"/>
  <c r="BL303" i="3"/>
  <c r="AZ303" i="3" s="1"/>
  <c r="G304" i="3"/>
  <c r="BA305" i="3"/>
  <c r="G321" i="3"/>
  <c r="BL322" i="3"/>
  <c r="AZ322" i="3" s="1"/>
  <c r="G323" i="3"/>
  <c r="BL324" i="3"/>
  <c r="BA326" i="3"/>
  <c r="BA327" i="3"/>
  <c r="G328" i="3"/>
  <c r="BA329" i="3"/>
  <c r="G337" i="3"/>
  <c r="BL338" i="3"/>
  <c r="G339" i="3"/>
  <c r="BA342" i="3"/>
  <c r="BA343" i="3"/>
  <c r="AZ343" i="3" s="1"/>
  <c r="BL343" i="3"/>
  <c r="G344" i="3"/>
  <c r="BA345" i="3"/>
  <c r="G353" i="3"/>
  <c r="BL354" i="3"/>
  <c r="G355" i="3"/>
  <c r="BL356" i="3"/>
  <c r="G357" i="3"/>
  <c r="BL358" i="3"/>
  <c r="BA360" i="3"/>
  <c r="BA361" i="3"/>
  <c r="AZ361" i="3" s="1"/>
  <c r="BL361" i="3"/>
  <c r="G362" i="3"/>
  <c r="BA363" i="3"/>
  <c r="G371" i="3"/>
  <c r="BL372" i="3"/>
  <c r="G373" i="3"/>
  <c r="BL374" i="3"/>
  <c r="BA376" i="3"/>
  <c r="BA377" i="3"/>
  <c r="AZ377" i="3"/>
  <c r="BL377" i="3"/>
  <c r="G378" i="3"/>
  <c r="BA379" i="3"/>
  <c r="BA114" i="3"/>
  <c r="BL115" i="3"/>
  <c r="G116" i="3"/>
  <c r="BA118" i="3"/>
  <c r="AZ118" i="3" s="1"/>
  <c r="BL119" i="3"/>
  <c r="G120" i="3"/>
  <c r="BA122" i="3"/>
  <c r="BL123" i="3"/>
  <c r="G124" i="3"/>
  <c r="BA126" i="3"/>
  <c r="BL127" i="3"/>
  <c r="G128" i="3"/>
  <c r="BA130" i="3"/>
  <c r="BL131" i="3"/>
  <c r="G132" i="3"/>
  <c r="BA134" i="3"/>
  <c r="AZ134" i="3" s="1"/>
  <c r="BL135" i="3"/>
  <c r="G136" i="3"/>
  <c r="BA138" i="3"/>
  <c r="BL139" i="3"/>
  <c r="G140" i="3"/>
  <c r="BA142" i="3"/>
  <c r="AZ142" i="3"/>
  <c r="BL143" i="3"/>
  <c r="G144" i="3"/>
  <c r="BA146" i="3"/>
  <c r="BL147" i="3"/>
  <c r="G148" i="3"/>
  <c r="BA150" i="3"/>
  <c r="BL151" i="3"/>
  <c r="BA153" i="3"/>
  <c r="BL154" i="3"/>
  <c r="G155" i="3"/>
  <c r="BA157" i="3"/>
  <c r="BL158" i="3"/>
  <c r="AZ158" i="3" s="1"/>
  <c r="G159" i="3"/>
  <c r="BA161" i="3"/>
  <c r="AZ161" i="3" s="1"/>
  <c r="BL162" i="3"/>
  <c r="G163" i="3"/>
  <c r="BA165" i="3"/>
  <c r="BL166" i="3"/>
  <c r="G167" i="3"/>
  <c r="BA169" i="3"/>
  <c r="AZ169" i="3" s="1"/>
  <c r="BL170" i="3"/>
  <c r="G171" i="3"/>
  <c r="BA173" i="3"/>
  <c r="AZ173" i="3" s="1"/>
  <c r="BL174" i="3"/>
  <c r="G175" i="3"/>
  <c r="BA178" i="3"/>
  <c r="AZ178" i="3" s="1"/>
  <c r="BL179" i="3"/>
  <c r="AZ179" i="3" s="1"/>
  <c r="G180" i="3"/>
  <c r="G537" i="3"/>
  <c r="BL181" i="3"/>
  <c r="G182" i="3"/>
  <c r="BA184" i="3"/>
  <c r="BL185" i="3"/>
  <c r="G186" i="3"/>
  <c r="BA188" i="3"/>
  <c r="BL189" i="3"/>
  <c r="G190" i="3"/>
  <c r="BA192" i="3"/>
  <c r="BL193" i="3"/>
  <c r="G194" i="3"/>
  <c r="BA196" i="3"/>
  <c r="BL197" i="3"/>
  <c r="G198" i="3"/>
  <c r="BA200" i="3"/>
  <c r="AZ200" i="3"/>
  <c r="BL201" i="3"/>
  <c r="BA298" i="3"/>
  <c r="BA299" i="3"/>
  <c r="BL299" i="3"/>
  <c r="G300" i="3"/>
  <c r="G303" i="3"/>
  <c r="BA306" i="3"/>
  <c r="BA307" i="3"/>
  <c r="BL307" i="3"/>
  <c r="AZ307" i="3"/>
  <c r="G308" i="3"/>
  <c r="G319" i="3"/>
  <c r="BA322" i="3"/>
  <c r="BA323" i="3"/>
  <c r="BL323" i="3"/>
  <c r="AZ323" i="3" s="1"/>
  <c r="G324" i="3"/>
  <c r="G327" i="3"/>
  <c r="BL328" i="3"/>
  <c r="BA331" i="3"/>
  <c r="BL331" i="3"/>
  <c r="AZ331" i="3" s="1"/>
  <c r="G332" i="3"/>
  <c r="G335" i="3"/>
  <c r="BL336" i="3"/>
  <c r="BA338" i="3"/>
  <c r="AZ338" i="3" s="1"/>
  <c r="BA339" i="3"/>
  <c r="BL339" i="3"/>
  <c r="G340" i="3"/>
  <c r="G343" i="3"/>
  <c r="BL344" i="3"/>
  <c r="BA346" i="3"/>
  <c r="BL347" i="3"/>
  <c r="G348" i="3"/>
  <c r="G351" i="3"/>
  <c r="BL352" i="3"/>
  <c r="BA354" i="3"/>
  <c r="BA355" i="3"/>
  <c r="BL355" i="3"/>
  <c r="G356" i="3"/>
  <c r="BA359" i="3"/>
  <c r="AZ359" i="3" s="1"/>
  <c r="BL359" i="3"/>
  <c r="G361" i="3"/>
  <c r="BL362" i="3"/>
  <c r="BA364" i="3"/>
  <c r="AZ364" i="3" s="1"/>
  <c r="BA365" i="3"/>
  <c r="AZ365" i="3" s="1"/>
  <c r="BL365" i="3"/>
  <c r="G366" i="3"/>
  <c r="G369" i="3"/>
  <c r="BL370" i="3"/>
  <c r="BA372" i="3"/>
  <c r="AZ372" i="3"/>
  <c r="BA373" i="3"/>
  <c r="AZ373" i="3" s="1"/>
  <c r="BL373" i="3"/>
  <c r="G374" i="3"/>
  <c r="G377" i="3"/>
  <c r="BL378" i="3"/>
  <c r="BA380" i="3"/>
  <c r="BA381" i="3"/>
  <c r="BL381" i="3"/>
  <c r="G382" i="3"/>
  <c r="G385" i="3"/>
  <c r="BL297" i="3"/>
  <c r="G298" i="3"/>
  <c r="BA300" i="3"/>
  <c r="AZ300" i="3" s="1"/>
  <c r="BL301" i="3"/>
  <c r="G302" i="3"/>
  <c r="BL305" i="3"/>
  <c r="G306" i="3"/>
  <c r="BA308" i="3"/>
  <c r="BL309" i="3"/>
  <c r="G310" i="3"/>
  <c r="BA310" i="3"/>
  <c r="AZ310" i="3"/>
  <c r="BL311" i="3"/>
  <c r="G312" i="3"/>
  <c r="BA312" i="3"/>
  <c r="BL313" i="3"/>
  <c r="AZ313" i="3" s="1"/>
  <c r="G314" i="3"/>
  <c r="BA314" i="3"/>
  <c r="BL315" i="3"/>
  <c r="G316" i="3"/>
  <c r="BA316" i="3"/>
  <c r="BL317" i="3"/>
  <c r="G318" i="3"/>
  <c r="BL321" i="3"/>
  <c r="G322" i="3"/>
  <c r="BA324" i="3"/>
  <c r="AZ324" i="3" s="1"/>
  <c r="BL325" i="3"/>
  <c r="G326" i="3"/>
  <c r="BL329" i="3"/>
  <c r="G330" i="3"/>
  <c r="BA332" i="3"/>
  <c r="BL333" i="3"/>
  <c r="G334" i="3"/>
  <c r="BA336" i="3"/>
  <c r="AZ336" i="3" s="1"/>
  <c r="BL337" i="3"/>
  <c r="G338" i="3"/>
  <c r="BL341" i="3"/>
  <c r="G342" i="3"/>
  <c r="BA344" i="3"/>
  <c r="AZ344" i="3"/>
  <c r="BL345" i="3"/>
  <c r="G346" i="3"/>
  <c r="BL349" i="3"/>
  <c r="G350" i="3"/>
  <c r="BA352" i="3"/>
  <c r="AZ352" i="3" s="1"/>
  <c r="BL353" i="3"/>
  <c r="G354" i="3"/>
  <c r="BA356" i="3"/>
  <c r="AZ356" i="3" s="1"/>
  <c r="BL357" i="3"/>
  <c r="G358" i="3"/>
  <c r="BA362" i="3"/>
  <c r="AZ362" i="3" s="1"/>
  <c r="BL363" i="3"/>
  <c r="G364" i="3"/>
  <c r="BA366" i="3"/>
  <c r="AZ366" i="3" s="1"/>
  <c r="BL367" i="3"/>
  <c r="G368" i="3"/>
  <c r="BA370" i="3"/>
  <c r="BL371" i="3"/>
  <c r="G372" i="3"/>
  <c r="BA374" i="3"/>
  <c r="AZ374" i="3" s="1"/>
  <c r="BL375" i="3"/>
  <c r="AZ375" i="3" s="1"/>
  <c r="G376" i="3"/>
  <c r="BA378" i="3"/>
  <c r="AZ378" i="3" s="1"/>
  <c r="BL379" i="3"/>
  <c r="AZ379" i="3" s="1"/>
  <c r="G380" i="3"/>
  <c r="BA382" i="3"/>
  <c r="BL383" i="3"/>
  <c r="G384" i="3"/>
  <c r="AZ319" i="3"/>
  <c r="AZ339" i="3"/>
  <c r="H7" i="48"/>
  <c r="F33" i="46"/>
  <c r="H16" i="48"/>
  <c r="H9" i="48"/>
  <c r="H8" i="48"/>
  <c r="C12" i="46"/>
  <c r="AB16" i="35"/>
  <c r="AA43" i="21"/>
  <c r="U43" i="21"/>
  <c r="AA13" i="40"/>
  <c r="E78" i="40"/>
  <c r="F78" i="40" s="1"/>
  <c r="G78" i="40" s="1"/>
  <c r="H78" i="40" s="1"/>
  <c r="I78" i="40" s="1"/>
  <c r="J78" i="40" s="1"/>
  <c r="K78" i="40" s="1"/>
  <c r="L78" i="40" s="1"/>
  <c r="M78" i="40" s="1"/>
  <c r="R16" i="4"/>
  <c r="P16" i="4"/>
  <c r="D3" i="35"/>
  <c r="G4" i="4"/>
  <c r="J16" i="35"/>
  <c r="W16" i="35" s="1"/>
  <c r="U42" i="21"/>
  <c r="AC26" i="36"/>
  <c r="H13" i="39"/>
  <c r="AB13" i="39" s="1"/>
  <c r="F13" i="39"/>
  <c r="J13" i="39"/>
  <c r="AC13" i="39"/>
  <c r="H11" i="37"/>
  <c r="AB11" i="37"/>
  <c r="AA36" i="37"/>
  <c r="AB17" i="37"/>
  <c r="AC10" i="36"/>
  <c r="AC14" i="37"/>
  <c r="S25" i="35"/>
  <c r="F16" i="35"/>
  <c r="AA16" i="35" s="1"/>
  <c r="S30" i="36"/>
  <c r="H16" i="36"/>
  <c r="AB16" i="36" s="1"/>
  <c r="H35" i="37"/>
  <c r="AB35" i="37" s="1"/>
  <c r="S26" i="21"/>
  <c r="AB12" i="21"/>
  <c r="H32" i="21"/>
  <c r="U32" i="21" s="1"/>
  <c r="AB26" i="21"/>
  <c r="U26" i="21"/>
  <c r="AA33" i="21"/>
  <c r="U39" i="21"/>
  <c r="W9" i="21"/>
  <c r="J32" i="21"/>
  <c r="AC32" i="21" s="1"/>
  <c r="F17" i="21"/>
  <c r="S17" i="21" s="1"/>
  <c r="H17" i="21"/>
  <c r="AB17" i="21" s="1"/>
  <c r="J17" i="21"/>
  <c r="AC17" i="21" s="1"/>
  <c r="H37" i="21"/>
  <c r="U37" i="21"/>
  <c r="F40" i="21"/>
  <c r="S40" i="21" s="1"/>
  <c r="H40" i="21"/>
  <c r="U40" i="21" s="1"/>
  <c r="AB40" i="21"/>
  <c r="AB28" i="35"/>
  <c r="U28" i="35"/>
  <c r="H11" i="35"/>
  <c r="J11" i="35"/>
  <c r="AC11" i="35" s="1"/>
  <c r="F96" i="37"/>
  <c r="G96" i="37" s="1"/>
  <c r="H96" i="37" s="1"/>
  <c r="I96" i="37" s="1"/>
  <c r="J96" i="37" s="1"/>
  <c r="K96" i="37" s="1"/>
  <c r="L96" i="37" s="1"/>
  <c r="M96" i="37" s="1"/>
  <c r="H32" i="37"/>
  <c r="AB32" i="37" s="1"/>
  <c r="F19" i="39"/>
  <c r="S19" i="39"/>
  <c r="H19" i="39"/>
  <c r="J19" i="39"/>
  <c r="W19" i="39" s="1"/>
  <c r="F43" i="39"/>
  <c r="AA43" i="39" s="1"/>
  <c r="H43" i="39"/>
  <c r="U43" i="39" s="1"/>
  <c r="J43" i="39"/>
  <c r="F99" i="37"/>
  <c r="AC40" i="37"/>
  <c r="W40" i="37"/>
  <c r="AC45" i="21"/>
  <c r="AB29" i="35"/>
  <c r="U29" i="35"/>
  <c r="AC34" i="37"/>
  <c r="S35" i="37"/>
  <c r="AA35" i="37"/>
  <c r="AB10" i="35"/>
  <c r="AA32" i="21"/>
  <c r="S32" i="21"/>
  <c r="U38" i="21"/>
  <c r="AB34" i="21"/>
  <c r="BA571" i="3"/>
  <c r="BL570" i="3"/>
  <c r="F42" i="21"/>
  <c r="AA42" i="21" s="1"/>
  <c r="AB8" i="35"/>
  <c r="U8" i="35"/>
  <c r="J14" i="35"/>
  <c r="AC14" i="35" s="1"/>
  <c r="F14" i="35"/>
  <c r="H14" i="35"/>
  <c r="U14" i="35" s="1"/>
  <c r="E94" i="35"/>
  <c r="F94" i="35" s="1"/>
  <c r="G94" i="35" s="1"/>
  <c r="H94" i="35" s="1"/>
  <c r="I94" i="35" s="1"/>
  <c r="J94" i="35" s="1"/>
  <c r="K94" i="35" s="1"/>
  <c r="L94" i="35" s="1"/>
  <c r="M94" i="35" s="1"/>
  <c r="J32" i="35"/>
  <c r="AC32" i="35"/>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S30" i="37"/>
  <c r="AC31" i="37"/>
  <c r="AB14" i="37"/>
  <c r="F17" i="39"/>
  <c r="AA17" i="39" s="1"/>
  <c r="H17" i="39"/>
  <c r="U17" i="39" s="1"/>
  <c r="J17" i="39"/>
  <c r="W17" i="39" s="1"/>
  <c r="F21" i="39"/>
  <c r="S21" i="39"/>
  <c r="H21" i="39"/>
  <c r="AB21" i="39" s="1"/>
  <c r="J21" i="39"/>
  <c r="W21" i="39" s="1"/>
  <c r="F33" i="39"/>
  <c r="S33" i="39" s="1"/>
  <c r="H33" i="39"/>
  <c r="U33" i="39" s="1"/>
  <c r="J33" i="39"/>
  <c r="AC33" i="39" s="1"/>
  <c r="F44" i="39"/>
  <c r="S44" i="39" s="1"/>
  <c r="H44" i="39"/>
  <c r="AB44" i="39" s="1"/>
  <c r="J44" i="39"/>
  <c r="W44" i="39" s="1"/>
  <c r="E128" i="39"/>
  <c r="F128" i="39"/>
  <c r="G128" i="39" s="1"/>
  <c r="H128" i="39" s="1"/>
  <c r="I128" i="39" s="1"/>
  <c r="J128" i="39" s="1"/>
  <c r="K128" i="39" s="1"/>
  <c r="L128" i="39" s="1"/>
  <c r="M128" i="39" s="1"/>
  <c r="F46" i="39"/>
  <c r="S46" i="39" s="1"/>
  <c r="H46" i="39"/>
  <c r="U46" i="39" s="1"/>
  <c r="J46" i="39"/>
  <c r="W46" i="39"/>
  <c r="F29" i="39"/>
  <c r="AA29" i="39" s="1"/>
  <c r="E103" i="39"/>
  <c r="F103" i="39" s="1"/>
  <c r="G103" i="39" s="1"/>
  <c r="H29" i="39"/>
  <c r="U29" i="39" s="1"/>
  <c r="F34" i="39"/>
  <c r="AA34" i="39" s="1"/>
  <c r="H34" i="39"/>
  <c r="AB34" i="39"/>
  <c r="J34" i="39"/>
  <c r="AC34" i="39" s="1"/>
  <c r="F39" i="39"/>
  <c r="H39" i="39"/>
  <c r="U39" i="39" s="1"/>
  <c r="AB39" i="39"/>
  <c r="J39" i="39"/>
  <c r="W39" i="39" s="1"/>
  <c r="J29" i="35"/>
  <c r="AC29" i="35" s="1"/>
  <c r="F29" i="35"/>
  <c r="S29" i="35" s="1"/>
  <c r="W30" i="36"/>
  <c r="AC30" i="36"/>
  <c r="F37" i="39"/>
  <c r="S37" i="39" s="1"/>
  <c r="H37" i="39"/>
  <c r="U37" i="39"/>
  <c r="J37" i="39"/>
  <c r="W37" i="39" s="1"/>
  <c r="BL568" i="3"/>
  <c r="BA568" i="3"/>
  <c r="AZ568" i="3" s="1"/>
  <c r="BL567" i="3"/>
  <c r="AZ567" i="3" s="1"/>
  <c r="BA567" i="3"/>
  <c r="BL566" i="3"/>
  <c r="BL565" i="3"/>
  <c r="BA564" i="3"/>
  <c r="BA563" i="3"/>
  <c r="BL554" i="3"/>
  <c r="AZ554" i="3" s="1"/>
  <c r="BA553" i="3"/>
  <c r="BA552" i="3"/>
  <c r="BL549" i="3"/>
  <c r="BA549" i="3"/>
  <c r="AZ549" i="3" s="1"/>
  <c r="BL548" i="3"/>
  <c r="BA548" i="3"/>
  <c r="BL547" i="3"/>
  <c r="BA547" i="3"/>
  <c r="BL539" i="3"/>
  <c r="BA534" i="3"/>
  <c r="AZ534" i="3"/>
  <c r="BA533" i="3"/>
  <c r="BL531" i="3"/>
  <c r="BA530" i="3"/>
  <c r="BL529" i="3"/>
  <c r="BA529" i="3"/>
  <c r="AZ529" i="3" s="1"/>
  <c r="BA527" i="3"/>
  <c r="AZ527" i="3"/>
  <c r="BA526" i="3"/>
  <c r="BA525" i="3"/>
  <c r="BL523" i="3"/>
  <c r="BA523" i="3"/>
  <c r="AZ523" i="3" s="1"/>
  <c r="BL522" i="3"/>
  <c r="BA522" i="3"/>
  <c r="BL521" i="3"/>
  <c r="BA519" i="3"/>
  <c r="BL518" i="3"/>
  <c r="BA518" i="3"/>
  <c r="AZ518" i="3" s="1"/>
  <c r="BL517" i="3"/>
  <c r="BA517" i="3"/>
  <c r="AZ517" i="3"/>
  <c r="BL515" i="3"/>
  <c r="BA514" i="3"/>
  <c r="AZ514" i="3" s="1"/>
  <c r="BL513" i="3"/>
  <c r="AZ513" i="3" s="1"/>
  <c r="BA513" i="3"/>
  <c r="BL512" i="3"/>
  <c r="BA511" i="3"/>
  <c r="BA510" i="3"/>
  <c r="BL509" i="3"/>
  <c r="BL507" i="3"/>
  <c r="BA507" i="3"/>
  <c r="BA506" i="3"/>
  <c r="AZ506" i="3" s="1"/>
  <c r="BL505" i="3"/>
  <c r="BL504" i="3"/>
  <c r="BA503" i="3"/>
  <c r="BA500" i="3"/>
  <c r="BA497" i="3"/>
  <c r="BA495" i="3"/>
  <c r="AZ495" i="3" s="1"/>
  <c r="BL494" i="3"/>
  <c r="BA494" i="3"/>
  <c r="AZ494" i="3"/>
  <c r="BA491" i="3"/>
  <c r="BL490" i="3"/>
  <c r="BA490" i="3"/>
  <c r="AZ490" i="3" s="1"/>
  <c r="BA489" i="3"/>
  <c r="BL486" i="3"/>
  <c r="BA486" i="3"/>
  <c r="AZ486" i="3" s="1"/>
  <c r="BA485" i="3"/>
  <c r="BA483" i="3"/>
  <c r="BA482" i="3"/>
  <c r="BL481" i="3"/>
  <c r="BA18" i="3"/>
  <c r="F36" i="44"/>
  <c r="H30" i="40"/>
  <c r="AB30" i="40" s="1"/>
  <c r="G100" i="40"/>
  <c r="J30" i="40"/>
  <c r="AC30" i="40" s="1"/>
  <c r="F38" i="40"/>
  <c r="S38" i="40" s="1"/>
  <c r="AA38" i="40"/>
  <c r="AB33" i="21"/>
  <c r="S35" i="21"/>
  <c r="AB10" i="21"/>
  <c r="U8" i="21"/>
  <c r="S34" i="21"/>
  <c r="AC36" i="21"/>
  <c r="AC28" i="35"/>
  <c r="W28" i="35"/>
  <c r="J20" i="35"/>
  <c r="AC20" i="35" s="1"/>
  <c r="E72" i="35"/>
  <c r="F72" i="35" s="1"/>
  <c r="G72" i="35" s="1"/>
  <c r="H22" i="35"/>
  <c r="AB22" i="35" s="1"/>
  <c r="H23" i="35"/>
  <c r="F23" i="35"/>
  <c r="AA23" i="35" s="1"/>
  <c r="U31" i="36"/>
  <c r="S8" i="37"/>
  <c r="AA8" i="37"/>
  <c r="F14" i="39"/>
  <c r="AA14" i="39" s="1"/>
  <c r="H14" i="39"/>
  <c r="U14" i="39" s="1"/>
  <c r="AB14" i="39"/>
  <c r="J14" i="39"/>
  <c r="AC14" i="39" s="1"/>
  <c r="F16" i="39"/>
  <c r="AA16" i="39"/>
  <c r="H16" i="39"/>
  <c r="U16" i="39" s="1"/>
  <c r="J16" i="39"/>
  <c r="AC16" i="39"/>
  <c r="F23" i="39"/>
  <c r="AA23" i="39" s="1"/>
  <c r="F27" i="39"/>
  <c r="AA27" i="39" s="1"/>
  <c r="H27" i="39"/>
  <c r="AB27" i="39" s="1"/>
  <c r="J27" i="39"/>
  <c r="W27" i="39" s="1"/>
  <c r="AC27" i="39"/>
  <c r="F15" i="40"/>
  <c r="AA15" i="40" s="1"/>
  <c r="J15" i="40"/>
  <c r="W15" i="40" s="1"/>
  <c r="H15" i="40"/>
  <c r="AB15" i="40" s="1"/>
  <c r="E92" i="40"/>
  <c r="F92" i="40" s="1"/>
  <c r="G92" i="40" s="1"/>
  <c r="H23" i="40"/>
  <c r="U23" i="40" s="1"/>
  <c r="H41" i="40"/>
  <c r="AB41" i="40"/>
  <c r="F41" i="40"/>
  <c r="AA41" i="40" s="1"/>
  <c r="J41" i="40"/>
  <c r="AC41" i="40" s="1"/>
  <c r="F15" i="39"/>
  <c r="AA15" i="39"/>
  <c r="H15" i="39"/>
  <c r="U15" i="39" s="1"/>
  <c r="J15" i="39"/>
  <c r="AC15" i="39"/>
  <c r="H25" i="39"/>
  <c r="U25" i="39" s="1"/>
  <c r="J25" i="39"/>
  <c r="AC25" i="39"/>
  <c r="F25" i="39"/>
  <c r="AA25" i="39" s="1"/>
  <c r="F45" i="39"/>
  <c r="S45" i="39" s="1"/>
  <c r="H45" i="39"/>
  <c r="U45" i="39" s="1"/>
  <c r="J45" i="39"/>
  <c r="W45" i="39" s="1"/>
  <c r="AC45" i="39"/>
  <c r="F47" i="39"/>
  <c r="AA47" i="39" s="1"/>
  <c r="H47" i="39"/>
  <c r="AB47" i="39"/>
  <c r="J47" i="39"/>
  <c r="W47" i="39" s="1"/>
  <c r="F41" i="39"/>
  <c r="AA41" i="39"/>
  <c r="H41" i="39"/>
  <c r="AB41" i="39" s="1"/>
  <c r="J41" i="39"/>
  <c r="W41" i="39" s="1"/>
  <c r="E94" i="40"/>
  <c r="F94" i="40" s="1"/>
  <c r="G94" i="40" s="1"/>
  <c r="J25" i="40"/>
  <c r="AC25" i="40" s="1"/>
  <c r="J32" i="40"/>
  <c r="AC32" i="40" s="1"/>
  <c r="H32" i="40"/>
  <c r="U32" i="40"/>
  <c r="H33" i="40"/>
  <c r="AB33" i="40" s="1"/>
  <c r="F33" i="40"/>
  <c r="AA33" i="40"/>
  <c r="J33" i="40"/>
  <c r="AC33" i="40" s="1"/>
  <c r="H35" i="40"/>
  <c r="AB35" i="40" s="1"/>
  <c r="F35" i="40"/>
  <c r="AA35" i="40" s="1"/>
  <c r="J35" i="40"/>
  <c r="AC35" i="40" s="1"/>
  <c r="J38" i="39"/>
  <c r="W38" i="39" s="1"/>
  <c r="H38" i="39"/>
  <c r="U38" i="39"/>
  <c r="J16" i="40"/>
  <c r="W16" i="40" s="1"/>
  <c r="J14" i="40"/>
  <c r="W14" i="40"/>
  <c r="H42" i="40"/>
  <c r="AB42" i="40" s="1"/>
  <c r="H40" i="40"/>
  <c r="U40" i="40" s="1"/>
  <c r="H34" i="40"/>
  <c r="AB34" i="40" s="1"/>
  <c r="U34" i="40"/>
  <c r="J42" i="40"/>
  <c r="W42" i="40" s="1"/>
  <c r="J40" i="40"/>
  <c r="AC40" i="40" s="1"/>
  <c r="J34" i="40"/>
  <c r="AC34" i="40"/>
  <c r="H16" i="40"/>
  <c r="AB16" i="40" s="1"/>
  <c r="H14" i="40"/>
  <c r="U14" i="40" s="1"/>
  <c r="F32" i="40"/>
  <c r="AA32" i="40" s="1"/>
  <c r="M1" i="46"/>
  <c r="M6" i="46"/>
  <c r="M10" i="46"/>
  <c r="N2" i="46"/>
  <c r="N5" i="46"/>
  <c r="F58" i="46"/>
  <c r="H61" i="46"/>
  <c r="N7" i="46"/>
  <c r="M7" i="46"/>
  <c r="M11" i="46"/>
  <c r="N3" i="46"/>
  <c r="N6" i="46"/>
  <c r="N10" i="46"/>
  <c r="F69" i="46"/>
  <c r="H71" i="46" s="1"/>
  <c r="AZ107" i="3"/>
  <c r="J13" i="40"/>
  <c r="W13" i="40" s="1"/>
  <c r="AC14" i="40"/>
  <c r="W35" i="40"/>
  <c r="S33" i="40"/>
  <c r="AB32" i="40"/>
  <c r="S47" i="39"/>
  <c r="U41" i="40"/>
  <c r="J23" i="40"/>
  <c r="W23" i="40" s="1"/>
  <c r="F23" i="40"/>
  <c r="S23" i="40" s="1"/>
  <c r="AC15" i="40"/>
  <c r="W14" i="39"/>
  <c r="U23" i="35"/>
  <c r="AB23" i="35"/>
  <c r="H20" i="35"/>
  <c r="U20" i="35" s="1"/>
  <c r="F20" i="35"/>
  <c r="S20" i="35" s="1"/>
  <c r="F30" i="40"/>
  <c r="AA30" i="40"/>
  <c r="H100" i="40"/>
  <c r="I100" i="40" s="1"/>
  <c r="J100" i="40" s="1"/>
  <c r="K100" i="40" s="1"/>
  <c r="L100" i="40" s="1"/>
  <c r="M100" i="40" s="1"/>
  <c r="AZ547" i="3"/>
  <c r="AB37" i="39"/>
  <c r="J29" i="39"/>
  <c r="AC29" i="39" s="1"/>
  <c r="U21" i="39"/>
  <c r="AB17" i="39"/>
  <c r="AB33" i="36"/>
  <c r="AA14" i="35"/>
  <c r="S14" i="35"/>
  <c r="G99" i="37"/>
  <c r="H99" i="37" s="1"/>
  <c r="I99" i="37" s="1"/>
  <c r="J99" i="37" s="1"/>
  <c r="K99" i="37" s="1"/>
  <c r="L99" i="37" s="1"/>
  <c r="M99" i="37" s="1"/>
  <c r="F33" i="37"/>
  <c r="AA33" i="37" s="1"/>
  <c r="AB19" i="39"/>
  <c r="U19" i="39"/>
  <c r="AA40" i="21"/>
  <c r="S13" i="39"/>
  <c r="AA13" i="39"/>
  <c r="U16" i="40"/>
  <c r="W34" i="40"/>
  <c r="U42" i="40"/>
  <c r="H25" i="40"/>
  <c r="AB25" i="40" s="1"/>
  <c r="U47" i="39"/>
  <c r="W15" i="39"/>
  <c r="H23" i="39"/>
  <c r="AB23" i="39" s="1"/>
  <c r="J23" i="39"/>
  <c r="AC23" i="39" s="1"/>
  <c r="S16" i="39"/>
  <c r="AA37" i="39"/>
  <c r="W29" i="35"/>
  <c r="AC39" i="39"/>
  <c r="AA39" i="39"/>
  <c r="S39" i="39"/>
  <c r="U34" i="39"/>
  <c r="AB46" i="39"/>
  <c r="W33" i="39"/>
  <c r="S17" i="39"/>
  <c r="U11" i="36"/>
  <c r="W14" i="35"/>
  <c r="AC43" i="39"/>
  <c r="W43" i="39"/>
  <c r="AA19" i="39"/>
  <c r="F32" i="37"/>
  <c r="S32" i="37" s="1"/>
  <c r="U11" i="35"/>
  <c r="AB11" i="35"/>
  <c r="U11" i="37"/>
  <c r="AC16" i="35"/>
  <c r="F25" i="40"/>
  <c r="AA25" i="40" s="1"/>
  <c r="H33" i="37"/>
  <c r="AB33" i="37" s="1"/>
  <c r="AB20" i="35"/>
  <c r="D73" i="9"/>
  <c r="N73" i="9" s="1"/>
  <c r="AP11" i="1"/>
  <c r="B11" i="1"/>
  <c r="E11" i="1" s="1"/>
  <c r="K11" i="1"/>
  <c r="M11" i="1" s="1"/>
  <c r="B9" i="1"/>
  <c r="E9" i="1"/>
  <c r="K9" i="1"/>
  <c r="M9" i="1" s="1"/>
  <c r="O9" i="1" s="1"/>
  <c r="B7" i="1"/>
  <c r="E7" i="1" s="1"/>
  <c r="C20" i="43"/>
  <c r="F6" i="1"/>
  <c r="M22" i="44"/>
  <c r="AC25" i="36"/>
  <c r="S23" i="36"/>
  <c r="S8" i="36"/>
  <c r="AA28" i="36"/>
  <c r="H20" i="36"/>
  <c r="U20" i="36" s="1"/>
  <c r="F68" i="36"/>
  <c r="G68" i="36" s="1"/>
  <c r="J20" i="36"/>
  <c r="AC20" i="36" s="1"/>
  <c r="F20" i="36"/>
  <c r="S20" i="36"/>
  <c r="F62" i="36"/>
  <c r="G62" i="36" s="1"/>
  <c r="J14" i="36"/>
  <c r="H14" i="36"/>
  <c r="U14" i="36" s="1"/>
  <c r="F14" i="36"/>
  <c r="AA14" i="36" s="1"/>
  <c r="W20" i="36"/>
  <c r="U32" i="36"/>
  <c r="S33" i="36"/>
  <c r="AA27" i="36"/>
  <c r="S16" i="36"/>
  <c r="S29" i="36"/>
  <c r="AC33" i="35"/>
  <c r="S8" i="35"/>
  <c r="W20" i="35"/>
  <c r="S23" i="35"/>
  <c r="S16" i="35"/>
  <c r="AC10" i="35"/>
  <c r="AC18" i="35"/>
  <c r="W18" i="35"/>
  <c r="U18" i="35"/>
  <c r="AB18" i="35"/>
  <c r="S30" i="35"/>
  <c r="AA35" i="35"/>
  <c r="AB30" i="35"/>
  <c r="S27" i="35"/>
  <c r="J26" i="35"/>
  <c r="F26" i="35"/>
  <c r="AA26" i="35" s="1"/>
  <c r="H26" i="35"/>
  <c r="AB26" i="35" s="1"/>
  <c r="W12" i="37"/>
  <c r="AA9" i="37"/>
  <c r="S17" i="37"/>
  <c r="W28" i="37"/>
  <c r="AB37" i="37"/>
  <c r="AA31" i="37"/>
  <c r="S33" i="37"/>
  <c r="U32" i="37"/>
  <c r="AA32" i="37"/>
  <c r="J33" i="37"/>
  <c r="W33" i="37" s="1"/>
  <c r="S29" i="37"/>
  <c r="J19" i="37"/>
  <c r="AC19" i="37" s="1"/>
  <c r="F19" i="37"/>
  <c r="AA19" i="37" s="1"/>
  <c r="H19" i="37"/>
  <c r="U19" i="37" s="1"/>
  <c r="J17" i="37"/>
  <c r="AC17" i="37" s="1"/>
  <c r="S15" i="37"/>
  <c r="AC10" i="37"/>
  <c r="AC21" i="37"/>
  <c r="W21" i="37"/>
  <c r="AC9" i="37"/>
  <c r="W32" i="37"/>
  <c r="U35" i="37"/>
  <c r="U8" i="37"/>
  <c r="AB21" i="37"/>
  <c r="U21" i="37"/>
  <c r="S37" i="37"/>
  <c r="S40" i="37"/>
  <c r="S10" i="37"/>
  <c r="S44" i="21"/>
  <c r="AC34" i="21"/>
  <c r="W32" i="21"/>
  <c r="W43" i="21"/>
  <c r="AA37" i="21"/>
  <c r="S42" i="21"/>
  <c r="AB37" i="21"/>
  <c r="AB32" i="21"/>
  <c r="W28" i="21"/>
  <c r="AC46" i="21"/>
  <c r="AC26" i="21"/>
  <c r="F85" i="21"/>
  <c r="G85" i="21"/>
  <c r="J23" i="21"/>
  <c r="W23" i="21" s="1"/>
  <c r="F23" i="21"/>
  <c r="H23" i="21"/>
  <c r="U23" i="21" s="1"/>
  <c r="AA17" i="21"/>
  <c r="W17" i="21"/>
  <c r="F15" i="21"/>
  <c r="S15" i="21"/>
  <c r="F77" i="21"/>
  <c r="G77" i="21" s="1"/>
  <c r="J15" i="21"/>
  <c r="W15" i="21" s="1"/>
  <c r="H15" i="21"/>
  <c r="AC11" i="21"/>
  <c r="AB11" i="21"/>
  <c r="W13" i="21"/>
  <c r="AA11" i="21"/>
  <c r="AC21" i="21"/>
  <c r="W21" i="21"/>
  <c r="AC19" i="21"/>
  <c r="AC38" i="21"/>
  <c r="AB21" i="21"/>
  <c r="U21" i="21"/>
  <c r="AB29" i="21"/>
  <c r="AA31" i="21"/>
  <c r="W33" i="40"/>
  <c r="S14" i="40"/>
  <c r="AB13" i="40"/>
  <c r="S16" i="40"/>
  <c r="W11" i="40"/>
  <c r="AA21" i="40"/>
  <c r="U21" i="40"/>
  <c r="U35" i="40"/>
  <c r="F37" i="40"/>
  <c r="AA37" i="40" s="1"/>
  <c r="J37" i="40"/>
  <c r="AC37" i="40" s="1"/>
  <c r="H37" i="40"/>
  <c r="F39" i="40"/>
  <c r="AA39" i="40" s="1"/>
  <c r="H39" i="40"/>
  <c r="AB39" i="40" s="1"/>
  <c r="J39" i="40"/>
  <c r="W38" i="40"/>
  <c r="F29" i="40"/>
  <c r="H29" i="40"/>
  <c r="U29" i="40" s="1"/>
  <c r="J29" i="40"/>
  <c r="W29" i="40" s="1"/>
  <c r="F98" i="40"/>
  <c r="G98" i="40" s="1"/>
  <c r="H98" i="40" s="1"/>
  <c r="I98" i="40" s="1"/>
  <c r="J98" i="40" s="1"/>
  <c r="K98" i="40" s="1"/>
  <c r="L98" i="40" s="1"/>
  <c r="M98" i="40" s="1"/>
  <c r="S30" i="40"/>
  <c r="S25" i="40"/>
  <c r="F88" i="40"/>
  <c r="G88" i="40" s="1"/>
  <c r="F19" i="40"/>
  <c r="S19" i="40" s="1"/>
  <c r="H19" i="40"/>
  <c r="AB19" i="40" s="1"/>
  <c r="J19" i="40"/>
  <c r="AC19" i="40" s="1"/>
  <c r="W17" i="40"/>
  <c r="AC17" i="40"/>
  <c r="F17" i="40"/>
  <c r="AA17" i="40" s="1"/>
  <c r="H17" i="40"/>
  <c r="AB17" i="40"/>
  <c r="W21" i="40"/>
  <c r="AB40" i="40"/>
  <c r="U10" i="40"/>
  <c r="U27" i="40"/>
  <c r="AB27" i="40"/>
  <c r="W13" i="39"/>
  <c r="S11" i="39"/>
  <c r="AB45" i="39"/>
  <c r="S27" i="39"/>
  <c r="AA21" i="39"/>
  <c r="AC38" i="39"/>
  <c r="W29" i="39"/>
  <c r="S29" i="39"/>
  <c r="AC21" i="39"/>
  <c r="AC17" i="39"/>
  <c r="AB15" i="39"/>
  <c r="U11" i="39"/>
  <c r="U41" i="39"/>
  <c r="AB38" i="39"/>
  <c r="U31" i="39"/>
  <c r="AB31" i="39"/>
  <c r="S38" i="39"/>
  <c r="M20" i="15"/>
  <c r="A18" i="64"/>
  <c r="B74" i="63" s="1"/>
  <c r="C53" i="10"/>
  <c r="A25" i="64" s="1"/>
  <c r="A18" i="51"/>
  <c r="B14" i="63"/>
  <c r="BA16" i="3"/>
  <c r="BA17" i="3"/>
  <c r="AZ17" i="3"/>
  <c r="F3" i="35"/>
  <c r="K1" i="43"/>
  <c r="K1" i="12"/>
  <c r="G1" i="44"/>
  <c r="G3" i="46"/>
  <c r="K101" i="46" s="1"/>
  <c r="K106" i="46" s="1"/>
  <c r="BP5" i="3"/>
  <c r="BL18" i="3"/>
  <c r="AZ18" i="3"/>
  <c r="BD5" i="3"/>
  <c r="BL16" i="3"/>
  <c r="AZ16" i="3" s="1"/>
  <c r="G22" i="43"/>
  <c r="G26" i="12"/>
  <c r="D24" i="44"/>
  <c r="D26" i="44"/>
  <c r="G27" i="12"/>
  <c r="G23" i="43"/>
  <c r="N8" i="46"/>
  <c r="N4" i="46"/>
  <c r="N1" i="46"/>
  <c r="F47" i="46"/>
  <c r="M9" i="46"/>
  <c r="M2" i="46"/>
  <c r="N11" i="46"/>
  <c r="N9" i="46"/>
  <c r="M4" i="46"/>
  <c r="M12" i="46"/>
  <c r="M8" i="46"/>
  <c r="M3" i="46"/>
  <c r="M5" i="46"/>
  <c r="C6" i="46"/>
  <c r="H6" i="48"/>
  <c r="H15" i="48"/>
  <c r="H5" i="48"/>
  <c r="H14" i="48"/>
  <c r="F36" i="46"/>
  <c r="K17" i="46"/>
  <c r="F39" i="46"/>
  <c r="H13" i="48"/>
  <c r="H11" i="48"/>
  <c r="D17" i="46"/>
  <c r="D71" i="46"/>
  <c r="E69" i="46" s="1"/>
  <c r="B67" i="46" s="1"/>
  <c r="D84" i="46"/>
  <c r="E80" i="46" s="1"/>
  <c r="B78" i="46" s="1"/>
  <c r="D69" i="46"/>
  <c r="E47" i="46"/>
  <c r="B45" i="46" s="1"/>
  <c r="E58" i="46"/>
  <c r="B56" i="46"/>
  <c r="C51" i="10"/>
  <c r="I100" i="46"/>
  <c r="C24" i="46"/>
  <c r="N100" i="46"/>
  <c r="H100" i="46"/>
  <c r="F108" i="46"/>
  <c r="H80" i="46"/>
  <c r="E100" i="46"/>
  <c r="G100" i="46"/>
  <c r="H84" i="46"/>
  <c r="C100" i="46"/>
  <c r="J100" i="46"/>
  <c r="M100" i="46"/>
  <c r="W11" i="35"/>
  <c r="AA11" i="35"/>
  <c r="S14" i="37"/>
  <c r="S13" i="21"/>
  <c r="C24" i="9"/>
  <c r="C25" i="9"/>
  <c r="G8" i="1"/>
  <c r="I20" i="46"/>
  <c r="L5" i="54"/>
  <c r="B39" i="63"/>
  <c r="K5" i="54"/>
  <c r="B38" i="63" s="1"/>
  <c r="T41" i="4"/>
  <c r="A17" i="64"/>
  <c r="B46" i="50"/>
  <c r="B4" i="63" s="1"/>
  <c r="H86" i="46"/>
  <c r="H82" i="46"/>
  <c r="H10" i="48"/>
  <c r="H87" i="46"/>
  <c r="H85" i="46"/>
  <c r="H83" i="46"/>
  <c r="K10" i="1"/>
  <c r="M10" i="1" s="1"/>
  <c r="O10" i="1" s="1"/>
  <c r="S11" i="1"/>
  <c r="R11" i="1"/>
  <c r="S13" i="1"/>
  <c r="R13" i="1"/>
  <c r="B6" i="1"/>
  <c r="E6" i="1" s="1"/>
  <c r="B10" i="1"/>
  <c r="E10" i="1" s="1"/>
  <c r="S10" i="1"/>
  <c r="B8" i="1"/>
  <c r="E8" i="1"/>
  <c r="B12" i="1"/>
  <c r="E12" i="1"/>
  <c r="S12" i="1"/>
  <c r="G1" i="15"/>
  <c r="F66" i="36"/>
  <c r="G66" i="36" s="1"/>
  <c r="H18" i="36"/>
  <c r="U18" i="36" s="1"/>
  <c r="U16" i="36"/>
  <c r="S25" i="36"/>
  <c r="U23" i="36"/>
  <c r="AC27" i="36"/>
  <c r="W28" i="36"/>
  <c r="U13" i="36"/>
  <c r="AA22" i="36"/>
  <c r="U10" i="36"/>
  <c r="AA13" i="36"/>
  <c r="W29" i="36"/>
  <c r="W8" i="36"/>
  <c r="AC30" i="35"/>
  <c r="U24" i="35"/>
  <c r="W32" i="35"/>
  <c r="S24" i="35"/>
  <c r="AA33" i="35"/>
  <c r="W22" i="35"/>
  <c r="S32" i="35"/>
  <c r="W35" i="37"/>
  <c r="AC33" i="37"/>
  <c r="AC15" i="37"/>
  <c r="S12" i="37"/>
  <c r="W36" i="37"/>
  <c r="U26" i="37"/>
  <c r="AB28" i="37"/>
  <c r="S28" i="37"/>
  <c r="S26" i="37"/>
  <c r="S39" i="21"/>
  <c r="AB25" i="21"/>
  <c r="W25" i="21"/>
  <c r="AA25" i="21"/>
  <c r="AC37" i="21"/>
  <c r="AA29" i="21"/>
  <c r="U27" i="21"/>
  <c r="W31" i="21"/>
  <c r="S27" i="21"/>
  <c r="AA15" i="21"/>
  <c r="G96" i="40"/>
  <c r="J27" i="40"/>
  <c r="AC27" i="40" s="1"/>
  <c r="W30" i="40"/>
  <c r="S34" i="40"/>
  <c r="U17" i="40"/>
  <c r="U38" i="40"/>
  <c r="S40" i="40"/>
  <c r="S42" i="40"/>
  <c r="G105" i="39"/>
  <c r="J31" i="39"/>
  <c r="W31" i="39" s="1"/>
  <c r="AB43" i="39"/>
  <c r="AB33" i="39"/>
  <c r="AC46" i="39"/>
  <c r="W42" i="39"/>
  <c r="W36" i="39"/>
  <c r="W23" i="39"/>
  <c r="W16" i="39"/>
  <c r="S15" i="39"/>
  <c r="W25" i="39"/>
  <c r="S41" i="39"/>
  <c r="AA44" i="39"/>
  <c r="AA46" i="39"/>
  <c r="W10" i="39"/>
  <c r="W11" i="39"/>
  <c r="U42" i="39"/>
  <c r="W40" i="39"/>
  <c r="C27" i="39"/>
  <c r="C17" i="40"/>
  <c r="C19" i="40"/>
  <c r="C17" i="39"/>
  <c r="C19" i="39"/>
  <c r="C21" i="39"/>
  <c r="C23" i="40"/>
  <c r="B48" i="46"/>
  <c r="B51" i="46"/>
  <c r="B55" i="46"/>
  <c r="B59" i="46"/>
  <c r="B62" i="46"/>
  <c r="B66" i="46"/>
  <c r="B53" i="46"/>
  <c r="B64" i="46"/>
  <c r="D24" i="15"/>
  <c r="AA20" i="36"/>
  <c r="AC14" i="36"/>
  <c r="W14" i="36"/>
  <c r="W26" i="35"/>
  <c r="AC26" i="35"/>
  <c r="S19" i="37"/>
  <c r="AB19" i="37"/>
  <c r="W17" i="37"/>
  <c r="AA23" i="21"/>
  <c r="S23" i="21"/>
  <c r="U15" i="21"/>
  <c r="AB15" i="21"/>
  <c r="AC15" i="21"/>
  <c r="AC39" i="40"/>
  <c r="W39" i="40"/>
  <c r="U37" i="40"/>
  <c r="AB37" i="40"/>
  <c r="S37" i="40"/>
  <c r="AC29" i="40"/>
  <c r="AA29" i="40"/>
  <c r="S29" i="40"/>
  <c r="W19" i="40"/>
  <c r="A17" i="51"/>
  <c r="B13" i="63"/>
  <c r="AT6" i="3"/>
  <c r="A9" i="64"/>
  <c r="A9" i="51"/>
  <c r="B9" i="63" s="1"/>
  <c r="E4" i="4"/>
  <c r="B21" i="55" s="1"/>
  <c r="B72" i="63" s="1"/>
  <c r="C4" i="4"/>
  <c r="B20" i="55" s="1"/>
  <c r="B70" i="63" s="1"/>
  <c r="J18" i="36"/>
  <c r="W18" i="36" s="1"/>
  <c r="AE8" i="1"/>
  <c r="AG6" i="1"/>
  <c r="L20" i="6"/>
  <c r="L19" i="6"/>
  <c r="S8" i="1"/>
  <c r="S9" i="1"/>
  <c r="R9" i="1"/>
  <c r="R8" i="1"/>
  <c r="C45" i="9"/>
  <c r="O40" i="9" s="1"/>
  <c r="K31" i="9" s="1"/>
  <c r="K32" i="9" s="1"/>
  <c r="H14" i="66"/>
  <c r="B7" i="66"/>
  <c r="C44" i="9"/>
  <c r="G14" i="66" s="1"/>
  <c r="B6" i="66" s="1"/>
  <c r="N69" i="9"/>
  <c r="M84" i="9" s="1"/>
  <c r="N84" i="9" s="1"/>
  <c r="K29" i="9"/>
  <c r="M86" i="9"/>
  <c r="N86" i="9" s="1"/>
  <c r="M88" i="9"/>
  <c r="N88" i="9" s="1"/>
  <c r="M85" i="9"/>
  <c r="N85" i="9" s="1"/>
  <c r="K30" i="9"/>
  <c r="N76" i="9"/>
  <c r="C46" i="9"/>
  <c r="I14" i="66" s="1"/>
  <c r="B8" i="66" s="1"/>
  <c r="K33" i="9"/>
  <c r="O41" i="9"/>
  <c r="K34" i="9" s="1"/>
  <c r="D65" i="40"/>
  <c r="E65" i="40" s="1"/>
  <c r="H58" i="46"/>
  <c r="J17" i="46"/>
  <c r="C17" i="46"/>
  <c r="F34" i="46"/>
  <c r="F38" i="46"/>
  <c r="F37" i="46"/>
  <c r="H113" i="46"/>
  <c r="H49" i="46"/>
  <c r="H53" i="46"/>
  <c r="F13" i="59"/>
  <c r="F12" i="59" s="1"/>
  <c r="F11" i="59" s="1"/>
  <c r="F10" i="59" s="1"/>
  <c r="H1" i="65"/>
  <c r="H51" i="46"/>
  <c r="X7" i="46"/>
  <c r="E17" i="46"/>
  <c r="N17" i="46"/>
  <c r="O17" i="46"/>
  <c r="M17" i="46"/>
  <c r="L17" i="46"/>
  <c r="H50" i="46"/>
  <c r="H48" i="46"/>
  <c r="F35" i="46"/>
  <c r="I17" i="46"/>
  <c r="H63" i="46"/>
  <c r="H64" i="46"/>
  <c r="H66" i="46"/>
  <c r="D100" i="46"/>
  <c r="H62" i="46"/>
  <c r="AF12" i="46"/>
  <c r="K100" i="46"/>
  <c r="AB12" i="46"/>
  <c r="AJ12" i="46"/>
  <c r="H60" i="46"/>
  <c r="H59" i="46"/>
  <c r="H74" i="46"/>
  <c r="H65" i="46"/>
  <c r="H75" i="46"/>
  <c r="E10" i="46"/>
  <c r="E9" i="46"/>
  <c r="E11" i="46"/>
  <c r="E8" i="46"/>
  <c r="H55" i="46"/>
  <c r="H54" i="46"/>
  <c r="H52" i="46"/>
  <c r="H47" i="46"/>
  <c r="AD12" i="46"/>
  <c r="AH12" i="46"/>
  <c r="G20" i="46"/>
  <c r="C20" i="46" s="1"/>
  <c r="E13" i="67"/>
  <c r="F10" i="44"/>
  <c r="N3" i="65"/>
  <c r="N7" i="65"/>
  <c r="F11" i="67"/>
  <c r="F11" i="44"/>
  <c r="M30" i="44"/>
  <c r="M23" i="15"/>
  <c r="F13" i="15"/>
  <c r="B12" i="67"/>
  <c r="F7" i="15"/>
  <c r="N4" i="65"/>
  <c r="J15" i="15"/>
  <c r="B14" i="67"/>
  <c r="L47" i="15"/>
  <c r="F38" i="15"/>
  <c r="B11" i="67"/>
  <c r="F46" i="44"/>
  <c r="M6" i="15"/>
  <c r="N6" i="65"/>
  <c r="F8" i="44"/>
  <c r="M10" i="44"/>
  <c r="M8" i="44"/>
  <c r="B8" i="67"/>
  <c r="M29" i="44"/>
  <c r="F8" i="67"/>
  <c r="F9" i="67"/>
  <c r="J4" i="65"/>
  <c r="F13" i="67"/>
  <c r="C19" i="44"/>
  <c r="B9" i="67"/>
  <c r="M11" i="44"/>
  <c r="F8" i="15"/>
  <c r="F10" i="67"/>
  <c r="M26" i="44"/>
  <c r="B13" i="67"/>
  <c r="E9" i="67"/>
  <c r="F39" i="44"/>
  <c r="E11" i="67"/>
  <c r="N5" i="65"/>
  <c r="E8" i="67"/>
  <c r="F40" i="44"/>
  <c r="E14" i="67"/>
  <c r="B10" i="67"/>
  <c r="E12" i="67"/>
  <c r="F15" i="44"/>
  <c r="F12" i="67"/>
  <c r="F37" i="44"/>
  <c r="F14" i="67"/>
  <c r="I3" i="65"/>
  <c r="L49" i="44"/>
  <c r="E10" i="67"/>
  <c r="F37" i="15"/>
  <c r="AA9" i="36" l="1"/>
  <c r="S9" i="36"/>
  <c r="AB9" i="35"/>
  <c r="U9" i="35"/>
  <c r="AB46" i="21"/>
  <c r="U46" i="21"/>
  <c r="AZ492" i="3"/>
  <c r="AB36" i="35"/>
  <c r="U36" i="35"/>
  <c r="W27" i="21"/>
  <c r="AC27" i="21"/>
  <c r="S30" i="21"/>
  <c r="AA30" i="21"/>
  <c r="AC13" i="35"/>
  <c r="W13" i="35"/>
  <c r="AB14" i="40"/>
  <c r="AZ381" i="3"/>
  <c r="AZ355" i="3"/>
  <c r="AB24" i="36"/>
  <c r="BL545" i="3"/>
  <c r="BL537" i="3"/>
  <c r="BA537" i="3"/>
  <c r="E41" i="46"/>
  <c r="C41" i="46" s="1"/>
  <c r="C7" i="46"/>
  <c r="S25" i="39"/>
  <c r="AC19" i="39"/>
  <c r="S15" i="40"/>
  <c r="U35" i="21"/>
  <c r="AB14" i="35"/>
  <c r="U27" i="36"/>
  <c r="U25" i="36"/>
  <c r="AA33" i="39"/>
  <c r="U30" i="40"/>
  <c r="AA11" i="36"/>
  <c r="AC23" i="40"/>
  <c r="AC41" i="39"/>
  <c r="AA45" i="39"/>
  <c r="AZ548" i="3"/>
  <c r="U44" i="39"/>
  <c r="W37" i="37"/>
  <c r="AZ354" i="3"/>
  <c r="AZ298" i="3"/>
  <c r="S34" i="37"/>
  <c r="F24" i="36"/>
  <c r="AA41" i="21"/>
  <c r="G564" i="3"/>
  <c r="G523" i="3"/>
  <c r="G501" i="3"/>
  <c r="G485" i="3"/>
  <c r="AZ370" i="3"/>
  <c r="U19" i="21"/>
  <c r="AZ502" i="3"/>
  <c r="AC42" i="40"/>
  <c r="AZ522" i="3"/>
  <c r="AZ559" i="3"/>
  <c r="W23" i="36"/>
  <c r="G14" i="3"/>
  <c r="U26" i="35"/>
  <c r="W41" i="40"/>
  <c r="AZ561" i="3"/>
  <c r="U22" i="36"/>
  <c r="G510" i="3"/>
  <c r="G491" i="3"/>
  <c r="W19" i="37"/>
  <c r="AB29" i="39"/>
  <c r="U17" i="21"/>
  <c r="AC33" i="36"/>
  <c r="F9" i="35"/>
  <c r="J9" i="35"/>
  <c r="W27" i="40"/>
  <c r="H76" i="46"/>
  <c r="S43" i="39"/>
  <c r="U27" i="39"/>
  <c r="G494" i="3"/>
  <c r="AZ507" i="3"/>
  <c r="AB44" i="21"/>
  <c r="J13" i="36"/>
  <c r="C23" i="39"/>
  <c r="H39" i="37"/>
  <c r="H9" i="21"/>
  <c r="F32" i="36"/>
  <c r="G543" i="3"/>
  <c r="G535" i="3"/>
  <c r="W25" i="40"/>
  <c r="AC47" i="39"/>
  <c r="AZ329" i="3"/>
  <c r="U31" i="21"/>
  <c r="AA22" i="35"/>
  <c r="H69" i="46"/>
  <c r="H73" i="46"/>
  <c r="R8" i="54"/>
  <c r="B54" i="63" s="1"/>
  <c r="AA19" i="40"/>
  <c r="S39" i="40"/>
  <c r="AB20" i="36"/>
  <c r="AZ349" i="3"/>
  <c r="AZ321" i="3"/>
  <c r="AB36" i="21"/>
  <c r="BQ5" i="3"/>
  <c r="AB29" i="40"/>
  <c r="AB23" i="21"/>
  <c r="U25" i="40"/>
  <c r="H77" i="46"/>
  <c r="H72" i="46"/>
  <c r="H70" i="46"/>
  <c r="S14" i="36"/>
  <c r="AA23" i="40"/>
  <c r="AC11" i="36"/>
  <c r="W25" i="35"/>
  <c r="J32" i="36"/>
  <c r="W8" i="35"/>
  <c r="W31" i="35"/>
  <c r="AA31" i="35"/>
  <c r="BE5" i="3"/>
  <c r="G484" i="3"/>
  <c r="G17" i="3"/>
  <c r="AZ526" i="3"/>
  <c r="AZ566" i="3"/>
  <c r="AZ311" i="3"/>
  <c r="J24" i="35"/>
  <c r="AA25" i="37"/>
  <c r="BA504" i="3"/>
  <c r="AZ504" i="3" s="1"/>
  <c r="BL400" i="3"/>
  <c r="AZ400" i="3" s="1"/>
  <c r="BL404" i="3"/>
  <c r="AZ404" i="3" s="1"/>
  <c r="BL406" i="3"/>
  <c r="BL418" i="3"/>
  <c r="BL421" i="3"/>
  <c r="AZ421" i="3" s="1"/>
  <c r="BL423" i="3"/>
  <c r="AZ423" i="3" s="1"/>
  <c r="BL427" i="3"/>
  <c r="BL432" i="3"/>
  <c r="BA434" i="3"/>
  <c r="AZ434" i="3" s="1"/>
  <c r="BA435" i="3"/>
  <c r="G454" i="3"/>
  <c r="G456" i="3"/>
  <c r="BL470" i="3"/>
  <c r="BL473" i="3"/>
  <c r="BA475" i="3"/>
  <c r="AZ475" i="3" s="1"/>
  <c r="BA476" i="3"/>
  <c r="BL306" i="3"/>
  <c r="AZ306" i="3" s="1"/>
  <c r="BA311" i="3"/>
  <c r="BL360" i="3"/>
  <c r="AZ360" i="3" s="1"/>
  <c r="BL222" i="3"/>
  <c r="BA240" i="3"/>
  <c r="BA257" i="3"/>
  <c r="AZ257" i="3" s="1"/>
  <c r="BA168" i="3"/>
  <c r="BL192" i="3"/>
  <c r="AZ192" i="3" s="1"/>
  <c r="AZ93" i="3"/>
  <c r="BL399" i="3"/>
  <c r="BL410" i="3"/>
  <c r="AZ410" i="3" s="1"/>
  <c r="BL411" i="3"/>
  <c r="BL412" i="3"/>
  <c r="BL417" i="3"/>
  <c r="BA418" i="3"/>
  <c r="AZ418" i="3" s="1"/>
  <c r="BL424" i="3"/>
  <c r="BA427" i="3"/>
  <c r="AZ427" i="3" s="1"/>
  <c r="BA432" i="3"/>
  <c r="G448" i="3"/>
  <c r="G449" i="3"/>
  <c r="G451" i="3"/>
  <c r="G452" i="3"/>
  <c r="BL460" i="3"/>
  <c r="BL461" i="3"/>
  <c r="AZ461" i="3" s="1"/>
  <c r="BL464" i="3"/>
  <c r="BL467" i="3"/>
  <c r="BA470" i="3"/>
  <c r="BA473" i="3"/>
  <c r="AZ473" i="3" s="1"/>
  <c r="G301" i="3"/>
  <c r="BL304" i="3"/>
  <c r="AZ304" i="3" s="1"/>
  <c r="BL327" i="3"/>
  <c r="AZ327" i="3" s="1"/>
  <c r="BA328" i="3"/>
  <c r="AZ328" i="3" s="1"/>
  <c r="BA330" i="3"/>
  <c r="BA347" i="3"/>
  <c r="AZ347" i="3" s="1"/>
  <c r="BA348" i="3"/>
  <c r="BL237" i="3"/>
  <c r="BA280" i="3"/>
  <c r="BL287" i="3"/>
  <c r="AZ29" i="3"/>
  <c r="BL390" i="3"/>
  <c r="AZ390" i="3" s="1"/>
  <c r="BL391" i="3"/>
  <c r="BA399" i="3"/>
  <c r="BL401" i="3"/>
  <c r="BL403" i="3"/>
  <c r="BA405" i="3"/>
  <c r="BL407" i="3"/>
  <c r="BA417" i="3"/>
  <c r="AZ417" i="3" s="1"/>
  <c r="BA424" i="3"/>
  <c r="BA425" i="3"/>
  <c r="BA430" i="3"/>
  <c r="BL462" i="3"/>
  <c r="BA463" i="3"/>
  <c r="AZ463" i="3" s="1"/>
  <c r="BL465" i="3"/>
  <c r="BA466" i="3"/>
  <c r="AZ466" i="3" s="1"/>
  <c r="BA467" i="3"/>
  <c r="AZ467" i="3" s="1"/>
  <c r="BA468" i="3"/>
  <c r="BA309" i="3"/>
  <c r="AZ309" i="3" s="1"/>
  <c r="BA325" i="3"/>
  <c r="AZ325" i="3" s="1"/>
  <c r="G367" i="3"/>
  <c r="BA387" i="3"/>
  <c r="BA226" i="3"/>
  <c r="BL234" i="3"/>
  <c r="G266" i="3"/>
  <c r="G283" i="3"/>
  <c r="BL286" i="3"/>
  <c r="BA116" i="3"/>
  <c r="BA117" i="3"/>
  <c r="BL129" i="3"/>
  <c r="C13" i="59"/>
  <c r="T14" i="59"/>
  <c r="D14" i="59"/>
  <c r="S10" i="36"/>
  <c r="BA570" i="3"/>
  <c r="AZ570" i="3" s="1"/>
  <c r="G563" i="3"/>
  <c r="BL544" i="3"/>
  <c r="BA539" i="3"/>
  <c r="AZ539" i="3" s="1"/>
  <c r="BL536" i="3"/>
  <c r="BA536" i="3"/>
  <c r="AZ536" i="3" s="1"/>
  <c r="G530" i="3"/>
  <c r="G516" i="3"/>
  <c r="G505" i="3"/>
  <c r="BL497" i="3"/>
  <c r="BL489" i="3"/>
  <c r="BA481" i="3"/>
  <c r="AZ481" i="3" s="1"/>
  <c r="G20" i="3"/>
  <c r="BH5" i="3"/>
  <c r="C2" i="65"/>
  <c r="BL392" i="3"/>
  <c r="BL395" i="3"/>
  <c r="BL396" i="3"/>
  <c r="BL398" i="3"/>
  <c r="BA401" i="3"/>
  <c r="BA402" i="3"/>
  <c r="AZ402" i="3" s="1"/>
  <c r="BA407" i="3"/>
  <c r="BA409" i="3"/>
  <c r="BO5" i="3"/>
  <c r="BA411" i="3"/>
  <c r="AZ411" i="3" s="1"/>
  <c r="BL413" i="3"/>
  <c r="BA416" i="3"/>
  <c r="BA422" i="3"/>
  <c r="G444" i="3"/>
  <c r="BL454" i="3"/>
  <c r="AZ454" i="3" s="1"/>
  <c r="BL456" i="3"/>
  <c r="AZ456" i="3" s="1"/>
  <c r="BL459" i="3"/>
  <c r="BA462" i="3"/>
  <c r="BA465" i="3"/>
  <c r="BA341" i="3"/>
  <c r="AZ341" i="3" s="1"/>
  <c r="BA386" i="3"/>
  <c r="BA235" i="3"/>
  <c r="BA271" i="3"/>
  <c r="AZ271" i="3" s="1"/>
  <c r="AZ21" i="3"/>
  <c r="BA389" i="3"/>
  <c r="BA391" i="3"/>
  <c r="BA392" i="3"/>
  <c r="AZ392" i="3" s="1"/>
  <c r="BA394" i="3"/>
  <c r="BA395" i="3"/>
  <c r="AZ395" i="3" s="1"/>
  <c r="BA396" i="3"/>
  <c r="BA397" i="3"/>
  <c r="AZ397" i="3" s="1"/>
  <c r="BA408" i="3"/>
  <c r="AZ408" i="3" s="1"/>
  <c r="BL449" i="3"/>
  <c r="AZ449" i="3" s="1"/>
  <c r="BL457" i="3"/>
  <c r="BA459" i="3"/>
  <c r="AZ459" i="3" s="1"/>
  <c r="BA460" i="3"/>
  <c r="BL368" i="3"/>
  <c r="BL382" i="3"/>
  <c r="AZ382" i="3" s="1"/>
  <c r="AZ384" i="3"/>
  <c r="BA223" i="3"/>
  <c r="AZ223" i="3" s="1"/>
  <c r="AZ234" i="3"/>
  <c r="AZ250" i="3"/>
  <c r="BA269" i="3"/>
  <c r="BA163" i="3"/>
  <c r="G566" i="3"/>
  <c r="G533" i="3"/>
  <c r="BA393" i="3"/>
  <c r="AZ393" i="3" s="1"/>
  <c r="BL445" i="3"/>
  <c r="BL446" i="3"/>
  <c r="AZ446" i="3" s="1"/>
  <c r="BL452" i="3"/>
  <c r="BA457" i="3"/>
  <c r="AZ457" i="3" s="1"/>
  <c r="BA340" i="3"/>
  <c r="AZ340" i="3" s="1"/>
  <c r="BL340" i="3"/>
  <c r="BA357" i="3"/>
  <c r="AZ357" i="3" s="1"/>
  <c r="BA358" i="3"/>
  <c r="AZ358" i="3" s="1"/>
  <c r="BA383" i="3"/>
  <c r="AZ383" i="3" s="1"/>
  <c r="BA218" i="3"/>
  <c r="AZ218" i="3" s="1"/>
  <c r="BA232" i="3"/>
  <c r="BA288" i="3"/>
  <c r="BL295" i="3"/>
  <c r="AZ87" i="3"/>
  <c r="BL447" i="3"/>
  <c r="BA451" i="3"/>
  <c r="AZ451" i="3" s="1"/>
  <c r="BA452" i="3"/>
  <c r="AZ452" i="3" s="1"/>
  <c r="BA453" i="3"/>
  <c r="BA301" i="3"/>
  <c r="AZ301" i="3" s="1"/>
  <c r="G313" i="3"/>
  <c r="BL316" i="3"/>
  <c r="AZ316" i="3" s="1"/>
  <c r="BL318" i="3"/>
  <c r="BA321" i="3"/>
  <c r="BL335" i="3"/>
  <c r="AZ335" i="3" s="1"/>
  <c r="BA368" i="3"/>
  <c r="BL380" i="3"/>
  <c r="AZ380" i="3" s="1"/>
  <c r="G209" i="3"/>
  <c r="BA231" i="3"/>
  <c r="AZ231" i="3" s="1"/>
  <c r="BA247" i="3"/>
  <c r="AZ247" i="3" s="1"/>
  <c r="BL282" i="3"/>
  <c r="AZ282" i="3" s="1"/>
  <c r="BA47" i="3"/>
  <c r="BL440" i="3"/>
  <c r="BL441" i="3"/>
  <c r="AZ441" i="3" s="1"/>
  <c r="BL442" i="3"/>
  <c r="BL444" i="3"/>
  <c r="BA447" i="3"/>
  <c r="BA448" i="3"/>
  <c r="BA450" i="3"/>
  <c r="BA318" i="3"/>
  <c r="BL332" i="3"/>
  <c r="AZ332" i="3" s="1"/>
  <c r="BL281" i="3"/>
  <c r="BL293" i="3"/>
  <c r="BA160" i="3"/>
  <c r="G400" i="3"/>
  <c r="G426" i="3"/>
  <c r="G431" i="3"/>
  <c r="BA444" i="3"/>
  <c r="BA445" i="3"/>
  <c r="G469" i="3"/>
  <c r="BL330" i="3"/>
  <c r="BA334" i="3"/>
  <c r="AZ334" i="3" s="1"/>
  <c r="BL348" i="3"/>
  <c r="BL350" i="3"/>
  <c r="G375" i="3"/>
  <c r="BL212" i="3"/>
  <c r="AZ212" i="3" s="1"/>
  <c r="BA245" i="3"/>
  <c r="BA246" i="3"/>
  <c r="BA268" i="3"/>
  <c r="AZ268" i="3" s="1"/>
  <c r="BL280" i="3"/>
  <c r="BA285" i="3"/>
  <c r="AZ285" i="3" s="1"/>
  <c r="BL292" i="3"/>
  <c r="BL122" i="3"/>
  <c r="AZ122" i="3" s="1"/>
  <c r="BL184" i="3"/>
  <c r="AZ184" i="3" s="1"/>
  <c r="BA199" i="3"/>
  <c r="BL32" i="3"/>
  <c r="BA33" i="3"/>
  <c r="BL43" i="3"/>
  <c r="BL57" i="3"/>
  <c r="BL81" i="3"/>
  <c r="C53" i="59"/>
  <c r="D52" i="59"/>
  <c r="G408" i="3"/>
  <c r="G410" i="3"/>
  <c r="G412" i="3"/>
  <c r="G415" i="3"/>
  <c r="G416" i="3"/>
  <c r="G417" i="3"/>
  <c r="G423" i="3"/>
  <c r="BL436" i="3"/>
  <c r="AZ436" i="3" s="1"/>
  <c r="BL439" i="3"/>
  <c r="G463" i="3"/>
  <c r="G464" i="3"/>
  <c r="G466" i="3"/>
  <c r="G467" i="3"/>
  <c r="BL476" i="3"/>
  <c r="BL477" i="3"/>
  <c r="AZ477" i="3" s="1"/>
  <c r="BL480" i="3"/>
  <c r="BL312" i="3"/>
  <c r="AZ312" i="3" s="1"/>
  <c r="BL314" i="3"/>
  <c r="AZ314" i="3" s="1"/>
  <c r="BA315" i="3"/>
  <c r="AZ315" i="3" s="1"/>
  <c r="BA317" i="3"/>
  <c r="AZ317" i="3" s="1"/>
  <c r="BA320" i="3"/>
  <c r="AZ320" i="3" s="1"/>
  <c r="G325" i="3"/>
  <c r="BL346" i="3"/>
  <c r="AZ346" i="3" s="1"/>
  <c r="BA350" i="3"/>
  <c r="G359" i="3"/>
  <c r="G360" i="3"/>
  <c r="BL209" i="3"/>
  <c r="BA213" i="3"/>
  <c r="AZ213" i="3" s="1"/>
  <c r="BA214" i="3"/>
  <c r="G222" i="3"/>
  <c r="G223" i="3"/>
  <c r="BL226" i="3"/>
  <c r="BL241" i="3"/>
  <c r="BL243" i="3"/>
  <c r="BA244" i="3"/>
  <c r="AZ244" i="3" s="1"/>
  <c r="G273" i="3"/>
  <c r="G276" i="3"/>
  <c r="BL279" i="3"/>
  <c r="BA296" i="3"/>
  <c r="BA133" i="3"/>
  <c r="BA171" i="3"/>
  <c r="BL30" i="3"/>
  <c r="BA70" i="3"/>
  <c r="G390" i="3"/>
  <c r="BL437" i="3"/>
  <c r="BA438" i="3"/>
  <c r="AZ438" i="3" s="1"/>
  <c r="BA439" i="3"/>
  <c r="BA440" i="3"/>
  <c r="AZ440" i="3" s="1"/>
  <c r="BA442" i="3"/>
  <c r="AZ442" i="3" s="1"/>
  <c r="BL478" i="3"/>
  <c r="BA479" i="3"/>
  <c r="AZ479" i="3" s="1"/>
  <c r="BA297" i="3"/>
  <c r="AZ297" i="3" s="1"/>
  <c r="BA333" i="3"/>
  <c r="AZ333" i="3" s="1"/>
  <c r="BL290" i="3"/>
  <c r="AZ290" i="3" s="1"/>
  <c r="BA121" i="3"/>
  <c r="BA183" i="3"/>
  <c r="AZ49" i="3"/>
  <c r="BA58" i="3"/>
  <c r="C33" i="59"/>
  <c r="D32" i="59"/>
  <c r="G540" i="3"/>
  <c r="BL538" i="3"/>
  <c r="AZ538" i="3" s="1"/>
  <c r="BA538" i="3"/>
  <c r="BA535" i="3"/>
  <c r="AZ535" i="3" s="1"/>
  <c r="BL499" i="3"/>
  <c r="BA499" i="3"/>
  <c r="BL496" i="3"/>
  <c r="BL488" i="3"/>
  <c r="BA488" i="3"/>
  <c r="AZ488" i="3" s="1"/>
  <c r="G482" i="3"/>
  <c r="BR5" i="3"/>
  <c r="BA20" i="3"/>
  <c r="AZ20" i="3" s="1"/>
  <c r="BL19" i="3"/>
  <c r="G19" i="3"/>
  <c r="G15" i="3"/>
  <c r="S22" i="31"/>
  <c r="R22" i="31" s="1"/>
  <c r="B21" i="31" s="1"/>
  <c r="G395" i="3"/>
  <c r="BJ5" i="3"/>
  <c r="BL419" i="3"/>
  <c r="BL425" i="3"/>
  <c r="BL426" i="3"/>
  <c r="AZ426" i="3" s="1"/>
  <c r="BL429" i="3"/>
  <c r="BL430" i="3"/>
  <c r="BL431" i="3"/>
  <c r="AZ431" i="3" s="1"/>
  <c r="BL469" i="3"/>
  <c r="AZ469" i="3" s="1"/>
  <c r="BL472" i="3"/>
  <c r="AZ472" i="3" s="1"/>
  <c r="BL475" i="3"/>
  <c r="BA478" i="3"/>
  <c r="BL308" i="3"/>
  <c r="AZ308" i="3" s="1"/>
  <c r="BA349" i="3"/>
  <c r="BL376" i="3"/>
  <c r="AZ376" i="3" s="1"/>
  <c r="BL208" i="3"/>
  <c r="BA209" i="3"/>
  <c r="AZ209" i="3" s="1"/>
  <c r="BL223" i="3"/>
  <c r="BA241" i="3"/>
  <c r="G271" i="3"/>
  <c r="BA131" i="3"/>
  <c r="AZ131" i="3" s="1"/>
  <c r="BL54" i="3"/>
  <c r="BL67" i="3"/>
  <c r="G214" i="3"/>
  <c r="G215" i="3"/>
  <c r="BL232" i="3"/>
  <c r="BL235" i="3"/>
  <c r="BA237" i="3"/>
  <c r="AZ237" i="3" s="1"/>
  <c r="BA238" i="3"/>
  <c r="G258" i="3"/>
  <c r="BL265" i="3"/>
  <c r="AZ265" i="3" s="1"/>
  <c r="BL114" i="3"/>
  <c r="AZ114" i="3" s="1"/>
  <c r="BL116" i="3"/>
  <c r="G127" i="3"/>
  <c r="G135" i="3"/>
  <c r="G138" i="3"/>
  <c r="BL146" i="3"/>
  <c r="AZ146" i="3" s="1"/>
  <c r="BL148" i="3"/>
  <c r="AZ148" i="3" s="1"/>
  <c r="G160" i="3"/>
  <c r="BA180" i="3"/>
  <c r="G197" i="3"/>
  <c r="BL22" i="3"/>
  <c r="AZ22" i="3" s="1"/>
  <c r="BL24" i="3"/>
  <c r="AZ24" i="3" s="1"/>
  <c r="BL28" i="3"/>
  <c r="AZ28" i="3" s="1"/>
  <c r="G48" i="3"/>
  <c r="BA67" i="3"/>
  <c r="AZ67" i="3" s="1"/>
  <c r="G90" i="3"/>
  <c r="G92" i="3"/>
  <c r="G98" i="3"/>
  <c r="BL110" i="3"/>
  <c r="AZ110" i="3" s="1"/>
  <c r="P57" i="59"/>
  <c r="E14" i="59"/>
  <c r="B45" i="59"/>
  <c r="B46" i="59" s="1"/>
  <c r="S46" i="59" s="1"/>
  <c r="BL224" i="3"/>
  <c r="BA225" i="3"/>
  <c r="AZ225" i="3" s="1"/>
  <c r="BL227" i="3"/>
  <c r="BA228" i="3"/>
  <c r="AZ228" i="3" s="1"/>
  <c r="BA229" i="3"/>
  <c r="AZ229" i="3" s="1"/>
  <c r="BA230" i="3"/>
  <c r="G255" i="3"/>
  <c r="BL261" i="3"/>
  <c r="BL271" i="3"/>
  <c r="BL274" i="3"/>
  <c r="BL276" i="3"/>
  <c r="BA279" i="3"/>
  <c r="BL283" i="3"/>
  <c r="BA284" i="3"/>
  <c r="AZ284" i="3" s="1"/>
  <c r="BL291" i="3"/>
  <c r="BL294" i="3"/>
  <c r="BL113" i="3"/>
  <c r="G126" i="3"/>
  <c r="BL145" i="3"/>
  <c r="G156" i="3"/>
  <c r="BL168" i="3"/>
  <c r="BL171" i="3"/>
  <c r="BA175" i="3"/>
  <c r="BA176" i="3"/>
  <c r="AZ176" i="3" s="1"/>
  <c r="G191" i="3"/>
  <c r="G196" i="3"/>
  <c r="BL198" i="3"/>
  <c r="BL199" i="3"/>
  <c r="BL203" i="3"/>
  <c r="BL23" i="3"/>
  <c r="BA25" i="3"/>
  <c r="BA26" i="3"/>
  <c r="G45" i="3"/>
  <c r="G52" i="3"/>
  <c r="G87" i="3"/>
  <c r="BA111" i="3"/>
  <c r="D41" i="59"/>
  <c r="AA20" i="59"/>
  <c r="AA25" i="59"/>
  <c r="AB27" i="59"/>
  <c r="F41" i="59"/>
  <c r="F42" i="59" s="1"/>
  <c r="V42" i="59" s="1"/>
  <c r="E53" i="59"/>
  <c r="E54" i="59" s="1"/>
  <c r="U54" i="59" s="1"/>
  <c r="G386" i="3"/>
  <c r="G388" i="3"/>
  <c r="G205" i="3"/>
  <c r="BL215" i="3"/>
  <c r="AZ215" i="3" s="1"/>
  <c r="BL218" i="3"/>
  <c r="BL221" i="3"/>
  <c r="BA224" i="3"/>
  <c r="BA227" i="3"/>
  <c r="G249" i="3"/>
  <c r="G250" i="3"/>
  <c r="G252" i="3"/>
  <c r="G253" i="3"/>
  <c r="BL258" i="3"/>
  <c r="BL260" i="3"/>
  <c r="BA262" i="3"/>
  <c r="BA276" i="3"/>
  <c r="AZ276" i="3" s="1"/>
  <c r="BA283" i="3"/>
  <c r="BL289" i="3"/>
  <c r="BA291" i="3"/>
  <c r="AZ291" i="3" s="1"/>
  <c r="BA294" i="3"/>
  <c r="BA113" i="3"/>
  <c r="BA115" i="3"/>
  <c r="AZ115" i="3" s="1"/>
  <c r="BL133" i="3"/>
  <c r="AZ133" i="3" s="1"/>
  <c r="BL136" i="3"/>
  <c r="BL138" i="3"/>
  <c r="AZ138" i="3" s="1"/>
  <c r="BA143" i="3"/>
  <c r="AZ143" i="3" s="1"/>
  <c r="BA145" i="3"/>
  <c r="BA147" i="3"/>
  <c r="AZ147" i="3" s="1"/>
  <c r="G154" i="3"/>
  <c r="BA167" i="3"/>
  <c r="AZ167" i="3" s="1"/>
  <c r="BL172" i="3"/>
  <c r="G189" i="3"/>
  <c r="BA203" i="3"/>
  <c r="BA204" i="3"/>
  <c r="AZ204" i="3" s="1"/>
  <c r="BA23" i="3"/>
  <c r="AZ23" i="3" s="1"/>
  <c r="G40" i="3"/>
  <c r="G41" i="3"/>
  <c r="G42" i="3"/>
  <c r="G60" i="3"/>
  <c r="BK5" i="3"/>
  <c r="BA102" i="3"/>
  <c r="AZ102" i="3" s="1"/>
  <c r="BA104" i="3"/>
  <c r="AZ104" i="3" s="1"/>
  <c r="BA106" i="3"/>
  <c r="BA108" i="3"/>
  <c r="AB25" i="59"/>
  <c r="X28" i="59"/>
  <c r="E38" i="59"/>
  <c r="U38" i="59" s="1"/>
  <c r="F61" i="59"/>
  <c r="F60" i="59" s="1"/>
  <c r="BL216" i="3"/>
  <c r="BL219" i="3"/>
  <c r="BA221" i="3"/>
  <c r="BA222" i="3"/>
  <c r="G246" i="3"/>
  <c r="BA260" i="3"/>
  <c r="AZ260" i="3" s="1"/>
  <c r="BA274" i="3"/>
  <c r="AZ274" i="3" s="1"/>
  <c r="BA278" i="3"/>
  <c r="BA281" i="3"/>
  <c r="AZ281" i="3" s="1"/>
  <c r="BA286" i="3"/>
  <c r="AZ286" i="3" s="1"/>
  <c r="BA289" i="3"/>
  <c r="AZ289" i="3" s="1"/>
  <c r="G123" i="3"/>
  <c r="BA129" i="3"/>
  <c r="BA132" i="3"/>
  <c r="AZ132" i="3" s="1"/>
  <c r="BL157" i="3"/>
  <c r="AZ157" i="3" s="1"/>
  <c r="BL160" i="3"/>
  <c r="BL163" i="3"/>
  <c r="BL165" i="3"/>
  <c r="AZ165" i="3" s="1"/>
  <c r="BA170" i="3"/>
  <c r="AZ170" i="3" s="1"/>
  <c r="BA172" i="3"/>
  <c r="BA174" i="3"/>
  <c r="AZ174" i="3" s="1"/>
  <c r="BA201" i="3"/>
  <c r="AZ201" i="3" s="1"/>
  <c r="BL46" i="3"/>
  <c r="G82" i="3"/>
  <c r="BL90" i="3"/>
  <c r="AZ90" i="3" s="1"/>
  <c r="BL93" i="3"/>
  <c r="BL96" i="3"/>
  <c r="BL97" i="3"/>
  <c r="BA100" i="3"/>
  <c r="C27" i="40"/>
  <c r="D66" i="59"/>
  <c r="B56" i="59"/>
  <c r="E21" i="59"/>
  <c r="E22" i="59" s="1"/>
  <c r="U22" i="59" s="1"/>
  <c r="Y28" i="59"/>
  <c r="Z28" i="59" s="1"/>
  <c r="B34" i="59"/>
  <c r="S34" i="59" s="1"/>
  <c r="BL206" i="3"/>
  <c r="BL207" i="3"/>
  <c r="AZ207" i="3" s="1"/>
  <c r="BL210" i="3"/>
  <c r="BL213" i="3"/>
  <c r="BA216" i="3"/>
  <c r="BA219" i="3"/>
  <c r="AZ219" i="3" s="1"/>
  <c r="G241" i="3"/>
  <c r="G242" i="3"/>
  <c r="G244" i="3"/>
  <c r="G245" i="3"/>
  <c r="BL254" i="3"/>
  <c r="BL255" i="3"/>
  <c r="AZ255" i="3" s="1"/>
  <c r="BL257" i="3"/>
  <c r="BA258" i="3"/>
  <c r="AZ258" i="3" s="1"/>
  <c r="BL259" i="3"/>
  <c r="BA272" i="3"/>
  <c r="BA273" i="3"/>
  <c r="AZ273" i="3" s="1"/>
  <c r="G119" i="3"/>
  <c r="BL125" i="3"/>
  <c r="BL126" i="3"/>
  <c r="AZ126" i="3" s="1"/>
  <c r="BA127" i="3"/>
  <c r="AZ127" i="3" s="1"/>
  <c r="BA128" i="3"/>
  <c r="BA135" i="3"/>
  <c r="AZ135" i="3" s="1"/>
  <c r="G151" i="3"/>
  <c r="BL155" i="3"/>
  <c r="G185" i="3"/>
  <c r="BL191" i="3"/>
  <c r="AZ191" i="3" s="1"/>
  <c r="BL194" i="3"/>
  <c r="BL196" i="3"/>
  <c r="AZ196" i="3" s="1"/>
  <c r="BA198" i="3"/>
  <c r="AZ198" i="3" s="1"/>
  <c r="G32" i="3"/>
  <c r="G33" i="3"/>
  <c r="BL49" i="3"/>
  <c r="BL52" i="3"/>
  <c r="AZ52" i="3" s="1"/>
  <c r="G64" i="3"/>
  <c r="G69" i="3"/>
  <c r="G73" i="3"/>
  <c r="G78" i="3"/>
  <c r="BL84" i="3"/>
  <c r="AZ84" i="3" s="1"/>
  <c r="BL87" i="3"/>
  <c r="BL94" i="3"/>
  <c r="BA99" i="3"/>
  <c r="S31" i="39"/>
  <c r="E65" i="59"/>
  <c r="E64" i="59" s="1"/>
  <c r="AA28" i="59"/>
  <c r="AI12" i="46"/>
  <c r="BA137" i="3"/>
  <c r="BA162" i="3"/>
  <c r="AZ162" i="3" s="1"/>
  <c r="BL55" i="3"/>
  <c r="AZ55" i="3" s="1"/>
  <c r="BL82" i="3"/>
  <c r="BL83" i="3"/>
  <c r="BA89" i="3"/>
  <c r="BA91" i="3"/>
  <c r="BA95" i="3"/>
  <c r="AZ95" i="3" s="1"/>
  <c r="BA97" i="3"/>
  <c r="AZ97" i="3" s="1"/>
  <c r="BA98" i="3"/>
  <c r="AZ98" i="3" s="1"/>
  <c r="S27" i="40"/>
  <c r="AA21" i="59"/>
  <c r="AA23" i="59"/>
  <c r="BL351" i="3"/>
  <c r="AZ351" i="3" s="1"/>
  <c r="BA371" i="3"/>
  <c r="AZ371" i="3" s="1"/>
  <c r="BL384" i="3"/>
  <c r="BL386" i="3"/>
  <c r="BL205" i="3"/>
  <c r="BA208" i="3"/>
  <c r="BA211" i="3"/>
  <c r="G233" i="3"/>
  <c r="G234" i="3"/>
  <c r="BL247" i="3"/>
  <c r="BL250" i="3"/>
  <c r="BL253" i="3"/>
  <c r="BL256" i="3"/>
  <c r="G118" i="3"/>
  <c r="BL121" i="3"/>
  <c r="BL124" i="3"/>
  <c r="G150" i="3"/>
  <c r="BA164" i="3"/>
  <c r="BA193" i="3"/>
  <c r="AZ193" i="3" s="1"/>
  <c r="BL195" i="3"/>
  <c r="G30" i="3"/>
  <c r="BL42" i="3"/>
  <c r="BA44" i="3"/>
  <c r="BA45" i="3"/>
  <c r="AZ45" i="3" s="1"/>
  <c r="BA46" i="3"/>
  <c r="BA48" i="3"/>
  <c r="AZ48" i="3" s="1"/>
  <c r="BA51" i="3"/>
  <c r="AZ51" i="3" s="1"/>
  <c r="BL56" i="3"/>
  <c r="BL58" i="3"/>
  <c r="BL62" i="3"/>
  <c r="BA85" i="3"/>
  <c r="BA88" i="3"/>
  <c r="AZ88" i="3" s="1"/>
  <c r="BA367" i="3"/>
  <c r="AZ367" i="3" s="1"/>
  <c r="BL387" i="3"/>
  <c r="BA205" i="3"/>
  <c r="BA206" i="3"/>
  <c r="AZ206" i="3" s="1"/>
  <c r="G230" i="3"/>
  <c r="BL248" i="3"/>
  <c r="BL251" i="3"/>
  <c r="BA253" i="3"/>
  <c r="BA254" i="3"/>
  <c r="G264" i="3"/>
  <c r="BA124" i="3"/>
  <c r="AZ124" i="3" s="1"/>
  <c r="BA125" i="3"/>
  <c r="BL152" i="3"/>
  <c r="BL153" i="3"/>
  <c r="AZ153" i="3" s="1"/>
  <c r="BA154" i="3"/>
  <c r="AZ154" i="3" s="1"/>
  <c r="BA155" i="3"/>
  <c r="AZ155" i="3" s="1"/>
  <c r="G177" i="3"/>
  <c r="BL183" i="3"/>
  <c r="BL186" i="3"/>
  <c r="AZ186" i="3" s="1"/>
  <c r="BL188" i="3"/>
  <c r="AZ188" i="3" s="1"/>
  <c r="BA190" i="3"/>
  <c r="BA195" i="3"/>
  <c r="G27" i="3"/>
  <c r="BL35" i="3"/>
  <c r="BL37" i="3"/>
  <c r="BL39" i="3"/>
  <c r="BA40" i="3"/>
  <c r="AZ40" i="3" s="1"/>
  <c r="BA41" i="3"/>
  <c r="BA42" i="3"/>
  <c r="AZ42" i="3" s="1"/>
  <c r="BA50" i="3"/>
  <c r="BA56" i="3"/>
  <c r="AZ56" i="3" s="1"/>
  <c r="BL65" i="3"/>
  <c r="BL70" i="3"/>
  <c r="BL73" i="3"/>
  <c r="AZ73" i="3" s="1"/>
  <c r="BA82" i="3"/>
  <c r="S18" i="35"/>
  <c r="E61" i="59"/>
  <c r="E60" i="59" s="1"/>
  <c r="Y19" i="59"/>
  <c r="Z19" i="59" s="1"/>
  <c r="X24" i="59"/>
  <c r="Y29" i="59"/>
  <c r="Z29" i="59" s="1"/>
  <c r="E33" i="59"/>
  <c r="E34" i="59" s="1"/>
  <c r="U34" i="59" s="1"/>
  <c r="F57" i="59"/>
  <c r="F56" i="59" s="1"/>
  <c r="G226" i="3"/>
  <c r="G228" i="3"/>
  <c r="G229" i="3"/>
  <c r="BL238" i="3"/>
  <c r="BL239" i="3"/>
  <c r="AZ239" i="3" s="1"/>
  <c r="BL242" i="3"/>
  <c r="BL245" i="3"/>
  <c r="BA248" i="3"/>
  <c r="AZ248" i="3" s="1"/>
  <c r="BA251" i="3"/>
  <c r="G262" i="3"/>
  <c r="G267" i="3"/>
  <c r="G277" i="3"/>
  <c r="G280" i="3"/>
  <c r="G284" i="3"/>
  <c r="G285" i="3"/>
  <c r="G288" i="3"/>
  <c r="G292" i="3"/>
  <c r="G293" i="3"/>
  <c r="G295" i="3"/>
  <c r="G296" i="3"/>
  <c r="G114" i="3"/>
  <c r="BA123" i="3"/>
  <c r="AZ123" i="3" s="1"/>
  <c r="G141" i="3"/>
  <c r="G146" i="3"/>
  <c r="G204" i="3"/>
  <c r="G21" i="3"/>
  <c r="G24" i="3"/>
  <c r="BL33" i="3"/>
  <c r="BL38" i="3"/>
  <c r="BA39" i="3"/>
  <c r="AZ39" i="3" s="1"/>
  <c r="BA57" i="3"/>
  <c r="BA59" i="3"/>
  <c r="BA62" i="3"/>
  <c r="BL74" i="3"/>
  <c r="BL76" i="3"/>
  <c r="AZ76" i="3" s="1"/>
  <c r="BL77" i="3"/>
  <c r="BA80" i="3"/>
  <c r="G103" i="3"/>
  <c r="G107" i="3"/>
  <c r="G109" i="3"/>
  <c r="S18" i="36"/>
  <c r="C72" i="59"/>
  <c r="D72" i="59" s="1"/>
  <c r="Q58" i="59"/>
  <c r="C49" i="59"/>
  <c r="AA9" i="59"/>
  <c r="B29" i="59"/>
  <c r="B30" i="59" s="1"/>
  <c r="S30" i="59" s="1"/>
  <c r="AA29" i="59"/>
  <c r="B41" i="59"/>
  <c r="B42" i="59" s="1"/>
  <c r="S42" i="59" s="1"/>
  <c r="K76" i="9"/>
  <c r="K77" i="9" s="1"/>
  <c r="K79" i="9" s="1"/>
  <c r="K81" i="9" s="1"/>
  <c r="BL150" i="3"/>
  <c r="AZ150" i="3" s="1"/>
  <c r="G168" i="3"/>
  <c r="G173" i="3"/>
  <c r="BA185" i="3"/>
  <c r="AZ185" i="3" s="1"/>
  <c r="BL187" i="3"/>
  <c r="BL29" i="3"/>
  <c r="BL31" i="3"/>
  <c r="BL34" i="3"/>
  <c r="BA35" i="3"/>
  <c r="AZ35" i="3" s="1"/>
  <c r="BL36" i="3"/>
  <c r="BA38" i="3"/>
  <c r="AZ38" i="3" s="1"/>
  <c r="BA61" i="3"/>
  <c r="AZ61" i="3" s="1"/>
  <c r="BA65" i="3"/>
  <c r="BA69" i="3"/>
  <c r="BA71" i="3"/>
  <c r="BA79" i="3"/>
  <c r="G101" i="3"/>
  <c r="D56" i="59"/>
  <c r="U58" i="59"/>
  <c r="C45" i="59"/>
  <c r="F21" i="59"/>
  <c r="F22" i="59" s="1"/>
  <c r="V22" i="59" s="1"/>
  <c r="AA22" i="59"/>
  <c r="B53" i="59"/>
  <c r="B54" i="59" s="1"/>
  <c r="S54" i="59" s="1"/>
  <c r="G129" i="3"/>
  <c r="G131" i="3"/>
  <c r="BA152" i="3"/>
  <c r="BL176" i="3"/>
  <c r="BL177" i="3"/>
  <c r="AZ177" i="3" s="1"/>
  <c r="BL180" i="3"/>
  <c r="BA181" i="3"/>
  <c r="AZ181" i="3" s="1"/>
  <c r="BA182" i="3"/>
  <c r="BA187" i="3"/>
  <c r="BL27" i="3"/>
  <c r="AZ27" i="3" s="1"/>
  <c r="BA31" i="3"/>
  <c r="AZ31" i="3" s="1"/>
  <c r="BA34" i="3"/>
  <c r="BA64" i="3"/>
  <c r="AZ64" i="3" s="1"/>
  <c r="BA68" i="3"/>
  <c r="BA75" i="3"/>
  <c r="AZ75" i="3" s="1"/>
  <c r="BA77" i="3"/>
  <c r="BA78" i="3"/>
  <c r="AZ78" i="3" s="1"/>
  <c r="AB24" i="59"/>
  <c r="B20" i="31"/>
  <c r="F9" i="59"/>
  <c r="F8" i="59" s="1"/>
  <c r="F7" i="59" s="1"/>
  <c r="F6" i="59" s="1"/>
  <c r="V10" i="59"/>
  <c r="AZ537" i="3"/>
  <c r="AZ499" i="3"/>
  <c r="S12" i="35"/>
  <c r="AA12" i="35"/>
  <c r="AZ497" i="3"/>
  <c r="AZ489" i="3"/>
  <c r="AC23" i="21"/>
  <c r="W36" i="35"/>
  <c r="AC36" i="35"/>
  <c r="H12" i="36"/>
  <c r="J12" i="36"/>
  <c r="H13" i="37"/>
  <c r="J13" i="37"/>
  <c r="BA487" i="3"/>
  <c r="AZ487" i="3" s="1"/>
  <c r="S17" i="40"/>
  <c r="W29" i="21"/>
  <c r="W38" i="37"/>
  <c r="U33" i="37"/>
  <c r="U15" i="40"/>
  <c r="W44" i="21"/>
  <c r="AA11" i="37"/>
  <c r="U13" i="39"/>
  <c r="AB16" i="39"/>
  <c r="W40" i="40"/>
  <c r="AB34" i="36"/>
  <c r="AZ299" i="3"/>
  <c r="U12" i="37"/>
  <c r="AA10" i="35"/>
  <c r="S10" i="35"/>
  <c r="AA46" i="21"/>
  <c r="S46" i="21"/>
  <c r="W14" i="21"/>
  <c r="AC14" i="21"/>
  <c r="S10" i="21"/>
  <c r="J34" i="36"/>
  <c r="BF5" i="3"/>
  <c r="F13" i="35"/>
  <c r="H13" i="35"/>
  <c r="J35" i="35"/>
  <c r="H35" i="35"/>
  <c r="AB29" i="36"/>
  <c r="U29" i="36"/>
  <c r="BL563" i="3"/>
  <c r="AZ563" i="3" s="1"/>
  <c r="BL553" i="3"/>
  <c r="AZ553" i="3" s="1"/>
  <c r="BL552" i="3"/>
  <c r="AZ552" i="3" s="1"/>
  <c r="BL550" i="3"/>
  <c r="BA550" i="3"/>
  <c r="BL519" i="3"/>
  <c r="AZ519" i="3" s="1"/>
  <c r="BL510" i="3"/>
  <c r="AZ510" i="3" s="1"/>
  <c r="BA509" i="3"/>
  <c r="AZ509" i="3" s="1"/>
  <c r="BA508" i="3"/>
  <c r="AZ508" i="3" s="1"/>
  <c r="BL503" i="3"/>
  <c r="AZ503" i="3" s="1"/>
  <c r="BA501" i="3"/>
  <c r="AZ501" i="3" s="1"/>
  <c r="BL500" i="3"/>
  <c r="AZ500" i="3" s="1"/>
  <c r="G496" i="3"/>
  <c r="BL493" i="3"/>
  <c r="AZ493" i="3" s="1"/>
  <c r="BL483" i="3"/>
  <c r="AZ483" i="3" s="1"/>
  <c r="AB18" i="36"/>
  <c r="AZ544" i="3"/>
  <c r="W31" i="36"/>
  <c r="AC31" i="36"/>
  <c r="BA546" i="3"/>
  <c r="AZ546" i="3" s="1"/>
  <c r="BA545" i="3"/>
  <c r="AZ545" i="3" s="1"/>
  <c r="BA543" i="3"/>
  <c r="S32" i="40"/>
  <c r="M83" i="9"/>
  <c r="N83" i="9" s="1"/>
  <c r="N89" i="9" s="1"/>
  <c r="O89" i="9" s="1"/>
  <c r="M87" i="9"/>
  <c r="N87" i="9" s="1"/>
  <c r="O39" i="9"/>
  <c r="R6" i="54" s="1"/>
  <c r="B50" i="63" s="1"/>
  <c r="AC18" i="36"/>
  <c r="A3" i="55"/>
  <c r="B56" i="63" s="1"/>
  <c r="AC31" i="39"/>
  <c r="U19" i="40"/>
  <c r="U39" i="40"/>
  <c r="S26" i="35"/>
  <c r="AB14" i="36"/>
  <c r="W34" i="39"/>
  <c r="W37" i="40"/>
  <c r="S35" i="40"/>
  <c r="W39" i="21"/>
  <c r="AB9" i="37"/>
  <c r="S28" i="35"/>
  <c r="AA20" i="35"/>
  <c r="AA26" i="36"/>
  <c r="AB23" i="40"/>
  <c r="W32" i="40"/>
  <c r="S23" i="39"/>
  <c r="AB25" i="39"/>
  <c r="BA496" i="3"/>
  <c r="AZ496" i="3" s="1"/>
  <c r="S14" i="21"/>
  <c r="U25" i="35"/>
  <c r="AB15" i="37"/>
  <c r="AZ305" i="3"/>
  <c r="W13" i="36"/>
  <c r="AC13" i="36"/>
  <c r="AB28" i="21"/>
  <c r="U28" i="21"/>
  <c r="AA39" i="37"/>
  <c r="F12" i="36"/>
  <c r="BT5" i="3"/>
  <c r="BL13" i="3"/>
  <c r="I4" i="6"/>
  <c r="F20" i="6"/>
  <c r="H9" i="36"/>
  <c r="J9" i="36"/>
  <c r="BA565" i="3"/>
  <c r="AZ565" i="3" s="1"/>
  <c r="BL564" i="3"/>
  <c r="AZ564" i="3" s="1"/>
  <c r="BA558" i="3"/>
  <c r="AZ558" i="3" s="1"/>
  <c r="BL557" i="3"/>
  <c r="AZ557" i="3" s="1"/>
  <c r="BL556" i="3"/>
  <c r="G555" i="3"/>
  <c r="BA528" i="3"/>
  <c r="AZ528" i="3" s="1"/>
  <c r="BL524" i="3"/>
  <c r="BL511" i="3"/>
  <c r="AZ511" i="3" s="1"/>
  <c r="H12" i="35"/>
  <c r="J12" i="35"/>
  <c r="J34" i="35"/>
  <c r="H34" i="35"/>
  <c r="R7" i="54"/>
  <c r="B52" i="63" s="1"/>
  <c r="AC37" i="39"/>
  <c r="S34" i="39"/>
  <c r="AB45" i="21"/>
  <c r="AA13" i="37"/>
  <c r="U32" i="35"/>
  <c r="BN5" i="3"/>
  <c r="G29" i="6" s="1"/>
  <c r="U23" i="39"/>
  <c r="S14" i="39"/>
  <c r="AC44" i="39"/>
  <c r="U33" i="40"/>
  <c r="W10" i="21"/>
  <c r="AC11" i="37"/>
  <c r="U33" i="35"/>
  <c r="U22" i="35"/>
  <c r="AC13" i="40"/>
  <c r="S41" i="40"/>
  <c r="AC16" i="40"/>
  <c r="AA29" i="35"/>
  <c r="AC30" i="37"/>
  <c r="AA36" i="35"/>
  <c r="AZ363" i="3"/>
  <c r="AZ345" i="3"/>
  <c r="U31" i="37"/>
  <c r="AZ556" i="3"/>
  <c r="U40" i="37"/>
  <c r="AB40" i="37"/>
  <c r="F34" i="36"/>
  <c r="AB39" i="37"/>
  <c r="U39" i="37"/>
  <c r="W40" i="21"/>
  <c r="S38" i="21"/>
  <c r="AA38" i="21"/>
  <c r="BL572" i="3"/>
  <c r="AZ572" i="3" s="1"/>
  <c r="H30" i="21"/>
  <c r="J30" i="21"/>
  <c r="AC23" i="35"/>
  <c r="W23" i="35"/>
  <c r="F34" i="35"/>
  <c r="U8" i="36"/>
  <c r="AB8" i="36"/>
  <c r="H27" i="37"/>
  <c r="F27" i="37"/>
  <c r="J27" i="37"/>
  <c r="BA542" i="3"/>
  <c r="AZ542" i="3" s="1"/>
  <c r="BL541" i="3"/>
  <c r="AZ541" i="3" s="1"/>
  <c r="BL540" i="3"/>
  <c r="BA14" i="3"/>
  <c r="AZ14" i="3" s="1"/>
  <c r="AA40" i="39"/>
  <c r="S40" i="39"/>
  <c r="C18" i="9"/>
  <c r="BL405" i="3"/>
  <c r="H13" i="21"/>
  <c r="AA19" i="21"/>
  <c r="E5" i="6"/>
  <c r="D21" i="12" s="1"/>
  <c r="C21" i="12" s="1"/>
  <c r="BS5" i="3"/>
  <c r="F28" i="6" s="1"/>
  <c r="BM5" i="3"/>
  <c r="F29" i="6" s="1"/>
  <c r="F12" i="21"/>
  <c r="J12" i="21"/>
  <c r="B73" i="46"/>
  <c r="J24" i="36"/>
  <c r="BL569" i="3"/>
  <c r="AZ569" i="3" s="1"/>
  <c r="G569" i="3"/>
  <c r="BL560" i="3"/>
  <c r="G557" i="3"/>
  <c r="BL533" i="3"/>
  <c r="AZ533" i="3" s="1"/>
  <c r="BA531" i="3"/>
  <c r="AZ531" i="3" s="1"/>
  <c r="G528" i="3"/>
  <c r="G525" i="3"/>
  <c r="G511" i="3"/>
  <c r="G500" i="3"/>
  <c r="BA498" i="3"/>
  <c r="AZ498" i="3" s="1"/>
  <c r="G490" i="3"/>
  <c r="G487" i="3"/>
  <c r="BA19" i="3"/>
  <c r="AB10" i="39"/>
  <c r="U10" i="39"/>
  <c r="BG5" i="3"/>
  <c r="H38" i="37"/>
  <c r="F38" i="37"/>
  <c r="H25" i="37"/>
  <c r="J25" i="37"/>
  <c r="BA560" i="3"/>
  <c r="BA555" i="3"/>
  <c r="AZ555" i="3" s="1"/>
  <c r="BL543" i="3"/>
  <c r="BA540" i="3"/>
  <c r="BA524" i="3"/>
  <c r="BL520" i="3"/>
  <c r="AZ520" i="3" s="1"/>
  <c r="BA512" i="3"/>
  <c r="AZ512" i="3" s="1"/>
  <c r="BA484" i="3"/>
  <c r="AZ484" i="3" s="1"/>
  <c r="K145" i="21"/>
  <c r="K143" i="21"/>
  <c r="AZ396" i="3"/>
  <c r="AZ405" i="3"/>
  <c r="H5" i="3"/>
  <c r="F34" i="69"/>
  <c r="F61" i="69" s="1"/>
  <c r="M20" i="69"/>
  <c r="C92" i="9"/>
  <c r="AZ406" i="3"/>
  <c r="AZ412" i="3"/>
  <c r="AZ419" i="3"/>
  <c r="AZ437" i="3"/>
  <c r="AZ464" i="3"/>
  <c r="AZ480" i="3"/>
  <c r="AZ210" i="3"/>
  <c r="AZ214" i="3"/>
  <c r="AZ226" i="3"/>
  <c r="AZ242" i="3"/>
  <c r="BL389" i="3"/>
  <c r="AZ389" i="3" s="1"/>
  <c r="BL394" i="3"/>
  <c r="G404" i="3"/>
  <c r="BL409" i="3"/>
  <c r="AZ409" i="3" s="1"/>
  <c r="G414" i="3"/>
  <c r="BL416" i="3"/>
  <c r="AZ416" i="3" s="1"/>
  <c r="BL422" i="3"/>
  <c r="AZ422" i="3" s="1"/>
  <c r="BA428" i="3"/>
  <c r="AZ428" i="3" s="1"/>
  <c r="AZ429" i="3"/>
  <c r="BA433" i="3"/>
  <c r="AZ433" i="3" s="1"/>
  <c r="AZ447" i="3"/>
  <c r="BL453" i="3"/>
  <c r="AZ453" i="3" s="1"/>
  <c r="BL455" i="3"/>
  <c r="AZ455" i="3" s="1"/>
  <c r="AZ462" i="3"/>
  <c r="AZ465" i="3"/>
  <c r="BL468" i="3"/>
  <c r="AZ468" i="3" s="1"/>
  <c r="AZ478" i="3"/>
  <c r="BL302" i="3"/>
  <c r="AZ302" i="3" s="1"/>
  <c r="AZ318" i="3"/>
  <c r="BL326" i="3"/>
  <c r="AZ326" i="3" s="1"/>
  <c r="BA337" i="3"/>
  <c r="AZ337" i="3" s="1"/>
  <c r="AZ368" i="3"/>
  <c r="BA369" i="3"/>
  <c r="AZ369" i="3" s="1"/>
  <c r="AZ208" i="3"/>
  <c r="AZ211" i="3"/>
  <c r="BL214" i="3"/>
  <c r="AZ224" i="3"/>
  <c r="AZ227" i="3"/>
  <c r="BL230" i="3"/>
  <c r="AZ230" i="3" s="1"/>
  <c r="AZ240" i="3"/>
  <c r="AZ243" i="3"/>
  <c r="BL246" i="3"/>
  <c r="AZ246" i="3" s="1"/>
  <c r="BL275" i="3"/>
  <c r="BC5" i="3"/>
  <c r="E19" i="6"/>
  <c r="G393" i="3"/>
  <c r="BA398" i="3"/>
  <c r="BA403" i="3"/>
  <c r="AZ403" i="3" s="1"/>
  <c r="BA413" i="3"/>
  <c r="AZ413" i="3" s="1"/>
  <c r="BA414" i="3"/>
  <c r="AZ414" i="3" s="1"/>
  <c r="BA415" i="3"/>
  <c r="AZ415" i="3" s="1"/>
  <c r="BA420" i="3"/>
  <c r="AZ420" i="3" s="1"/>
  <c r="BL435" i="3"/>
  <c r="AZ435" i="3" s="1"/>
  <c r="BA443" i="3"/>
  <c r="AZ443" i="3" s="1"/>
  <c r="AZ445" i="3"/>
  <c r="BL448" i="3"/>
  <c r="AZ448" i="3" s="1"/>
  <c r="BL450" i="3"/>
  <c r="AZ450" i="3" s="1"/>
  <c r="BA458" i="3"/>
  <c r="AZ458" i="3" s="1"/>
  <c r="AZ460" i="3"/>
  <c r="BA471" i="3"/>
  <c r="AZ471" i="3" s="1"/>
  <c r="BA474" i="3"/>
  <c r="AZ474" i="3" s="1"/>
  <c r="AZ476" i="3"/>
  <c r="BL342" i="3"/>
  <c r="AZ342" i="3" s="1"/>
  <c r="BA353" i="3"/>
  <c r="AZ353" i="3" s="1"/>
  <c r="BA385" i="3"/>
  <c r="AZ385" i="3" s="1"/>
  <c r="BA388" i="3"/>
  <c r="AZ388" i="3" s="1"/>
  <c r="BA217" i="3"/>
  <c r="AZ217" i="3" s="1"/>
  <c r="BA220" i="3"/>
  <c r="AZ220" i="3" s="1"/>
  <c r="AZ222" i="3"/>
  <c r="BA233" i="3"/>
  <c r="AZ233" i="3" s="1"/>
  <c r="BA236" i="3"/>
  <c r="AZ236" i="3" s="1"/>
  <c r="AZ238" i="3"/>
  <c r="BA249" i="3"/>
  <c r="AZ249" i="3" s="1"/>
  <c r="BA252" i="3"/>
  <c r="AZ252" i="3" s="1"/>
  <c r="AZ254" i="3"/>
  <c r="BL262" i="3"/>
  <c r="AZ262" i="3" s="1"/>
  <c r="BA270" i="3"/>
  <c r="AZ270" i="3" s="1"/>
  <c r="AZ182" i="3"/>
  <c r="BA261" i="3"/>
  <c r="AZ261" i="3" s="1"/>
  <c r="G265" i="3"/>
  <c r="G268" i="3"/>
  <c r="BL272" i="3"/>
  <c r="AZ272" i="3" s="1"/>
  <c r="AZ283" i="3"/>
  <c r="BA287" i="3"/>
  <c r="AZ287" i="3" s="1"/>
  <c r="AZ288" i="3"/>
  <c r="BA292" i="3"/>
  <c r="AZ292" i="3" s="1"/>
  <c r="AZ293" i="3"/>
  <c r="BA295" i="3"/>
  <c r="AZ295" i="3" s="1"/>
  <c r="AZ296" i="3"/>
  <c r="BL117" i="3"/>
  <c r="AZ117" i="3" s="1"/>
  <c r="BA119" i="3"/>
  <c r="AZ119" i="3" s="1"/>
  <c r="BL128" i="3"/>
  <c r="AZ128" i="3" s="1"/>
  <c r="BL130" i="3"/>
  <c r="AZ130" i="3" s="1"/>
  <c r="BA140" i="3"/>
  <c r="AZ140" i="3" s="1"/>
  <c r="AZ141" i="3"/>
  <c r="AZ144" i="3"/>
  <c r="BL149" i="3"/>
  <c r="AZ149" i="3" s="1"/>
  <c r="BA151" i="3"/>
  <c r="AZ151" i="3" s="1"/>
  <c r="BL164" i="3"/>
  <c r="AZ164" i="3" s="1"/>
  <c r="BA166" i="3"/>
  <c r="AZ166" i="3" s="1"/>
  <c r="AZ172" i="3"/>
  <c r="BL182" i="3"/>
  <c r="BA189" i="3"/>
  <c r="AZ189" i="3" s="1"/>
  <c r="BA202" i="3"/>
  <c r="AZ202" i="3" s="1"/>
  <c r="AZ25" i="3"/>
  <c r="AZ37" i="3"/>
  <c r="AZ58" i="3"/>
  <c r="AB23" i="59"/>
  <c r="F24" i="59"/>
  <c r="F25" i="59" s="1"/>
  <c r="F26" i="59" s="1"/>
  <c r="V26" i="59" s="1"/>
  <c r="BA264" i="3"/>
  <c r="AZ264" i="3" s="1"/>
  <c r="BA267" i="3"/>
  <c r="AZ267" i="3" s="1"/>
  <c r="BL278" i="3"/>
  <c r="AZ278" i="3" s="1"/>
  <c r="BL120" i="3"/>
  <c r="AZ120" i="3" s="1"/>
  <c r="BL137" i="3"/>
  <c r="BA139" i="3"/>
  <c r="AZ139" i="3" s="1"/>
  <c r="BA156" i="3"/>
  <c r="AZ156" i="3" s="1"/>
  <c r="BA159" i="3"/>
  <c r="AZ159" i="3" s="1"/>
  <c r="BL190" i="3"/>
  <c r="AZ190" i="3" s="1"/>
  <c r="BA197" i="3"/>
  <c r="AZ197" i="3" s="1"/>
  <c r="BL204" i="3"/>
  <c r="BL26" i="3"/>
  <c r="AZ26" i="3" s="1"/>
  <c r="BA32" i="3"/>
  <c r="AZ32" i="3" s="1"/>
  <c r="AZ62" i="3"/>
  <c r="C110" i="9"/>
  <c r="A30" i="51"/>
  <c r="B22" i="63" s="1"/>
  <c r="A30" i="64"/>
  <c r="BA256" i="3"/>
  <c r="BA259" i="3"/>
  <c r="AZ259" i="3" s="1"/>
  <c r="BL263" i="3"/>
  <c r="AZ263" i="3" s="1"/>
  <c r="BL266" i="3"/>
  <c r="AZ266" i="3" s="1"/>
  <c r="BL269" i="3"/>
  <c r="AZ269" i="3" s="1"/>
  <c r="BA275" i="3"/>
  <c r="AZ277" i="3"/>
  <c r="AZ125" i="3"/>
  <c r="AZ136" i="3"/>
  <c r="AZ175" i="3"/>
  <c r="AZ194" i="3"/>
  <c r="BA30" i="3"/>
  <c r="AZ30" i="3" s="1"/>
  <c r="AZ34" i="3"/>
  <c r="BA43" i="3"/>
  <c r="AZ43" i="3" s="1"/>
  <c r="AZ46" i="3"/>
  <c r="AZ53" i="3"/>
  <c r="AZ65" i="3"/>
  <c r="BL50" i="3"/>
  <c r="AZ50" i="3" s="1"/>
  <c r="G55" i="3"/>
  <c r="BL59" i="3"/>
  <c r="BA72" i="3"/>
  <c r="AZ72" i="3" s="1"/>
  <c r="BA74" i="3"/>
  <c r="BA81" i="3"/>
  <c r="AZ81" i="3" s="1"/>
  <c r="G84" i="3"/>
  <c r="BL85" i="3"/>
  <c r="AZ85" i="3" s="1"/>
  <c r="BL88" i="3"/>
  <c r="BL89" i="3"/>
  <c r="AZ89" i="3" s="1"/>
  <c r="BL91" i="3"/>
  <c r="AZ91" i="3" s="1"/>
  <c r="G95" i="3"/>
  <c r="BL99" i="3"/>
  <c r="AZ99" i="3" s="1"/>
  <c r="BL100" i="3"/>
  <c r="AZ100" i="3" s="1"/>
  <c r="BA103" i="3"/>
  <c r="AZ103" i="3" s="1"/>
  <c r="AZ105" i="3"/>
  <c r="BL106" i="3"/>
  <c r="AZ106" i="3" s="1"/>
  <c r="BA109" i="3"/>
  <c r="AZ109" i="3" s="1"/>
  <c r="AZ111" i="3"/>
  <c r="BA112" i="3"/>
  <c r="AZ112" i="3" s="1"/>
  <c r="I21" i="57"/>
  <c r="C25" i="59"/>
  <c r="D24" i="59"/>
  <c r="BL41" i="3"/>
  <c r="BL44" i="3"/>
  <c r="AZ44" i="3" s="1"/>
  <c r="BA54" i="3"/>
  <c r="AZ77" i="3"/>
  <c r="AZ108" i="3"/>
  <c r="B65" i="46"/>
  <c r="C31" i="39"/>
  <c r="B54" i="46"/>
  <c r="P55" i="59"/>
  <c r="P56" i="59"/>
  <c r="C46" i="59"/>
  <c r="D45" i="59"/>
  <c r="BA36" i="3"/>
  <c r="BL47" i="3"/>
  <c r="AZ47" i="3" s="1"/>
  <c r="BL53" i="3"/>
  <c r="G57" i="3"/>
  <c r="BA60" i="3"/>
  <c r="AZ60" i="3" s="1"/>
  <c r="BA63" i="3"/>
  <c r="AZ63" i="3" s="1"/>
  <c r="BA66" i="3"/>
  <c r="AZ66" i="3" s="1"/>
  <c r="BL68" i="3"/>
  <c r="AZ68" i="3" s="1"/>
  <c r="BL69" i="3"/>
  <c r="AZ69" i="3" s="1"/>
  <c r="BL71" i="3"/>
  <c r="AZ71" i="3" s="1"/>
  <c r="G75" i="3"/>
  <c r="BL79" i="3"/>
  <c r="AZ79" i="3" s="1"/>
  <c r="BL80" i="3"/>
  <c r="AZ80" i="3" s="1"/>
  <c r="BA83" i="3"/>
  <c r="AZ83" i="3" s="1"/>
  <c r="BA86" i="3"/>
  <c r="AZ86" i="3" s="1"/>
  <c r="BA92" i="3"/>
  <c r="AZ92" i="3" s="1"/>
  <c r="BA94" i="3"/>
  <c r="AZ94" i="3" s="1"/>
  <c r="AZ96" i="3"/>
  <c r="BA101" i="3"/>
  <c r="AZ101" i="3" s="1"/>
  <c r="G104" i="3"/>
  <c r="G110" i="3"/>
  <c r="BL111" i="3"/>
  <c r="Y27" i="59"/>
  <c r="Z27" i="59" s="1"/>
  <c r="C28" i="59"/>
  <c r="Y23" i="59"/>
  <c r="Z23" i="59" s="1"/>
  <c r="G11" i="1"/>
  <c r="I20" i="57"/>
  <c r="D77" i="59"/>
  <c r="C76" i="59"/>
  <c r="D76" i="59" s="1"/>
  <c r="X16" i="59"/>
  <c r="AB17" i="59"/>
  <c r="AB3" i="59"/>
  <c r="Y16" i="59"/>
  <c r="Z16" i="59" s="1"/>
  <c r="Y3" i="59"/>
  <c r="Z3" i="59" s="1"/>
  <c r="Y15" i="59"/>
  <c r="Z15" i="59" s="1"/>
  <c r="X14" i="59"/>
  <c r="B14" i="59"/>
  <c r="X12" i="59"/>
  <c r="Y13" i="59"/>
  <c r="Z13" i="59" s="1"/>
  <c r="X11" i="59"/>
  <c r="AA11" i="59"/>
  <c r="X10" i="59"/>
  <c r="X6" i="59"/>
  <c r="X3" i="59"/>
  <c r="AA5" i="59"/>
  <c r="X20" i="59"/>
  <c r="K12" i="1"/>
  <c r="M12" i="1" s="1"/>
  <c r="O12" i="1" s="1"/>
  <c r="P12" i="1" s="1"/>
  <c r="AA21" i="21"/>
  <c r="T42" i="59"/>
  <c r="D42" i="59"/>
  <c r="B49" i="59"/>
  <c r="B50" i="59" s="1"/>
  <c r="S50" i="59" s="1"/>
  <c r="Y18" i="59"/>
  <c r="Z18" i="59" s="1"/>
  <c r="AB12" i="59"/>
  <c r="X9" i="59"/>
  <c r="AB16" i="59"/>
  <c r="X19" i="59"/>
  <c r="B20" i="59"/>
  <c r="B21" i="59" s="1"/>
  <c r="B22" i="59" s="1"/>
  <c r="S22" i="59" s="1"/>
  <c r="AB20" i="59"/>
  <c r="AA10" i="46"/>
  <c r="AA12" i="46"/>
  <c r="C16" i="59"/>
  <c r="D16" i="59" s="1"/>
  <c r="X8" i="59"/>
  <c r="X7" i="59"/>
  <c r="AA13" i="59"/>
  <c r="O55" i="59"/>
  <c r="C61" i="59"/>
  <c r="Q57" i="59"/>
  <c r="C20" i="59"/>
  <c r="AB19" i="59"/>
  <c r="AB21" i="59"/>
  <c r="AB22" i="59"/>
  <c r="E24" i="59"/>
  <c r="E25" i="59" s="1"/>
  <c r="E26" i="59" s="1"/>
  <c r="U26" i="59" s="1"/>
  <c r="X25" i="59"/>
  <c r="X26" i="59"/>
  <c r="AA27" i="59"/>
  <c r="AA18" i="59"/>
  <c r="D18" i="59"/>
  <c r="T18" i="59"/>
  <c r="AA15" i="59"/>
  <c r="Y14" i="59"/>
  <c r="Z14" i="59" s="1"/>
  <c r="Y12" i="59"/>
  <c r="Z12" i="59" s="1"/>
  <c r="Y10" i="59"/>
  <c r="Z10" i="59" s="1"/>
  <c r="AA8" i="59"/>
  <c r="X21" i="59"/>
  <c r="X22" i="59"/>
  <c r="Y24" i="59"/>
  <c r="Z24" i="59" s="1"/>
  <c r="Y25" i="59"/>
  <c r="Z25" i="59" s="1"/>
  <c r="Y26" i="59"/>
  <c r="Z26" i="59" s="1"/>
  <c r="X27" i="59"/>
  <c r="AB18" i="59"/>
  <c r="F18" i="59"/>
  <c r="AA16" i="59"/>
  <c r="Y17" i="59"/>
  <c r="Z17" i="59" s="1"/>
  <c r="AB15" i="59"/>
  <c r="AA14" i="59"/>
  <c r="AB13" i="59"/>
  <c r="AB11" i="59"/>
  <c r="AA10" i="59"/>
  <c r="Y9" i="59"/>
  <c r="Z9" i="59" s="1"/>
  <c r="AB9" i="59"/>
  <c r="AA7" i="59"/>
  <c r="L16" i="4"/>
  <c r="AA19" i="59"/>
  <c r="Y20" i="59"/>
  <c r="Z20" i="59" s="1"/>
  <c r="Y21" i="59"/>
  <c r="Z21" i="59" s="1"/>
  <c r="Y22" i="59"/>
  <c r="Z22" i="59" s="1"/>
  <c r="X23" i="59"/>
  <c r="AA24" i="59"/>
  <c r="AA26" i="59"/>
  <c r="X18" i="59"/>
  <c r="B18" i="59"/>
  <c r="X17" i="59"/>
  <c r="X15" i="59"/>
  <c r="AB14" i="59"/>
  <c r="X13" i="59"/>
  <c r="AA12" i="59"/>
  <c r="AB10" i="59"/>
  <c r="Y8" i="59"/>
  <c r="Z8" i="59" s="1"/>
  <c r="AB7" i="59"/>
  <c r="AB6" i="59"/>
  <c r="Y6" i="59"/>
  <c r="Z6" i="59" s="1"/>
  <c r="AB8" i="59"/>
  <c r="Y7" i="59"/>
  <c r="Z7" i="59" s="1"/>
  <c r="AA17" i="59"/>
  <c r="Y11" i="59"/>
  <c r="Z11" i="59" s="1"/>
  <c r="L76" i="9"/>
  <c r="X5" i="59"/>
  <c r="E18" i="59"/>
  <c r="AB5" i="59"/>
  <c r="Y5" i="59"/>
  <c r="Z5" i="59" s="1"/>
  <c r="I53" i="71"/>
  <c r="J53" i="71" s="1"/>
  <c r="G53" i="70"/>
  <c r="H53" i="70" s="1"/>
  <c r="G52" i="70"/>
  <c r="H52" i="70" s="1"/>
  <c r="E48" i="70"/>
  <c r="R49" i="70"/>
  <c r="E49" i="71"/>
  <c r="R50" i="71"/>
  <c r="I53" i="70"/>
  <c r="J53" i="70" s="1"/>
  <c r="I52" i="70"/>
  <c r="J52" i="70" s="1"/>
  <c r="G54" i="71"/>
  <c r="H54" i="71" s="1"/>
  <c r="G53" i="71"/>
  <c r="H53" i="71" s="1"/>
  <c r="D96" i="9"/>
  <c r="B41" i="1"/>
  <c r="G28" i="12"/>
  <c r="G1" i="69"/>
  <c r="L27" i="6"/>
  <c r="AB11" i="46"/>
  <c r="AB13" i="46" s="1"/>
  <c r="L101" i="46"/>
  <c r="L107" i="46" s="1"/>
  <c r="F101" i="46"/>
  <c r="F107" i="46" s="1"/>
  <c r="G13" i="3"/>
  <c r="E8" i="6"/>
  <c r="E53" i="40" s="1"/>
  <c r="S7" i="46"/>
  <c r="AE11" i="46"/>
  <c r="AE13" i="46" s="1"/>
  <c r="S5" i="46"/>
  <c r="K107" i="46"/>
  <c r="K104" i="46"/>
  <c r="K103" i="46"/>
  <c r="K105" i="46"/>
  <c r="K102" i="46"/>
  <c r="C23" i="46"/>
  <c r="C21" i="46" s="1"/>
  <c r="H101" i="46"/>
  <c r="H102" i="46" s="1"/>
  <c r="D101" i="46"/>
  <c r="D105" i="46" s="1"/>
  <c r="I101" i="46"/>
  <c r="AC11" i="46"/>
  <c r="AC13" i="46" s="1"/>
  <c r="J101" i="46"/>
  <c r="F22" i="46"/>
  <c r="E22" i="46"/>
  <c r="S2" i="46"/>
  <c r="S4" i="46"/>
  <c r="H22" i="46"/>
  <c r="G22" i="46"/>
  <c r="AD11" i="46"/>
  <c r="AD13" i="46" s="1"/>
  <c r="C101" i="46"/>
  <c r="B113" i="46"/>
  <c r="E101" i="46"/>
  <c r="AG11" i="46"/>
  <c r="AG13" i="46" s="1"/>
  <c r="AH11" i="46"/>
  <c r="AH13" i="46" s="1"/>
  <c r="AF11" i="46"/>
  <c r="AF13" i="46" s="1"/>
  <c r="S3" i="46"/>
  <c r="Y11" i="46"/>
  <c r="Y13" i="46" s="1"/>
  <c r="J22" i="46"/>
  <c r="M101" i="46"/>
  <c r="M106" i="46" s="1"/>
  <c r="AJ11" i="46"/>
  <c r="AJ13" i="46" s="1"/>
  <c r="N104" i="45"/>
  <c r="Z7" i="46"/>
  <c r="AA11" i="46"/>
  <c r="AA13" i="46" s="1"/>
  <c r="O13" i="1"/>
  <c r="P13" i="1" s="1"/>
  <c r="AI11" i="46"/>
  <c r="AI13" i="46" s="1"/>
  <c r="G101" i="46"/>
  <c r="S6" i="46"/>
  <c r="K109" i="46"/>
  <c r="Z11" i="46"/>
  <c r="Z13" i="46" s="1"/>
  <c r="N101" i="46"/>
  <c r="P10" i="1"/>
  <c r="O11" i="1"/>
  <c r="P11" i="1" s="1"/>
  <c r="E10" i="6"/>
  <c r="P9" i="1"/>
  <c r="P8" i="1"/>
  <c r="BI5" i="3"/>
  <c r="E12" i="6" s="1"/>
  <c r="BA13" i="3"/>
  <c r="D67" i="40"/>
  <c r="C7" i="35"/>
  <c r="C48" i="35" s="1"/>
  <c r="D48" i="35" s="1"/>
  <c r="C7" i="36"/>
  <c r="C46" i="36" s="1"/>
  <c r="D46" i="36" s="1"/>
  <c r="E46" i="36" s="1"/>
  <c r="F46" i="36" s="1"/>
  <c r="A25" i="51"/>
  <c r="B18" i="63" s="1"/>
  <c r="N16" i="4"/>
  <c r="A4" i="51"/>
  <c r="B6" i="63" s="1"/>
  <c r="D52" i="37"/>
  <c r="AP13" i="1"/>
  <c r="G13" i="1"/>
  <c r="E67" i="40"/>
  <c r="F65" i="40"/>
  <c r="AP9" i="1"/>
  <c r="G9" i="1"/>
  <c r="G7" i="1"/>
  <c r="AP7" i="1"/>
  <c r="C42" i="1"/>
  <c r="C7" i="21"/>
  <c r="C58" i="21" s="1"/>
  <c r="N67" i="9"/>
  <c r="G12" i="1"/>
  <c r="AP12" i="1"/>
  <c r="AP6" i="1"/>
  <c r="G6" i="1"/>
  <c r="C9" i="39"/>
  <c r="C70" i="39" s="1"/>
  <c r="D38" i="4"/>
  <c r="C39" i="4" s="1"/>
  <c r="G19" i="46"/>
  <c r="O19" i="46" s="1"/>
  <c r="G17" i="46"/>
  <c r="C16" i="46" s="1"/>
  <c r="D5" i="46" s="1"/>
  <c r="E21" i="52"/>
  <c r="B4" i="52"/>
  <c r="E4" i="52"/>
  <c r="E13" i="52"/>
  <c r="B13" i="52"/>
  <c r="E7" i="52"/>
  <c r="E6" i="52"/>
  <c r="E10" i="52"/>
  <c r="E11" i="52"/>
  <c r="B7" i="52"/>
  <c r="E9" i="52"/>
  <c r="E22" i="52"/>
  <c r="E8" i="52"/>
  <c r="B9" i="52"/>
  <c r="B11" i="52"/>
  <c r="E14" i="52"/>
  <c r="B10" i="52"/>
  <c r="B8" i="52"/>
  <c r="B14" i="52"/>
  <c r="B22" i="52"/>
  <c r="AA6" i="59"/>
  <c r="P22" i="46"/>
  <c r="J1" i="65"/>
  <c r="F65" i="15"/>
  <c r="L59" i="15"/>
  <c r="F50" i="15"/>
  <c r="F64" i="15"/>
  <c r="M7" i="15"/>
  <c r="F49" i="15"/>
  <c r="C4" i="65"/>
  <c r="B39" i="1" s="1"/>
  <c r="J54" i="44"/>
  <c r="I55" i="44"/>
  <c r="J60" i="44"/>
  <c r="J61" i="44"/>
  <c r="Q50" i="44" s="1"/>
  <c r="L57" i="44"/>
  <c r="J58" i="44"/>
  <c r="J56" i="44" s="1"/>
  <c r="J59" i="44" s="1"/>
  <c r="Q52" i="44" s="1"/>
  <c r="I1" i="65"/>
  <c r="C36" i="44"/>
  <c r="M17" i="69"/>
  <c r="F58" i="69"/>
  <c r="F31" i="69"/>
  <c r="F31" i="15"/>
  <c r="M19" i="44"/>
  <c r="F58" i="15"/>
  <c r="F33" i="44"/>
  <c r="M17" i="15"/>
  <c r="M26" i="15"/>
  <c r="M23" i="69"/>
  <c r="M28" i="44"/>
  <c r="J5" i="65"/>
  <c r="M23" i="44"/>
  <c r="F9" i="44"/>
  <c r="F9" i="15"/>
  <c r="F42" i="69"/>
  <c r="J36" i="15"/>
  <c r="F16" i="15"/>
  <c r="M9" i="69"/>
  <c r="F26" i="15"/>
  <c r="L48" i="15"/>
  <c r="I5" i="65"/>
  <c r="M9" i="15"/>
  <c r="M22" i="15"/>
  <c r="F45" i="44"/>
  <c r="J15" i="69"/>
  <c r="L48" i="44"/>
  <c r="F9" i="69"/>
  <c r="M28" i="15"/>
  <c r="F42" i="15"/>
  <c r="J6" i="65"/>
  <c r="J3" i="65"/>
  <c r="F18" i="44"/>
  <c r="I6" i="65"/>
  <c r="M24" i="44"/>
  <c r="J7" i="65"/>
  <c r="F43" i="44"/>
  <c r="J17" i="44"/>
  <c r="I7" i="65"/>
  <c r="L47" i="69"/>
  <c r="I4" i="65"/>
  <c r="M31" i="44"/>
  <c r="F36" i="15"/>
  <c r="M8" i="15"/>
  <c r="M27" i="15"/>
  <c r="F40" i="15"/>
  <c r="F28" i="44"/>
  <c r="F38" i="44"/>
  <c r="E2" i="65"/>
  <c r="M25" i="44"/>
  <c r="M24" i="15"/>
  <c r="M9" i="44" l="1"/>
  <c r="J8" i="44" s="1"/>
  <c r="J20" i="44" s="1"/>
  <c r="C8" i="44"/>
  <c r="J22" i="44"/>
  <c r="L60" i="44"/>
  <c r="Q76" i="44" s="1"/>
  <c r="L59" i="44"/>
  <c r="Q62" i="44" s="1"/>
  <c r="F67" i="15"/>
  <c r="F63" i="15"/>
  <c r="Q73" i="44"/>
  <c r="I54" i="15"/>
  <c r="L58" i="15"/>
  <c r="Q74" i="15" s="1"/>
  <c r="J57" i="15"/>
  <c r="J55" i="15" s="1"/>
  <c r="J58" i="15" s="1"/>
  <c r="Q51" i="15" s="1"/>
  <c r="J53" i="15"/>
  <c r="Q53" i="15" s="1"/>
  <c r="L56" i="15"/>
  <c r="Q72" i="15"/>
  <c r="C29" i="44"/>
  <c r="C27" i="15"/>
  <c r="D1" i="57"/>
  <c r="E10" i="57" s="1"/>
  <c r="AZ398" i="3"/>
  <c r="G28" i="6"/>
  <c r="G30" i="6" s="1"/>
  <c r="G31" i="6" s="1"/>
  <c r="AZ82" i="3"/>
  <c r="E13" i="59"/>
  <c r="E12" i="59" s="1"/>
  <c r="E11" i="59" s="1"/>
  <c r="E10" i="59" s="1"/>
  <c r="U14" i="59"/>
  <c r="AZ180" i="3"/>
  <c r="AZ183" i="3"/>
  <c r="AZ245" i="3"/>
  <c r="AZ232" i="3"/>
  <c r="AZ235" i="3"/>
  <c r="AZ430" i="3"/>
  <c r="AZ470" i="3"/>
  <c r="W32" i="36"/>
  <c r="AC32" i="36"/>
  <c r="S24" i="36"/>
  <c r="AA24" i="36"/>
  <c r="AZ74" i="3"/>
  <c r="AZ256" i="3"/>
  <c r="AZ195" i="3"/>
  <c r="AZ216" i="3"/>
  <c r="AZ121" i="3"/>
  <c r="AZ70" i="3"/>
  <c r="AZ386" i="3"/>
  <c r="AZ425" i="3"/>
  <c r="E58" i="39"/>
  <c r="AZ137" i="3"/>
  <c r="AZ394" i="3"/>
  <c r="AZ524" i="3"/>
  <c r="AZ19" i="3"/>
  <c r="AZ152" i="3"/>
  <c r="AZ221" i="3"/>
  <c r="AZ145" i="3"/>
  <c r="AZ33" i="3"/>
  <c r="AZ160" i="3"/>
  <c r="AZ163" i="3"/>
  <c r="AZ387" i="3"/>
  <c r="AZ424" i="3"/>
  <c r="AZ280" i="3"/>
  <c r="AZ36" i="3"/>
  <c r="AZ54" i="3"/>
  <c r="AZ59" i="3"/>
  <c r="AZ253" i="3"/>
  <c r="AZ171" i="3"/>
  <c r="AZ407" i="3"/>
  <c r="AZ129" i="3"/>
  <c r="AZ199" i="3"/>
  <c r="D13" i="59"/>
  <c r="C12" i="59"/>
  <c r="AZ348" i="3"/>
  <c r="D12" i="11"/>
  <c r="C12" i="11" s="1"/>
  <c r="AZ41" i="3"/>
  <c r="Q56" i="59"/>
  <c r="Q55" i="59"/>
  <c r="AZ401" i="3"/>
  <c r="AZ330" i="3"/>
  <c r="AC9" i="35"/>
  <c r="W9" i="35"/>
  <c r="AA9" i="35"/>
  <c r="S9" i="35"/>
  <c r="AZ187" i="3"/>
  <c r="AZ251" i="3"/>
  <c r="AZ205" i="3"/>
  <c r="AZ203" i="3"/>
  <c r="AZ113" i="3"/>
  <c r="AZ350" i="3"/>
  <c r="AZ391" i="3"/>
  <c r="AZ116" i="3"/>
  <c r="AZ399" i="3"/>
  <c r="AZ168" i="3"/>
  <c r="D49" i="59"/>
  <c r="C50" i="59"/>
  <c r="N55" i="59"/>
  <c r="N56" i="59"/>
  <c r="AZ294" i="3"/>
  <c r="AZ241" i="3"/>
  <c r="C34" i="59"/>
  <c r="D33" i="59"/>
  <c r="AZ439" i="3"/>
  <c r="C54" i="59"/>
  <c r="D53" i="59"/>
  <c r="AZ444" i="3"/>
  <c r="AZ432" i="3"/>
  <c r="W24" i="35"/>
  <c r="AC24" i="35"/>
  <c r="AZ57" i="3"/>
  <c r="S32" i="36"/>
  <c r="AA32" i="36"/>
  <c r="AZ279" i="3"/>
  <c r="U9" i="21"/>
  <c r="AB9" i="21"/>
  <c r="E20" i="46"/>
  <c r="M28" i="46" s="1"/>
  <c r="U25" i="37"/>
  <c r="AB25" i="37"/>
  <c r="W12" i="21"/>
  <c r="AC12" i="21"/>
  <c r="M43" i="9"/>
  <c r="D18" i="9"/>
  <c r="M44" i="9" s="1"/>
  <c r="AA27" i="37"/>
  <c r="S27" i="37"/>
  <c r="AA34" i="35"/>
  <c r="S34" i="35"/>
  <c r="AB30" i="21"/>
  <c r="U30" i="21"/>
  <c r="AB12" i="35"/>
  <c r="U12" i="35"/>
  <c r="AH7" i="1"/>
  <c r="E20" i="6"/>
  <c r="S12" i="36"/>
  <c r="AA12" i="36"/>
  <c r="AB13" i="35"/>
  <c r="U13" i="35"/>
  <c r="U13" i="37"/>
  <c r="AB13" i="37"/>
  <c r="F5" i="59"/>
  <c r="V6" i="59"/>
  <c r="P24" i="46"/>
  <c r="B68" i="40" s="1"/>
  <c r="K17" i="4"/>
  <c r="A22" i="51" s="1"/>
  <c r="B16" i="63" s="1"/>
  <c r="E11" i="6"/>
  <c r="E58" i="40" s="1"/>
  <c r="U18" i="59"/>
  <c r="E17" i="59"/>
  <c r="E16" i="59" s="1"/>
  <c r="C21" i="59"/>
  <c r="D20" i="59"/>
  <c r="AZ275" i="3"/>
  <c r="AA38" i="37"/>
  <c r="S38" i="37"/>
  <c r="S12" i="21"/>
  <c r="AA12" i="21"/>
  <c r="AB27" i="37"/>
  <c r="U27" i="37"/>
  <c r="U34" i="35"/>
  <c r="AB34" i="35"/>
  <c r="AZ543" i="3"/>
  <c r="S13" i="35"/>
  <c r="AA13" i="35"/>
  <c r="AC12" i="36"/>
  <c r="W12" i="36"/>
  <c r="C26" i="59"/>
  <c r="D25" i="59"/>
  <c r="F27" i="6"/>
  <c r="S18" i="59"/>
  <c r="B17" i="59"/>
  <c r="B16" i="59" s="1"/>
  <c r="F17" i="59"/>
  <c r="F16" i="59" s="1"/>
  <c r="V18" i="59"/>
  <c r="S14" i="59"/>
  <c r="B13" i="59"/>
  <c r="B12" i="59" s="1"/>
  <c r="B11" i="59" s="1"/>
  <c r="B10" i="59" s="1"/>
  <c r="T46" i="59"/>
  <c r="D46" i="59"/>
  <c r="K6" i="1"/>
  <c r="C9" i="12"/>
  <c r="AZ560" i="3"/>
  <c r="AB38" i="37"/>
  <c r="U38" i="37"/>
  <c r="AC24" i="36"/>
  <c r="W24" i="36"/>
  <c r="AB13" i="21"/>
  <c r="U13" i="21"/>
  <c r="AC34" i="35"/>
  <c r="W34" i="35"/>
  <c r="AC9" i="36"/>
  <c r="W9" i="36"/>
  <c r="BL5" i="3"/>
  <c r="U35" i="35"/>
  <c r="AB35" i="35"/>
  <c r="U12" i="36"/>
  <c r="AB12" i="36"/>
  <c r="P23" i="46"/>
  <c r="C19" i="46"/>
  <c r="C39" i="46" s="1"/>
  <c r="D61" i="59"/>
  <c r="C60" i="59"/>
  <c r="D60" i="59" s="1"/>
  <c r="C29" i="59"/>
  <c r="D28" i="59"/>
  <c r="AZ540" i="3"/>
  <c r="W25" i="37"/>
  <c r="AC25" i="37"/>
  <c r="AC27" i="37"/>
  <c r="W27" i="37"/>
  <c r="W30" i="21"/>
  <c r="AC30" i="21"/>
  <c r="S34" i="36"/>
  <c r="AA34" i="36"/>
  <c r="AC12" i="35"/>
  <c r="W12" i="35"/>
  <c r="AB9" i="36"/>
  <c r="U9" i="36"/>
  <c r="AZ550" i="3"/>
  <c r="AC35" i="35"/>
  <c r="W35" i="35"/>
  <c r="AC34" i="36"/>
  <c r="W34" i="36"/>
  <c r="AC13" i="37"/>
  <c r="W13" i="37"/>
  <c r="E54" i="71"/>
  <c r="F54" i="71" s="1"/>
  <c r="E53" i="71"/>
  <c r="F53" i="71" s="1"/>
  <c r="C49" i="70"/>
  <c r="C48" i="70"/>
  <c r="C50" i="71"/>
  <c r="C49" i="71"/>
  <c r="E53" i="70"/>
  <c r="F53" i="70" s="1"/>
  <c r="E52" i="70"/>
  <c r="F52" i="70" s="1"/>
  <c r="I54" i="71"/>
  <c r="J54" i="71" s="1"/>
  <c r="F32" i="69"/>
  <c r="F59" i="69" s="1"/>
  <c r="F28" i="69"/>
  <c r="C28" i="69" s="1"/>
  <c r="M18" i="69"/>
  <c r="F32" i="15"/>
  <c r="F59" i="15" s="1"/>
  <c r="D86" i="9"/>
  <c r="M18" i="15"/>
  <c r="F34" i="44"/>
  <c r="F71" i="9"/>
  <c r="M20" i="44"/>
  <c r="F27" i="43"/>
  <c r="C27" i="43" s="1"/>
  <c r="F72" i="9"/>
  <c r="F29" i="12"/>
  <c r="F31" i="43"/>
  <c r="C31" i="43" s="1"/>
  <c r="F66" i="9"/>
  <c r="P72" i="9" s="1"/>
  <c r="F70" i="9"/>
  <c r="F30" i="44"/>
  <c r="C30" i="44" s="1"/>
  <c r="F28" i="15"/>
  <c r="C28" i="15" s="1"/>
  <c r="L59" i="69"/>
  <c r="Q75" i="69" s="1"/>
  <c r="H106" i="46"/>
  <c r="F102" i="46"/>
  <c r="L102" i="46"/>
  <c r="D103" i="46"/>
  <c r="D102" i="46"/>
  <c r="L104" i="46"/>
  <c r="L106" i="46"/>
  <c r="D107" i="46"/>
  <c r="F109" i="46"/>
  <c r="F106" i="46"/>
  <c r="L109" i="46"/>
  <c r="F104" i="46"/>
  <c r="F105" i="46"/>
  <c r="L105" i="46"/>
  <c r="F103" i="46"/>
  <c r="L103" i="46"/>
  <c r="M102" i="46"/>
  <c r="M109" i="46"/>
  <c r="H104" i="46"/>
  <c r="H107" i="46"/>
  <c r="G5" i="3"/>
  <c r="B3" i="3" s="1"/>
  <c r="E13" i="3" s="1"/>
  <c r="D109" i="46"/>
  <c r="H103" i="46"/>
  <c r="H105" i="46"/>
  <c r="H109" i="46"/>
  <c r="D106" i="46"/>
  <c r="M105" i="46"/>
  <c r="M107" i="46"/>
  <c r="G106" i="46"/>
  <c r="G107" i="46"/>
  <c r="G102" i="46"/>
  <c r="G109" i="46"/>
  <c r="G103" i="46"/>
  <c r="G104" i="46"/>
  <c r="G105" i="46"/>
  <c r="N105" i="46"/>
  <c r="N102" i="46"/>
  <c r="N104" i="46"/>
  <c r="N109" i="46"/>
  <c r="N107" i="46"/>
  <c r="N106" i="46"/>
  <c r="N103" i="46"/>
  <c r="E105" i="46"/>
  <c r="E103" i="46"/>
  <c r="E104" i="46"/>
  <c r="E106" i="46"/>
  <c r="E102" i="46"/>
  <c r="E107" i="46"/>
  <c r="E109" i="46"/>
  <c r="D22" i="46"/>
  <c r="I104" i="46"/>
  <c r="I103" i="46"/>
  <c r="I102" i="46"/>
  <c r="I106" i="46"/>
  <c r="I105" i="46"/>
  <c r="I107" i="46"/>
  <c r="I109" i="46"/>
  <c r="I116" i="46"/>
  <c r="J116" i="46" s="1"/>
  <c r="K116" i="46" s="1"/>
  <c r="L116" i="46" s="1"/>
  <c r="M116" i="46" s="1"/>
  <c r="B115" i="46"/>
  <c r="D117" i="46"/>
  <c r="E117" i="46" s="1"/>
  <c r="F117" i="46" s="1"/>
  <c r="G117" i="46" s="1"/>
  <c r="H117" i="46" s="1"/>
  <c r="B117" i="46"/>
  <c r="C117" i="46" s="1"/>
  <c r="I115" i="46"/>
  <c r="J115" i="46" s="1"/>
  <c r="K115" i="46" s="1"/>
  <c r="L115" i="46" s="1"/>
  <c r="M115" i="46" s="1"/>
  <c r="D116" i="46"/>
  <c r="E116" i="46" s="1"/>
  <c r="F116" i="46" s="1"/>
  <c r="G116" i="46" s="1"/>
  <c r="H116" i="46" s="1"/>
  <c r="I117" i="46"/>
  <c r="J117" i="46" s="1"/>
  <c r="K117" i="46" s="1"/>
  <c r="L117" i="46" s="1"/>
  <c r="M117" i="46" s="1"/>
  <c r="I118" i="46"/>
  <c r="J118" i="46" s="1"/>
  <c r="K118" i="46" s="1"/>
  <c r="L118" i="46" s="1"/>
  <c r="M118" i="46" s="1"/>
  <c r="D118" i="46"/>
  <c r="E118" i="46" s="1"/>
  <c r="F118" i="46" s="1"/>
  <c r="B118" i="46"/>
  <c r="C118" i="46" s="1"/>
  <c r="D115" i="46"/>
  <c r="E115" i="46" s="1"/>
  <c r="F115" i="46" s="1"/>
  <c r="G115" i="46" s="1"/>
  <c r="H115" i="46" s="1"/>
  <c r="B116" i="46"/>
  <c r="C116" i="46" s="1"/>
  <c r="G118" i="46"/>
  <c r="H118" i="46" s="1"/>
  <c r="D104" i="46"/>
  <c r="M104" i="46"/>
  <c r="M103" i="46"/>
  <c r="C102" i="46"/>
  <c r="C104" i="46"/>
  <c r="C106" i="46"/>
  <c r="C109" i="46"/>
  <c r="C107" i="46"/>
  <c r="C103" i="46"/>
  <c r="C105" i="46"/>
  <c r="J106" i="46"/>
  <c r="J105" i="46"/>
  <c r="J109" i="46"/>
  <c r="J102" i="46"/>
  <c r="J107" i="46"/>
  <c r="J104" i="46"/>
  <c r="J103" i="46"/>
  <c r="E64" i="39"/>
  <c r="E59" i="40"/>
  <c r="BA5" i="3"/>
  <c r="AZ13" i="3"/>
  <c r="AZ5" i="3" s="1"/>
  <c r="E13" i="6"/>
  <c r="E14" i="6"/>
  <c r="E15" i="6"/>
  <c r="E29" i="6"/>
  <c r="K15" i="1" s="1"/>
  <c r="F30" i="6"/>
  <c r="G46" i="36"/>
  <c r="H46" i="36" s="1"/>
  <c r="I46" i="36" s="1"/>
  <c r="J46" i="36" s="1"/>
  <c r="K46" i="36" s="1"/>
  <c r="L46" i="36" s="1"/>
  <c r="M46" i="36" s="1"/>
  <c r="N46" i="36" s="1"/>
  <c r="O46" i="36" s="1"/>
  <c r="J7" i="36"/>
  <c r="W7" i="36" s="1"/>
  <c r="P21" i="46"/>
  <c r="C15" i="43"/>
  <c r="C15" i="12"/>
  <c r="D58" i="21"/>
  <c r="E58" i="21" s="1"/>
  <c r="F58" i="21" s="1"/>
  <c r="G58" i="21" s="1"/>
  <c r="H58" i="21" s="1"/>
  <c r="I58" i="21" s="1"/>
  <c r="J58" i="21" s="1"/>
  <c r="K58" i="21" s="1"/>
  <c r="L58" i="21" s="1"/>
  <c r="M58" i="21" s="1"/>
  <c r="N58" i="21" s="1"/>
  <c r="O58" i="21" s="1"/>
  <c r="P25" i="46"/>
  <c r="B73" i="39" s="1"/>
  <c r="C72" i="39"/>
  <c r="D70" i="39"/>
  <c r="E52" i="37"/>
  <c r="G65" i="40"/>
  <c r="F67" i="40"/>
  <c r="E48" i="35"/>
  <c r="F48" i="35" s="1"/>
  <c r="G48" i="35" s="1"/>
  <c r="H48" i="35" s="1"/>
  <c r="I48" i="35" s="1"/>
  <c r="J48" i="35" s="1"/>
  <c r="K48" i="35" s="1"/>
  <c r="L48" i="35" s="1"/>
  <c r="M48" i="35" s="1"/>
  <c r="N48" i="35" s="1"/>
  <c r="O48" i="35" s="1"/>
  <c r="C5" i="46"/>
  <c r="T3" i="46" s="1"/>
  <c r="V3" i="46" s="1"/>
  <c r="M11" i="69"/>
  <c r="J10" i="69" s="1"/>
  <c r="F11" i="69"/>
  <c r="L47" i="44"/>
  <c r="B40" i="1"/>
  <c r="F24" i="69" s="1"/>
  <c r="C24" i="69" s="1"/>
  <c r="M13" i="44"/>
  <c r="J12" i="44" s="1"/>
  <c r="F11" i="15"/>
  <c r="M11" i="15"/>
  <c r="J10" i="15" s="1"/>
  <c r="F13" i="44"/>
  <c r="C12" i="44" s="1"/>
  <c r="J6" i="15"/>
  <c r="F1" i="44"/>
  <c r="Q54" i="44"/>
  <c r="Q62" i="15"/>
  <c r="Q75" i="15"/>
  <c r="C48" i="15"/>
  <c r="F13" i="69"/>
  <c r="F16" i="69"/>
  <c r="F37" i="69"/>
  <c r="M8" i="69"/>
  <c r="M24" i="69"/>
  <c r="L48" i="69"/>
  <c r="F7" i="69"/>
  <c r="J36" i="69"/>
  <c r="M6" i="69"/>
  <c r="F40" i="69"/>
  <c r="M28" i="69"/>
  <c r="M29" i="15"/>
  <c r="F36" i="69"/>
  <c r="F43" i="15"/>
  <c r="M22" i="69"/>
  <c r="F38" i="69"/>
  <c r="F26" i="69"/>
  <c r="E3" i="65"/>
  <c r="C18" i="44"/>
  <c r="M26" i="69"/>
  <c r="F8" i="69"/>
  <c r="M27" i="69"/>
  <c r="C7" i="44" l="1"/>
  <c r="C40" i="44" s="1"/>
  <c r="E63" i="39"/>
  <c r="F31" i="6"/>
  <c r="C34" i="44"/>
  <c r="Q63" i="44"/>
  <c r="Q75" i="44"/>
  <c r="J7" i="44"/>
  <c r="J28" i="44" s="1"/>
  <c r="J31" i="44" s="1"/>
  <c r="Q61" i="15"/>
  <c r="F1" i="15"/>
  <c r="F17" i="11"/>
  <c r="T34" i="59"/>
  <c r="D34" i="59"/>
  <c r="E9" i="59"/>
  <c r="E8" i="59" s="1"/>
  <c r="E7" i="59" s="1"/>
  <c r="E6" i="59" s="1"/>
  <c r="U10" i="59"/>
  <c r="T14" i="46"/>
  <c r="V14" i="46" s="1"/>
  <c r="T11" i="46"/>
  <c r="V11" i="46" s="1"/>
  <c r="D12" i="59"/>
  <c r="C11" i="59"/>
  <c r="T50" i="59"/>
  <c r="D50" i="59"/>
  <c r="E28" i="6"/>
  <c r="E30" i="6" s="1"/>
  <c r="T8" i="46"/>
  <c r="V8" i="46" s="1"/>
  <c r="T54" i="59"/>
  <c r="D54" i="59"/>
  <c r="N28" i="46"/>
  <c r="P28" i="46"/>
  <c r="O28" i="46"/>
  <c r="C27" i="69"/>
  <c r="F67" i="69"/>
  <c r="F63" i="69"/>
  <c r="F49" i="69"/>
  <c r="M7" i="69"/>
  <c r="J6" i="69" s="1"/>
  <c r="J18" i="69" s="1"/>
  <c r="F50" i="69"/>
  <c r="Q72" i="69"/>
  <c r="F70" i="15"/>
  <c r="L58" i="69"/>
  <c r="Q74" i="69" s="1"/>
  <c r="L56" i="69"/>
  <c r="J53" i="69"/>
  <c r="Q53" i="69" s="1"/>
  <c r="I54" i="69"/>
  <c r="J57" i="69"/>
  <c r="J55" i="69" s="1"/>
  <c r="J58" i="69" s="1"/>
  <c r="Q51" i="69" s="1"/>
  <c r="F65" i="69"/>
  <c r="F64" i="69"/>
  <c r="E39" i="46"/>
  <c r="G39" i="46"/>
  <c r="I39" i="46" s="1"/>
  <c r="F7" i="36"/>
  <c r="S7" i="36" s="1"/>
  <c r="K14" i="1"/>
  <c r="E27" i="6"/>
  <c r="B9" i="59"/>
  <c r="B8" i="59" s="1"/>
  <c r="B7" i="59" s="1"/>
  <c r="B6" i="59" s="1"/>
  <c r="S10" i="59"/>
  <c r="C36" i="46"/>
  <c r="E36" i="46" s="1"/>
  <c r="T16" i="46"/>
  <c r="V16" i="46" s="1"/>
  <c r="T2" i="46"/>
  <c r="V2" i="46" s="1"/>
  <c r="T13" i="46"/>
  <c r="V13" i="46" s="1"/>
  <c r="H7" i="21"/>
  <c r="B3" i="70"/>
  <c r="B2" i="70" s="1"/>
  <c r="U6" i="1"/>
  <c r="C30" i="59"/>
  <c r="D29" i="59"/>
  <c r="M6" i="1"/>
  <c r="T26" i="59"/>
  <c r="D26" i="59"/>
  <c r="K7" i="1"/>
  <c r="K16" i="1" s="1"/>
  <c r="D9" i="12"/>
  <c r="T10" i="46"/>
  <c r="V10" i="46" s="1"/>
  <c r="T4" i="46"/>
  <c r="V4" i="46" s="1"/>
  <c r="C38" i="46"/>
  <c r="E38" i="46" s="1"/>
  <c r="C37" i="46"/>
  <c r="E37" i="46" s="1"/>
  <c r="C34" i="46"/>
  <c r="G34" i="46" s="1"/>
  <c r="I34" i="46" s="1"/>
  <c r="T15" i="46"/>
  <c r="V15" i="46" s="1"/>
  <c r="AC7" i="36"/>
  <c r="V36" i="36" s="1"/>
  <c r="I36" i="36" s="1"/>
  <c r="C33" i="46"/>
  <c r="G33" i="46" s="1"/>
  <c r="I33" i="46" s="1"/>
  <c r="T9" i="46"/>
  <c r="V9" i="46" s="1"/>
  <c r="C29" i="46"/>
  <c r="E29" i="46" s="1"/>
  <c r="C35" i="46"/>
  <c r="G35" i="46" s="1"/>
  <c r="I35" i="46" s="1"/>
  <c r="H7" i="36"/>
  <c r="B3" i="71"/>
  <c r="B2" i="71" s="1"/>
  <c r="U7" i="1"/>
  <c r="C22" i="59"/>
  <c r="D21" i="59"/>
  <c r="T6" i="46"/>
  <c r="V6" i="46" s="1"/>
  <c r="T12" i="46"/>
  <c r="V12" i="46" s="1"/>
  <c r="Q62" i="69"/>
  <c r="E270" i="3"/>
  <c r="E422" i="3"/>
  <c r="E210" i="3"/>
  <c r="E563" i="3"/>
  <c r="E83" i="3"/>
  <c r="E297" i="3"/>
  <c r="E92" i="3"/>
  <c r="E490" i="3"/>
  <c r="E151" i="3"/>
  <c r="E568" i="3"/>
  <c r="E116" i="3"/>
  <c r="E517" i="3"/>
  <c r="E440" i="3"/>
  <c r="E538" i="3"/>
  <c r="E307" i="3"/>
  <c r="E169" i="3"/>
  <c r="AL6" i="3"/>
  <c r="E504" i="3"/>
  <c r="E511" i="3"/>
  <c r="E565" i="3"/>
  <c r="E192" i="3"/>
  <c r="E394" i="3"/>
  <c r="E375" i="3"/>
  <c r="E266" i="3"/>
  <c r="E200" i="3"/>
  <c r="E143" i="3"/>
  <c r="E202" i="3"/>
  <c r="AP6" i="3"/>
  <c r="AS6" i="3"/>
  <c r="E303" i="3"/>
  <c r="E393" i="3"/>
  <c r="E65" i="3"/>
  <c r="E76" i="3"/>
  <c r="E403" i="3"/>
  <c r="E90" i="3"/>
  <c r="E226" i="3"/>
  <c r="E368" i="3"/>
  <c r="AB6" i="3"/>
  <c r="E268" i="3"/>
  <c r="E356" i="3"/>
  <c r="E114" i="3"/>
  <c r="E55" i="3"/>
  <c r="E409" i="3"/>
  <c r="E215" i="3"/>
  <c r="E62" i="3"/>
  <c r="E225" i="3"/>
  <c r="E478" i="3"/>
  <c r="E365" i="3"/>
  <c r="E121" i="3"/>
  <c r="E555" i="3"/>
  <c r="E217" i="3"/>
  <c r="E163" i="3"/>
  <c r="E310" i="3"/>
  <c r="E301" i="3"/>
  <c r="E348" i="3"/>
  <c r="E282" i="3"/>
  <c r="I6" i="3"/>
  <c r="E389" i="3"/>
  <c r="E41" i="3"/>
  <c r="E423" i="3"/>
  <c r="E63" i="3"/>
  <c r="W6" i="3"/>
  <c r="E445" i="3"/>
  <c r="E243" i="3"/>
  <c r="E235" i="3"/>
  <c r="E314" i="3"/>
  <c r="E177" i="3"/>
  <c r="E106" i="3"/>
  <c r="E351" i="3"/>
  <c r="E553" i="3"/>
  <c r="E244" i="3"/>
  <c r="E358" i="3"/>
  <c r="E476" i="3"/>
  <c r="E93" i="3"/>
  <c r="E570" i="3"/>
  <c r="E124" i="3"/>
  <c r="E103" i="3"/>
  <c r="E230" i="3"/>
  <c r="E262" i="3"/>
  <c r="E388" i="3"/>
  <c r="X6" i="3"/>
  <c r="E46" i="3"/>
  <c r="E69" i="3"/>
  <c r="E564" i="3"/>
  <c r="E240" i="3"/>
  <c r="E542" i="3"/>
  <c r="E371" i="3"/>
  <c r="E219" i="3"/>
  <c r="E373" i="3"/>
  <c r="E325" i="3"/>
  <c r="E287" i="3"/>
  <c r="E51" i="3"/>
  <c r="E417" i="3"/>
  <c r="E332" i="3"/>
  <c r="E27" i="3"/>
  <c r="E397" i="3"/>
  <c r="E534" i="3"/>
  <c r="E481" i="3"/>
  <c r="E316" i="3"/>
  <c r="E26" i="3"/>
  <c r="E572" i="3"/>
  <c r="E338" i="3"/>
  <c r="E284" i="3"/>
  <c r="E286" i="3"/>
  <c r="E559" i="3"/>
  <c r="E197" i="3"/>
  <c r="E543" i="3"/>
  <c r="E261" i="3"/>
  <c r="E473" i="3"/>
  <c r="E415" i="3"/>
  <c r="E387" i="3"/>
  <c r="E156" i="3"/>
  <c r="E193" i="3"/>
  <c r="E36" i="3"/>
  <c r="E428" i="3"/>
  <c r="E374" i="3"/>
  <c r="E535" i="3"/>
  <c r="AM6" i="3"/>
  <c r="E158" i="3"/>
  <c r="E295" i="3"/>
  <c r="E201" i="3"/>
  <c r="E274" i="3"/>
  <c r="E547" i="3"/>
  <c r="E33" i="3"/>
  <c r="E119" i="3"/>
  <c r="E97" i="3"/>
  <c r="E289" i="3"/>
  <c r="E425" i="3"/>
  <c r="E166" i="3"/>
  <c r="E204" i="3"/>
  <c r="E449" i="3"/>
  <c r="E259" i="3"/>
  <c r="E416" i="3"/>
  <c r="E160" i="3"/>
  <c r="E133" i="3"/>
  <c r="E458" i="3"/>
  <c r="E256" i="3"/>
  <c r="AN6" i="3"/>
  <c r="E450" i="3"/>
  <c r="E64" i="3"/>
  <c r="E367" i="3"/>
  <c r="E109" i="3"/>
  <c r="E482" i="3"/>
  <c r="E550" i="3"/>
  <c r="E111" i="3"/>
  <c r="E101" i="3"/>
  <c r="E82" i="3"/>
  <c r="AA6" i="3"/>
  <c r="E221" i="3"/>
  <c r="E446" i="3"/>
  <c r="E413" i="3"/>
  <c r="E18" i="3"/>
  <c r="E488" i="3"/>
  <c r="E515" i="3"/>
  <c r="E506" i="3"/>
  <c r="E360" i="3"/>
  <c r="E396" i="3"/>
  <c r="E379" i="3"/>
  <c r="E505" i="3"/>
  <c r="E126" i="3"/>
  <c r="E203" i="3"/>
  <c r="E407" i="3"/>
  <c r="E468" i="3"/>
  <c r="R6" i="3"/>
  <c r="E250" i="3"/>
  <c r="E382" i="3"/>
  <c r="E254" i="3"/>
  <c r="E567" i="3"/>
  <c r="E562" i="3"/>
  <c r="E42" i="3"/>
  <c r="E183" i="3"/>
  <c r="E306" i="3"/>
  <c r="E281" i="3"/>
  <c r="E279" i="3"/>
  <c r="E467" i="3"/>
  <c r="E469" i="3"/>
  <c r="E47" i="3"/>
  <c r="E125" i="3"/>
  <c r="E23" i="3"/>
  <c r="E427" i="3"/>
  <c r="E94" i="3"/>
  <c r="E304" i="3"/>
  <c r="E404" i="3"/>
  <c r="E283" i="3"/>
  <c r="E194" i="3"/>
  <c r="E390" i="3"/>
  <c r="E149" i="3"/>
  <c r="E549" i="3"/>
  <c r="I3" i="6"/>
  <c r="E292" i="3"/>
  <c r="E60" i="3"/>
  <c r="E178" i="3"/>
  <c r="E48" i="3"/>
  <c r="E455" i="3"/>
  <c r="E79" i="3"/>
  <c r="E272" i="3"/>
  <c r="E25" i="3"/>
  <c r="E479" i="3"/>
  <c r="E276" i="3"/>
  <c r="E526" i="3"/>
  <c r="E540" i="3"/>
  <c r="AI6" i="3"/>
  <c r="E234" i="3"/>
  <c r="E176" i="3"/>
  <c r="E395" i="3"/>
  <c r="E209" i="3"/>
  <c r="E21" i="3"/>
  <c r="E536" i="3"/>
  <c r="E80" i="3"/>
  <c r="E148" i="3"/>
  <c r="N6" i="3"/>
  <c r="E85" i="3"/>
  <c r="E39" i="3"/>
  <c r="E372" i="3"/>
  <c r="E248" i="3"/>
  <c r="E453" i="3"/>
  <c r="E224" i="3"/>
  <c r="E331" i="3"/>
  <c r="E355" i="3"/>
  <c r="E551" i="3"/>
  <c r="E16" i="3"/>
  <c r="E95" i="3"/>
  <c r="E298" i="3"/>
  <c r="E315" i="3"/>
  <c r="E159" i="3"/>
  <c r="E384" i="3"/>
  <c r="E238" i="3"/>
  <c r="E537" i="3"/>
  <c r="E84" i="3"/>
  <c r="E110" i="3"/>
  <c r="E164" i="3"/>
  <c r="E457" i="3"/>
  <c r="M6" i="3"/>
  <c r="E322" i="3"/>
  <c r="E571" i="3"/>
  <c r="E216" i="3"/>
  <c r="E61" i="3"/>
  <c r="E451" i="3"/>
  <c r="E28" i="3"/>
  <c r="E280" i="3"/>
  <c r="E71" i="3"/>
  <c r="E518" i="3"/>
  <c r="E320" i="3"/>
  <c r="E302" i="3"/>
  <c r="E172" i="3"/>
  <c r="E185" i="3"/>
  <c r="E561" i="3"/>
  <c r="E104" i="3"/>
  <c r="E100" i="3"/>
  <c r="E265" i="3"/>
  <c r="E492" i="3"/>
  <c r="E170" i="3"/>
  <c r="E447" i="3"/>
  <c r="E500" i="3"/>
  <c r="E113" i="3"/>
  <c r="O6" i="3"/>
  <c r="E196" i="3"/>
  <c r="E96" i="3"/>
  <c r="E87" i="3"/>
  <c r="E491" i="3"/>
  <c r="E294" i="3"/>
  <c r="E462" i="3"/>
  <c r="E412" i="3"/>
  <c r="E139" i="3"/>
  <c r="E527" i="3"/>
  <c r="E309" i="3"/>
  <c r="E162" i="3"/>
  <c r="E191" i="3"/>
  <c r="E180" i="3"/>
  <c r="E81" i="3"/>
  <c r="E19" i="3"/>
  <c r="E361" i="3"/>
  <c r="E312" i="3"/>
  <c r="E411" i="3"/>
  <c r="E472" i="3"/>
  <c r="E213" i="3"/>
  <c r="E317" i="3"/>
  <c r="E313" i="3"/>
  <c r="E398" i="3"/>
  <c r="E539" i="3"/>
  <c r="E67" i="3"/>
  <c r="E73" i="3"/>
  <c r="E347" i="3"/>
  <c r="AG6" i="3"/>
  <c r="E290" i="3"/>
  <c r="E300" i="3"/>
  <c r="E525" i="3"/>
  <c r="E353" i="3"/>
  <c r="E236" i="3"/>
  <c r="E171" i="3"/>
  <c r="E531" i="3"/>
  <c r="E344" i="3"/>
  <c r="E366" i="3"/>
  <c r="E350" i="3"/>
  <c r="E352" i="3"/>
  <c r="E519" i="3"/>
  <c r="E544" i="3"/>
  <c r="E77" i="3"/>
  <c r="E263" i="3"/>
  <c r="E391" i="3"/>
  <c r="E91" i="3"/>
  <c r="E421" i="3"/>
  <c r="E520" i="3"/>
  <c r="E327" i="3"/>
  <c r="E470" i="3"/>
  <c r="E459" i="3"/>
  <c r="E135" i="3"/>
  <c r="E20" i="3"/>
  <c r="E137" i="3"/>
  <c r="E273" i="3"/>
  <c r="E522" i="3"/>
  <c r="E118" i="3"/>
  <c r="E432" i="3"/>
  <c r="E558" i="3"/>
  <c r="E99" i="3"/>
  <c r="E31" i="3"/>
  <c r="E241" i="3"/>
  <c r="E341" i="3"/>
  <c r="E497" i="3"/>
  <c r="E392" i="3"/>
  <c r="AF6" i="3"/>
  <c r="E214" i="3"/>
  <c r="E184" i="3"/>
  <c r="E157" i="3"/>
  <c r="E17" i="3"/>
  <c r="E167" i="3"/>
  <c r="E45" i="3"/>
  <c r="E529" i="3"/>
  <c r="E305" i="3"/>
  <c r="E168" i="3"/>
  <c r="E161" i="3"/>
  <c r="E278" i="3"/>
  <c r="E165" i="3"/>
  <c r="E443" i="3"/>
  <c r="E296" i="3"/>
  <c r="E460" i="3"/>
  <c r="E426" i="3"/>
  <c r="J6" i="3"/>
  <c r="E363" i="3"/>
  <c r="E102" i="3"/>
  <c r="E43" i="3"/>
  <c r="E477" i="3"/>
  <c r="E239" i="3"/>
  <c r="E554" i="3"/>
  <c r="E376" i="3"/>
  <c r="E410" i="3"/>
  <c r="E34" i="3"/>
  <c r="E275" i="3"/>
  <c r="E288" i="3"/>
  <c r="E220" i="3"/>
  <c r="E513" i="3"/>
  <c r="E66" i="3"/>
  <c r="E508" i="3"/>
  <c r="E246" i="3"/>
  <c r="E524" i="3"/>
  <c r="E35" i="3"/>
  <c r="E323" i="3"/>
  <c r="E512" i="3"/>
  <c r="E44" i="3"/>
  <c r="E452" i="3"/>
  <c r="E431" i="3"/>
  <c r="E179" i="3"/>
  <c r="E405" i="3"/>
  <c r="E37" i="3"/>
  <c r="E402" i="3"/>
  <c r="E486" i="3"/>
  <c r="E211" i="3"/>
  <c r="E58" i="3"/>
  <c r="E419" i="3"/>
  <c r="E40" i="3"/>
  <c r="E530" i="3"/>
  <c r="E456" i="3"/>
  <c r="AJ6" i="3"/>
  <c r="E15" i="3"/>
  <c r="E56" i="3"/>
  <c r="E208" i="3"/>
  <c r="E483" i="3"/>
  <c r="E340" i="3"/>
  <c r="E130" i="3"/>
  <c r="E328" i="3"/>
  <c r="E346" i="3"/>
  <c r="E557" i="3"/>
  <c r="E434" i="3"/>
  <c r="E424" i="3"/>
  <c r="E321" i="3"/>
  <c r="E115" i="3"/>
  <c r="E206" i="3"/>
  <c r="AK6" i="3"/>
  <c r="E548" i="3"/>
  <c r="E349" i="3"/>
  <c r="E117" i="3"/>
  <c r="E147" i="3"/>
  <c r="E503" i="3"/>
  <c r="E377" i="3"/>
  <c r="E406" i="3"/>
  <c r="E566" i="3"/>
  <c r="E378" i="3"/>
  <c r="E153" i="3"/>
  <c r="E173" i="3"/>
  <c r="E362" i="3"/>
  <c r="AQ6" i="3"/>
  <c r="E465" i="3"/>
  <c r="E245" i="3"/>
  <c r="E53" i="3"/>
  <c r="E442" i="3"/>
  <c r="E187" i="3"/>
  <c r="AD6" i="3"/>
  <c r="E318" i="3"/>
  <c r="T6" i="3"/>
  <c r="E369" i="3"/>
  <c r="AH6" i="3"/>
  <c r="E494" i="3"/>
  <c r="E502" i="3"/>
  <c r="E136" i="3"/>
  <c r="E49" i="3"/>
  <c r="E223" i="3"/>
  <c r="E89" i="3"/>
  <c r="Q6" i="3"/>
  <c r="E257" i="3"/>
  <c r="E308" i="3"/>
  <c r="E29" i="3"/>
  <c r="E343" i="3"/>
  <c r="E189" i="3"/>
  <c r="E154" i="3"/>
  <c r="E229" i="3"/>
  <c r="E108" i="3"/>
  <c r="E212" i="3"/>
  <c r="E501" i="3"/>
  <c r="E54" i="3"/>
  <c r="E174" i="3"/>
  <c r="E190" i="3"/>
  <c r="E255" i="3"/>
  <c r="E466" i="3"/>
  <c r="E386" i="3"/>
  <c r="K6" i="3"/>
  <c r="E474" i="3"/>
  <c r="E495" i="3"/>
  <c r="E330" i="3"/>
  <c r="E138" i="3"/>
  <c r="E523" i="3"/>
  <c r="E430" i="3"/>
  <c r="E359" i="3"/>
  <c r="AO6" i="3"/>
  <c r="E186" i="3"/>
  <c r="E22" i="3"/>
  <c r="E175" i="3"/>
  <c r="E510" i="3"/>
  <c r="E339" i="3"/>
  <c r="E271" i="3"/>
  <c r="E448" i="3"/>
  <c r="E107" i="3"/>
  <c r="E383" i="3"/>
  <c r="E205" i="3"/>
  <c r="E418" i="3"/>
  <c r="E437" i="3"/>
  <c r="E329" i="3"/>
  <c r="E334" i="3"/>
  <c r="E560" i="3"/>
  <c r="E380" i="3"/>
  <c r="E269" i="3"/>
  <c r="E105" i="3"/>
  <c r="E142" i="3"/>
  <c r="E131" i="3"/>
  <c r="E78" i="3"/>
  <c r="E463" i="3"/>
  <c r="E438" i="3"/>
  <c r="E258" i="3"/>
  <c r="E134" i="3"/>
  <c r="E59" i="3"/>
  <c r="E545" i="3"/>
  <c r="E429" i="3"/>
  <c r="AR6" i="3"/>
  <c r="E24" i="3"/>
  <c r="E277" i="3"/>
  <c r="E182" i="3"/>
  <c r="E471" i="3"/>
  <c r="E218" i="3"/>
  <c r="E98" i="3"/>
  <c r="E233" i="3"/>
  <c r="E145" i="3"/>
  <c r="E198" i="3"/>
  <c r="E188" i="3"/>
  <c r="E569" i="3"/>
  <c r="E251" i="3"/>
  <c r="E485" i="3"/>
  <c r="E521" i="3"/>
  <c r="E155" i="3"/>
  <c r="E57" i="3"/>
  <c r="E311" i="3"/>
  <c r="E333" i="3"/>
  <c r="E454" i="3"/>
  <c r="E528" i="3"/>
  <c r="E68" i="3"/>
  <c r="E112" i="3"/>
  <c r="E342" i="3"/>
  <c r="E260" i="3"/>
  <c r="E120" i="3"/>
  <c r="E336" i="3"/>
  <c r="L6" i="3"/>
  <c r="E129" i="3"/>
  <c r="E435" i="3"/>
  <c r="E152" i="3"/>
  <c r="E516" i="3"/>
  <c r="E324" i="3"/>
  <c r="E232" i="3"/>
  <c r="E509" i="3"/>
  <c r="E181" i="3"/>
  <c r="Y6" i="3"/>
  <c r="P6" i="3"/>
  <c r="E237" i="3"/>
  <c r="E337" i="3"/>
  <c r="E32" i="3"/>
  <c r="AE6" i="3"/>
  <c r="E207" i="3"/>
  <c r="E242" i="3"/>
  <c r="E464" i="3"/>
  <c r="E141" i="3"/>
  <c r="E556" i="3"/>
  <c r="E74" i="3"/>
  <c r="E150" i="3"/>
  <c r="E385" i="3"/>
  <c r="E267" i="3"/>
  <c r="E408" i="3"/>
  <c r="E399" i="3"/>
  <c r="E444" i="3"/>
  <c r="E52" i="3"/>
  <c r="E264" i="3"/>
  <c r="E285" i="3"/>
  <c r="E228" i="3"/>
  <c r="E50" i="3"/>
  <c r="E354" i="3"/>
  <c r="E335" i="3"/>
  <c r="E496" i="3"/>
  <c r="E252" i="3"/>
  <c r="E552" i="3"/>
  <c r="E127" i="3"/>
  <c r="E326" i="3"/>
  <c r="E227" i="3"/>
  <c r="E30" i="3"/>
  <c r="E370" i="3"/>
  <c r="E88" i="3"/>
  <c r="E514" i="3"/>
  <c r="U6" i="3"/>
  <c r="E546" i="3"/>
  <c r="E541" i="3"/>
  <c r="E475" i="3"/>
  <c r="E439" i="3"/>
  <c r="E487" i="3"/>
  <c r="E499" i="3"/>
  <c r="E291" i="3"/>
  <c r="E70" i="3"/>
  <c r="E144" i="3"/>
  <c r="E489" i="3"/>
  <c r="E249" i="3"/>
  <c r="E128" i="3"/>
  <c r="E72" i="3"/>
  <c r="E253" i="3"/>
  <c r="V6" i="3"/>
  <c r="E122" i="3"/>
  <c r="E146" i="3"/>
  <c r="Z6" i="3"/>
  <c r="E86" i="3"/>
  <c r="E364" i="3"/>
  <c r="E123" i="3"/>
  <c r="E420" i="3"/>
  <c r="E199" i="3"/>
  <c r="E400" i="3"/>
  <c r="E507" i="3"/>
  <c r="E75" i="3"/>
  <c r="E140" i="3"/>
  <c r="E493" i="3"/>
  <c r="E38" i="3"/>
  <c r="E433" i="3"/>
  <c r="E532" i="3"/>
  <c r="E195" i="3"/>
  <c r="E299" i="3"/>
  <c r="E484" i="3"/>
  <c r="E14" i="3"/>
  <c r="E345" i="3"/>
  <c r="E533" i="3"/>
  <c r="E414" i="3"/>
  <c r="E222" i="3"/>
  <c r="E441" i="3"/>
  <c r="E381" i="3"/>
  <c r="E401" i="3"/>
  <c r="E293" i="3"/>
  <c r="E498" i="3"/>
  <c r="E247" i="3"/>
  <c r="E319" i="3"/>
  <c r="E461" i="3"/>
  <c r="E132" i="3"/>
  <c r="E231" i="3"/>
  <c r="S6" i="3"/>
  <c r="E436" i="3"/>
  <c r="E480" i="3"/>
  <c r="E357" i="3"/>
  <c r="K23" i="6"/>
  <c r="M23" i="6" s="1"/>
  <c r="I23" i="6" s="1"/>
  <c r="S23" i="6" s="1"/>
  <c r="K19" i="6"/>
  <c r="C115" i="46"/>
  <c r="D113" i="46" s="1"/>
  <c r="K22" i="6"/>
  <c r="M22" i="6" s="1"/>
  <c r="I22" i="6" s="1"/>
  <c r="S22" i="6" s="1"/>
  <c r="K24" i="6"/>
  <c r="M24" i="6" s="1"/>
  <c r="I24" i="6" s="1"/>
  <c r="S24" i="6" s="1"/>
  <c r="K26" i="6"/>
  <c r="M26" i="6" s="1"/>
  <c r="I26" i="6" s="1"/>
  <c r="S26" i="6" s="1"/>
  <c r="K25" i="6"/>
  <c r="M25" i="6" s="1"/>
  <c r="I25" i="6" s="1"/>
  <c r="S25" i="6" s="1"/>
  <c r="E61" i="40"/>
  <c r="E66" i="39"/>
  <c r="E16" i="6"/>
  <c r="K20" i="6"/>
  <c r="E65" i="39"/>
  <c r="E60" i="40"/>
  <c r="M14" i="1"/>
  <c r="AY6" i="3"/>
  <c r="E3" i="6"/>
  <c r="E62" i="40"/>
  <c r="E67" i="39"/>
  <c r="E31" i="6"/>
  <c r="H7" i="35"/>
  <c r="AB7" i="35" s="1"/>
  <c r="T38" i="35" s="1"/>
  <c r="G38" i="35" s="1"/>
  <c r="F7" i="35"/>
  <c r="S7" i="35" s="1"/>
  <c r="E34" i="46"/>
  <c r="F52" i="37"/>
  <c r="F7" i="21"/>
  <c r="D72" i="39"/>
  <c r="E70" i="39"/>
  <c r="I40" i="36"/>
  <c r="J40" i="36" s="1"/>
  <c r="U7" i="21"/>
  <c r="AB7" i="21"/>
  <c r="T48" i="21" s="1"/>
  <c r="G48" i="21" s="1"/>
  <c r="H65" i="40"/>
  <c r="G67" i="40"/>
  <c r="J7" i="21"/>
  <c r="J7" i="35"/>
  <c r="C52" i="69"/>
  <c r="T7" i="46"/>
  <c r="V7" i="46" s="1"/>
  <c r="T5" i="46"/>
  <c r="V5" i="46" s="1"/>
  <c r="G37" i="46"/>
  <c r="I37" i="46" s="1"/>
  <c r="J5" i="15"/>
  <c r="J18" i="15"/>
  <c r="C52" i="15"/>
  <c r="C47" i="15" s="1"/>
  <c r="F24" i="15"/>
  <c r="C24" i="15" s="1"/>
  <c r="F26" i="44"/>
  <c r="C26" i="44" s="1"/>
  <c r="F21" i="43"/>
  <c r="F26" i="12"/>
  <c r="AE6" i="1"/>
  <c r="M29" i="69"/>
  <c r="C16" i="15"/>
  <c r="F43" i="69"/>
  <c r="F6" i="15"/>
  <c r="F6" i="69"/>
  <c r="F41" i="15"/>
  <c r="L52" i="44"/>
  <c r="J26" i="44" l="1"/>
  <c r="G36" i="46"/>
  <c r="I36" i="46" s="1"/>
  <c r="G38" i="46"/>
  <c r="I38" i="46" s="1"/>
  <c r="E33" i="46"/>
  <c r="C26" i="46" s="1"/>
  <c r="B2" i="46" s="1"/>
  <c r="C30" i="46"/>
  <c r="E30" i="46" s="1"/>
  <c r="E35" i="46"/>
  <c r="AA7" i="36"/>
  <c r="R36" i="36" s="1"/>
  <c r="D11" i="59"/>
  <c r="C10" i="59"/>
  <c r="E5" i="59"/>
  <c r="U6" i="59"/>
  <c r="U7" i="35"/>
  <c r="K21" i="6"/>
  <c r="M21" i="6" s="1"/>
  <c r="I21" i="6" s="1"/>
  <c r="S21" i="6" s="1"/>
  <c r="F1" i="69"/>
  <c r="C48" i="69"/>
  <c r="C47" i="69" s="1"/>
  <c r="J5" i="69"/>
  <c r="J24" i="69" s="1"/>
  <c r="F70" i="69"/>
  <c r="C6" i="15"/>
  <c r="F68" i="15"/>
  <c r="C6" i="69"/>
  <c r="M7" i="1"/>
  <c r="G16" i="1"/>
  <c r="AP16" i="1"/>
  <c r="F22" i="11" s="1"/>
  <c r="O6" i="1"/>
  <c r="P6" i="1" s="1"/>
  <c r="B5" i="59"/>
  <c r="S6" i="59"/>
  <c r="AA7" i="35"/>
  <c r="R38" i="35" s="1"/>
  <c r="Q61" i="69"/>
  <c r="T22" i="59"/>
  <c r="D22" i="59"/>
  <c r="Q16" i="1"/>
  <c r="AB7" i="36"/>
  <c r="T36" i="36" s="1"/>
  <c r="G36" i="36" s="1"/>
  <c r="U7" i="36"/>
  <c r="H16" i="1"/>
  <c r="T30" i="59"/>
  <c r="D30" i="59"/>
  <c r="M20" i="6"/>
  <c r="I20" i="6" s="1"/>
  <c r="S20" i="6" s="1"/>
  <c r="S7" i="1"/>
  <c r="M19" i="6"/>
  <c r="S6" i="1"/>
  <c r="AC6" i="3"/>
  <c r="H6" i="3"/>
  <c r="O14" i="1"/>
  <c r="M16" i="1"/>
  <c r="D16" i="43"/>
  <c r="C16" i="43" s="1"/>
  <c r="E6" i="6"/>
  <c r="L38" i="9"/>
  <c r="B14" i="66" s="1"/>
  <c r="B1" i="66" s="1"/>
  <c r="D44" i="9"/>
  <c r="D46" i="9"/>
  <c r="D16" i="12"/>
  <c r="D10" i="11"/>
  <c r="D45" i="9"/>
  <c r="C21" i="4"/>
  <c r="O5" i="54" s="1"/>
  <c r="B45" i="63" s="1"/>
  <c r="I19" i="6"/>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486" i="3"/>
  <c r="AY69" i="3"/>
  <c r="AY109" i="3"/>
  <c r="AY159" i="3"/>
  <c r="AY529" i="3"/>
  <c r="AY537" i="3"/>
  <c r="AY47" i="3"/>
  <c r="AY98" i="3"/>
  <c r="AY136" i="3"/>
  <c r="AY234" i="3"/>
  <c r="AY383" i="3"/>
  <c r="AY448" i="3"/>
  <c r="AY402" i="3"/>
  <c r="AY170" i="3"/>
  <c r="AY381" i="3"/>
  <c r="AY343" i="3"/>
  <c r="AY476" i="3"/>
  <c r="AY178" i="3"/>
  <c r="AY265" i="3"/>
  <c r="AY366" i="3"/>
  <c r="AY550" i="3"/>
  <c r="AY50" i="3"/>
  <c r="AY256" i="3"/>
  <c r="AY389" i="3"/>
  <c r="AY161" i="3"/>
  <c r="AY342" i="3"/>
  <c r="AY122" i="3"/>
  <c r="AY305" i="3"/>
  <c r="AY438" i="3"/>
  <c r="BC6" i="3"/>
  <c r="AY43" i="3"/>
  <c r="AY352" i="3"/>
  <c r="AY91" i="3"/>
  <c r="AY481" i="3"/>
  <c r="AY21" i="3"/>
  <c r="AY274" i="3"/>
  <c r="AY216" i="3"/>
  <c r="AY411" i="3"/>
  <c r="AY114" i="3"/>
  <c r="AY311"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87" i="3"/>
  <c r="AY88" i="3"/>
  <c r="AY129" i="3"/>
  <c r="AY105" i="3"/>
  <c r="AY73" i="3"/>
  <c r="AY57" i="3"/>
  <c r="AY217" i="3"/>
  <c r="AY209" i="3"/>
  <c r="AY416" i="3"/>
  <c r="AY49" i="3"/>
  <c r="AY146" i="3"/>
  <c r="AY324" i="3"/>
  <c r="AY65" i="3"/>
  <c r="AY135" i="3"/>
  <c r="AY372" i="3"/>
  <c r="AY548" i="3"/>
  <c r="AY226" i="3"/>
  <c r="AY400" i="3"/>
  <c r="AY302" i="3"/>
  <c r="AY194" i="3"/>
  <c r="AY16" i="3"/>
  <c r="AY429" i="3"/>
  <c r="AY201" i="3"/>
  <c r="AY330" i="3"/>
  <c r="AY124" i="3"/>
  <c r="AY103" i="3"/>
  <c r="AY150" i="3"/>
  <c r="AY556" i="3"/>
  <c r="AY187" i="3"/>
  <c r="AY445" i="3"/>
  <c r="AY227" i="3"/>
  <c r="BS6" i="3"/>
  <c r="AY341" i="3"/>
  <c r="AY266" i="3"/>
  <c r="AY282" i="3"/>
  <c r="AY465" i="3"/>
  <c r="AY193" i="3"/>
  <c r="AY24" i="3"/>
  <c r="AY428" i="3"/>
  <c r="BL6" i="3"/>
  <c r="AY515" i="3"/>
  <c r="AY218" i="3"/>
  <c r="AY472" i="3"/>
  <c r="AY46" i="3"/>
  <c r="AY356" i="3"/>
  <c r="AY131" i="3"/>
  <c r="AY371" i="3"/>
  <c r="AY147" i="3"/>
  <c r="AY453" i="3"/>
  <c r="AY380" i="3"/>
  <c r="AY562" i="3"/>
  <c r="AY151" i="3"/>
  <c r="AY245" i="3"/>
  <c r="AY32" i="3"/>
  <c r="AY239" i="3"/>
  <c r="AY500" i="3"/>
  <c r="AY107" i="3"/>
  <c r="AY458" i="3"/>
  <c r="AY152" i="3"/>
  <c r="AY489" i="3"/>
  <c r="AY546" i="3"/>
  <c r="AY242" i="3"/>
  <c r="AY417" i="3"/>
  <c r="AY287" i="3"/>
  <c r="AY163" i="3"/>
  <c r="AY385" i="3"/>
  <c r="AY492" i="3"/>
  <c r="AY15" i="3"/>
  <c r="AY355" i="3"/>
  <c r="AY220" i="3"/>
  <c r="BR6" i="3"/>
  <c r="AY497" i="3"/>
  <c r="AY285" i="3"/>
  <c r="AY80" i="3"/>
  <c r="AY58" i="3"/>
  <c r="AY142" i="3"/>
  <c r="AY104" i="3"/>
  <c r="AY74" i="3"/>
  <c r="AY31" i="3"/>
  <c r="AY262" i="3"/>
  <c r="AY349" i="3"/>
  <c r="AY427" i="3"/>
  <c r="AY55" i="3"/>
  <c r="AY250" i="3"/>
  <c r="AY326" i="3"/>
  <c r="AY39" i="3"/>
  <c r="AY258" i="3"/>
  <c r="AY350" i="3"/>
  <c r="AY62" i="3"/>
  <c r="AY376" i="3"/>
  <c r="AY81" i="3"/>
  <c r="AY340" i="3"/>
  <c r="AY272" i="3"/>
  <c r="AY457" i="3"/>
  <c r="AY278" i="3"/>
  <c r="AY253" i="3"/>
  <c r="AY501" i="3"/>
  <c r="AY449" i="3"/>
  <c r="AY191" i="3"/>
  <c r="AY293" i="3"/>
  <c r="AY432" i="3"/>
  <c r="AY280" i="3"/>
  <c r="AY38" i="3"/>
  <c r="AY257" i="3"/>
  <c r="AY25" i="3"/>
  <c r="AY424" i="3"/>
  <c r="AY359" i="3"/>
  <c r="AY321" i="3"/>
  <c r="AY378" i="3"/>
  <c r="AY493" i="3"/>
  <c r="AY431" i="3"/>
  <c r="BD6" i="3"/>
  <c r="AY64" i="3"/>
  <c r="AY34" i="3"/>
  <c r="AY248" i="3"/>
  <c r="AY443" i="3"/>
  <c r="AY176" i="3"/>
  <c r="AY329" i="3"/>
  <c r="AY148" i="3"/>
  <c r="AY318" i="3"/>
  <c r="AY249" i="3"/>
  <c r="AY446" i="3"/>
  <c r="AY22" i="3"/>
  <c r="BQ6" i="3"/>
  <c r="AY221"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530" i="3"/>
  <c r="AY97" i="3"/>
  <c r="AY26" i="3"/>
  <c r="AY179" i="3"/>
  <c r="AY100" i="3"/>
  <c r="AY144" i="3"/>
  <c r="AY106" i="3"/>
  <c r="AY291" i="3"/>
  <c r="AY317" i="3"/>
  <c r="AY397" i="3"/>
  <c r="AY149" i="3"/>
  <c r="AY214" i="3"/>
  <c r="AY560" i="3"/>
  <c r="AY141" i="3"/>
  <c r="AY294" i="3"/>
  <c r="AY315" i="3"/>
  <c r="AY168" i="3"/>
  <c r="AY346" i="3"/>
  <c r="AY155" i="3"/>
  <c r="AY450" i="3"/>
  <c r="AY279" i="3"/>
  <c r="AY405" i="3"/>
  <c r="AY442" i="3"/>
  <c r="AY543" i="3"/>
  <c r="AY35" i="3"/>
  <c r="AY525" i="3"/>
  <c r="AY204" i="3"/>
  <c r="AY275" i="3"/>
  <c r="AY414" i="3"/>
  <c r="AY271" i="3"/>
  <c r="AY172" i="3"/>
  <c r="AY337" i="3"/>
  <c r="AY120" i="3"/>
  <c r="AY394" i="3"/>
  <c r="AY76" i="3"/>
  <c r="AY14" i="3"/>
  <c r="AY544" i="3"/>
  <c r="AY86" i="3"/>
  <c r="BN6" i="3"/>
  <c r="AY494" i="3"/>
  <c r="AY42" i="3"/>
  <c r="AY145" i="3"/>
  <c r="AY290" i="3"/>
  <c r="AY392" i="3"/>
  <c r="AY233" i="3"/>
  <c r="AY569" i="3"/>
  <c r="AY288" i="3"/>
  <c r="AY520" i="3"/>
  <c r="AY283" i="3"/>
  <c r="AY162" i="3"/>
  <c r="AY184" i="3"/>
  <c r="AY39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198" i="3"/>
  <c r="AY118" i="3"/>
  <c r="AY181" i="3"/>
  <c r="AY310" i="3"/>
  <c r="AY295" i="3"/>
  <c r="AY336" i="3"/>
  <c r="AY92" i="3"/>
  <c r="AY183" i="3"/>
  <c r="AY156" i="3"/>
  <c r="AY273" i="3"/>
  <c r="AY309" i="3"/>
  <c r="AY206" i="3"/>
  <c r="AY211" i="3"/>
  <c r="AY137" i="3"/>
  <c r="BP6" i="3"/>
  <c r="AY480" i="3"/>
  <c r="AY358" i="3"/>
  <c r="AY223" i="3"/>
  <c r="AY404" i="3"/>
  <c r="AY567" i="3"/>
  <c r="AY534" i="3"/>
  <c r="AY478" i="3"/>
  <c r="AY434" i="3"/>
  <c r="AY93" i="3"/>
  <c r="AY334" i="3"/>
  <c r="AY270" i="3"/>
  <c r="AY571" i="3"/>
  <c r="AY554" i="3"/>
  <c r="AY532" i="3"/>
  <c r="AY212" i="3"/>
  <c r="AY251" i="3"/>
  <c r="AY353" i="3"/>
  <c r="AY284" i="3"/>
  <c r="AY419" i="3"/>
  <c r="AY426" i="3"/>
  <c r="AY301" i="3"/>
  <c r="AY496" i="3"/>
  <c r="AY482" i="3"/>
  <c r="AY491" i="3"/>
  <c r="AY77" i="3"/>
  <c r="AY232" i="3"/>
  <c r="AY379" i="3"/>
  <c r="AY459" i="3"/>
  <c r="AY101" i="3"/>
  <c r="AY572" i="3"/>
  <c r="AY386" i="3"/>
  <c r="AY558" i="3"/>
  <c r="AY437" i="3"/>
  <c r="AY526" i="3"/>
  <c r="AY96" i="3"/>
  <c r="BA6" i="3"/>
  <c r="AY406" i="3"/>
  <c r="AY485" i="3"/>
  <c r="AY399" i="3"/>
  <c r="AY174" i="3"/>
  <c r="AY328" i="3"/>
  <c r="AY71" i="3"/>
  <c r="AY235" i="3"/>
  <c r="AY401" i="3"/>
  <c r="AY267" i="3"/>
  <c r="AY545" i="3"/>
  <c r="AY433" i="3"/>
  <c r="AY455" i="3"/>
  <c r="AY502" i="3"/>
  <c r="AY298" i="3"/>
  <c r="AY514" i="3"/>
  <c r="AY499" i="3"/>
  <c r="AY507" i="3"/>
  <c r="AY215" i="3"/>
  <c r="AY23" i="3"/>
  <c r="AY173" i="3"/>
  <c r="AY522" i="3"/>
  <c r="AY33" i="3"/>
  <c r="AY551" i="3"/>
  <c r="AY167" i="3"/>
  <c r="AY180" i="3"/>
  <c r="AY292" i="3"/>
  <c r="AY126" i="3"/>
  <c r="AY44" i="3"/>
  <c r="AY351" i="3"/>
  <c r="AY495" i="3"/>
  <c r="AY547" i="3"/>
  <c r="AY403" i="3"/>
  <c r="AY48" i="3"/>
  <c r="AY59" i="3"/>
  <c r="AY541" i="3"/>
  <c r="AY452" i="3"/>
  <c r="AY549" i="3"/>
  <c r="AY53" i="3"/>
  <c r="AY361" i="3"/>
  <c r="AY463" i="3"/>
  <c r="AY269" i="3"/>
  <c r="AY307" i="3"/>
  <c r="AY99" i="3"/>
  <c r="AY28" i="3"/>
  <c r="AY254" i="3"/>
  <c r="BH6" i="3"/>
  <c r="AY160" i="3"/>
  <c r="AY219" i="3"/>
  <c r="AY561" i="3"/>
  <c r="AY360" i="3"/>
  <c r="AY565" i="3"/>
  <c r="AY553" i="3"/>
  <c r="AY90" i="3"/>
  <c r="AY344" i="3"/>
  <c r="AY190" i="3"/>
  <c r="AY327" i="3"/>
  <c r="AY538" i="3"/>
  <c r="AY557" i="3"/>
  <c r="AY418" i="3"/>
  <c r="AY289" i="3"/>
  <c r="AY130" i="3"/>
  <c r="AY331" i="3"/>
  <c r="AY487" i="3"/>
  <c r="AY509" i="3"/>
  <c r="AY539" i="3"/>
  <c r="AY564" i="3"/>
  <c r="BB6" i="3"/>
  <c r="AY296" i="3"/>
  <c r="AY338" i="3"/>
  <c r="AY79" i="3"/>
  <c r="AY243" i="3"/>
  <c r="AY373" i="3"/>
  <c r="AY466" i="3"/>
  <c r="AY474" i="3"/>
  <c r="AY441" i="3"/>
  <c r="AY67" i="3"/>
  <c r="AY422" i="3"/>
  <c r="AY116" i="3"/>
  <c r="AY464" i="3"/>
  <c r="AY412" i="3"/>
  <c r="AY13" i="3"/>
  <c r="AY304" i="3"/>
  <c r="AY197" i="3"/>
  <c r="AY27" i="3"/>
  <c r="AY158" i="3"/>
  <c r="AY225" i="3"/>
  <c r="AY531" i="3"/>
  <c r="AY244" i="3"/>
  <c r="AY199" i="3"/>
  <c r="AY63" i="3"/>
  <c r="AY440" i="3"/>
  <c r="AY195" i="3"/>
  <c r="AY363" i="3"/>
  <c r="AY339" i="3"/>
  <c r="AY213" i="3"/>
  <c r="AY110" i="3"/>
  <c r="AY454" i="3"/>
  <c r="AY391" i="3"/>
  <c r="AY61" i="3"/>
  <c r="AY237" i="3"/>
  <c r="AY306" i="3"/>
  <c r="AY473" i="3"/>
  <c r="AY439" i="3"/>
  <c r="AY477" i="3"/>
  <c r="G52" i="21"/>
  <c r="H52" i="21" s="1"/>
  <c r="F70" i="39"/>
  <c r="E72" i="39"/>
  <c r="R39" i="35"/>
  <c r="E38" i="35"/>
  <c r="W7" i="35"/>
  <c r="AC7" i="35"/>
  <c r="V38" i="35" s="1"/>
  <c r="I38" i="35" s="1"/>
  <c r="H67" i="40"/>
  <c r="I65" i="40"/>
  <c r="W7" i="21"/>
  <c r="AC7" i="21"/>
  <c r="V48" i="21" s="1"/>
  <c r="I48" i="21" s="1"/>
  <c r="G53" i="21" s="1"/>
  <c r="H53" i="21" s="1"/>
  <c r="G42" i="35"/>
  <c r="H42" i="35" s="1"/>
  <c r="AA7" i="21"/>
  <c r="R48" i="21" s="1"/>
  <c r="S7" i="21"/>
  <c r="G52" i="37"/>
  <c r="Q69" i="44"/>
  <c r="L58" i="44"/>
  <c r="L61" i="44" s="1"/>
  <c r="C27" i="12"/>
  <c r="D26" i="12" s="1"/>
  <c r="C32" i="12" s="1"/>
  <c r="D30" i="12" s="1"/>
  <c r="C23" i="43"/>
  <c r="D21" i="43" s="1"/>
  <c r="J24" i="15"/>
  <c r="J26" i="15"/>
  <c r="J29" i="15" s="1"/>
  <c r="C59" i="15"/>
  <c r="C65" i="15"/>
  <c r="Q49" i="44"/>
  <c r="Q55" i="44" s="1"/>
  <c r="Q67" i="44"/>
  <c r="Q58" i="44"/>
  <c r="AE7" i="1"/>
  <c r="B7" i="67"/>
  <c r="C16" i="69"/>
  <c r="C17" i="69"/>
  <c r="C17" i="15"/>
  <c r="F7" i="67"/>
  <c r="E4" i="67" l="1"/>
  <c r="C27" i="46"/>
  <c r="J26" i="69"/>
  <c r="K27" i="6"/>
  <c r="C9" i="59"/>
  <c r="T10" i="59"/>
  <c r="D10" i="59"/>
  <c r="R37" i="36"/>
  <c r="E36" i="36"/>
  <c r="M27" i="6"/>
  <c r="C7" i="11"/>
  <c r="C10" i="11"/>
  <c r="C65" i="69"/>
  <c r="C59" i="69"/>
  <c r="F33" i="12"/>
  <c r="C34" i="12" s="1"/>
  <c r="D33" i="12" s="1"/>
  <c r="F24" i="43"/>
  <c r="C26" i="43" s="1"/>
  <c r="D24" i="43" s="1"/>
  <c r="F18" i="11"/>
  <c r="C32" i="15"/>
  <c r="C10" i="15"/>
  <c r="C5" i="15" s="1"/>
  <c r="C38" i="15" s="1"/>
  <c r="H12" i="40"/>
  <c r="F12" i="40"/>
  <c r="J12" i="39"/>
  <c r="H12" i="39"/>
  <c r="F12" i="39"/>
  <c r="J12" i="40"/>
  <c r="C32" i="69"/>
  <c r="C10" i="69"/>
  <c r="C5" i="69" s="1"/>
  <c r="C38" i="69" s="1"/>
  <c r="G40" i="36"/>
  <c r="H40" i="36" s="1"/>
  <c r="G41" i="36"/>
  <c r="H41" i="36" s="1"/>
  <c r="O7" i="1"/>
  <c r="O16" i="1" s="1"/>
  <c r="S16" i="1"/>
  <c r="T9" i="1" s="1"/>
  <c r="E6" i="3"/>
  <c r="P14" i="1"/>
  <c r="L16" i="1"/>
  <c r="C13" i="43"/>
  <c r="N16" i="1"/>
  <c r="C29" i="43" s="1"/>
  <c r="I27" i="6"/>
  <c r="S19" i="6"/>
  <c r="S27" i="6" s="1"/>
  <c r="C6" i="66"/>
  <c r="C7" i="66"/>
  <c r="C8" i="66"/>
  <c r="C22" i="4"/>
  <c r="D10" i="6"/>
  <c r="D6" i="6"/>
  <c r="D20" i="6"/>
  <c r="F45" i="9"/>
  <c r="H20" i="6"/>
  <c r="D29" i="6"/>
  <c r="E44" i="9"/>
  <c r="D19" i="6"/>
  <c r="D13" i="6"/>
  <c r="D23" i="6"/>
  <c r="D8" i="6"/>
  <c r="F44" i="9"/>
  <c r="D22" i="6"/>
  <c r="H25" i="6"/>
  <c r="H22" i="6"/>
  <c r="F46" i="9"/>
  <c r="H21" i="6"/>
  <c r="H23" i="6"/>
  <c r="D24" i="6"/>
  <c r="D9" i="6"/>
  <c r="E46" i="9"/>
  <c r="H19" i="6"/>
  <c r="E63" i="40"/>
  <c r="H24" i="6"/>
  <c r="E45" i="9"/>
  <c r="D26" i="6"/>
  <c r="D5" i="6"/>
  <c r="D25" i="6"/>
  <c r="D28" i="6"/>
  <c r="K38" i="9"/>
  <c r="C14" i="66" s="1"/>
  <c r="B2" i="66" s="1"/>
  <c r="D12" i="6"/>
  <c r="H26" i="6"/>
  <c r="D21" i="6"/>
  <c r="R21" i="6" s="1"/>
  <c r="D14" i="6"/>
  <c r="E68" i="39"/>
  <c r="D11" i="6"/>
  <c r="D15" i="6"/>
  <c r="D19" i="12"/>
  <c r="C19" i="12" s="1"/>
  <c r="C16" i="12"/>
  <c r="D13" i="11"/>
  <c r="C13" i="11" s="1"/>
  <c r="D22" i="12"/>
  <c r="C22" i="12" s="1"/>
  <c r="C20" i="12" s="1"/>
  <c r="H52" i="37"/>
  <c r="I42" i="35"/>
  <c r="J42" i="35" s="1"/>
  <c r="I43" i="35"/>
  <c r="J43" i="35" s="1"/>
  <c r="E43" i="35"/>
  <c r="F43" i="35" s="1"/>
  <c r="E42" i="35"/>
  <c r="F42" i="35" s="1"/>
  <c r="I52" i="21"/>
  <c r="J52" i="21" s="1"/>
  <c r="C39" i="35"/>
  <c r="B3" i="35" s="1"/>
  <c r="B2" i="35" s="1"/>
  <c r="C38" i="35"/>
  <c r="E48" i="21"/>
  <c r="I53" i="21" s="1"/>
  <c r="J53" i="21" s="1"/>
  <c r="R49" i="21"/>
  <c r="G43" i="35"/>
  <c r="H43" i="35" s="1"/>
  <c r="J65" i="40"/>
  <c r="I67" i="40"/>
  <c r="G70" i="39"/>
  <c r="F72" i="39"/>
  <c r="B2" i="67"/>
  <c r="D4" i="46"/>
  <c r="B3" i="46"/>
  <c r="B4" i="46"/>
  <c r="Q68" i="44"/>
  <c r="Q77" i="44" s="1"/>
  <c r="Q59" i="44"/>
  <c r="Q64" i="44" s="1"/>
  <c r="F41" i="69"/>
  <c r="E7" i="67"/>
  <c r="C17" i="11" l="1"/>
  <c r="F68" i="69"/>
  <c r="J29" i="69"/>
  <c r="E3" i="67"/>
  <c r="B3" i="67" s="1"/>
  <c r="T11" i="1"/>
  <c r="I41" i="36"/>
  <c r="J41" i="36" s="1"/>
  <c r="E41" i="36"/>
  <c r="F41" i="36" s="1"/>
  <c r="E40" i="36"/>
  <c r="F40" i="36" s="1"/>
  <c r="C36" i="36"/>
  <c r="C37" i="36"/>
  <c r="B3" i="36" s="1"/>
  <c r="B2" i="36" s="1"/>
  <c r="C18" i="11"/>
  <c r="C8" i="59"/>
  <c r="D9" i="59"/>
  <c r="T6" i="1"/>
  <c r="T7" i="1"/>
  <c r="P7" i="1"/>
  <c r="P16" i="1" s="1"/>
  <c r="C13" i="12" s="1"/>
  <c r="W12" i="40"/>
  <c r="AC12" i="40"/>
  <c r="AA12" i="40"/>
  <c r="S12" i="40"/>
  <c r="T10" i="1"/>
  <c r="AA12" i="39"/>
  <c r="S12" i="39"/>
  <c r="AB12" i="40"/>
  <c r="U12" i="40"/>
  <c r="AB12" i="39"/>
  <c r="U12" i="39"/>
  <c r="AC12" i="39"/>
  <c r="W12" i="39"/>
  <c r="T13" i="1"/>
  <c r="H27" i="6"/>
  <c r="T12" i="1"/>
  <c r="T8" i="1"/>
  <c r="D30" i="6"/>
  <c r="D16" i="6"/>
  <c r="R25" i="6"/>
  <c r="R22" i="6"/>
  <c r="C17" i="43"/>
  <c r="C14" i="43"/>
  <c r="D27" i="6"/>
  <c r="R19" i="6"/>
  <c r="A6" i="51"/>
  <c r="B7" i="63" s="1"/>
  <c r="N5" i="54"/>
  <c r="B43" i="63" s="1"/>
  <c r="A20" i="51"/>
  <c r="B15" i="63" s="1"/>
  <c r="A20" i="64"/>
  <c r="A6" i="64"/>
  <c r="R23" i="6"/>
  <c r="D6" i="66"/>
  <c r="D8" i="66"/>
  <c r="D7" i="66"/>
  <c r="R26" i="6"/>
  <c r="R24" i="6"/>
  <c r="R20" i="6"/>
  <c r="R7" i="1" s="1"/>
  <c r="E53" i="21"/>
  <c r="F53" i="21" s="1"/>
  <c r="E52" i="21"/>
  <c r="F52" i="21" s="1"/>
  <c r="I52" i="37"/>
  <c r="J52" i="37" s="1"/>
  <c r="K52" i="37" s="1"/>
  <c r="L52" i="37" s="1"/>
  <c r="M52" i="37" s="1"/>
  <c r="N52" i="37" s="1"/>
  <c r="O52" i="37" s="1"/>
  <c r="F7" i="37" s="1"/>
  <c r="H7" i="37"/>
  <c r="H70" i="39"/>
  <c r="G72" i="39"/>
  <c r="K65" i="40"/>
  <c r="J67" i="40"/>
  <c r="C48" i="21"/>
  <c r="C49" i="21"/>
  <c r="B3" i="21" s="1"/>
  <c r="B2" i="21" s="1"/>
  <c r="B4" i="67"/>
  <c r="M21" i="69"/>
  <c r="F35" i="69"/>
  <c r="C14" i="69"/>
  <c r="C14" i="15"/>
  <c r="C16" i="44"/>
  <c r="C19" i="11" l="1"/>
  <c r="C20" i="11" s="1"/>
  <c r="C21" i="11" s="1"/>
  <c r="C22" i="11" s="1"/>
  <c r="C23" i="11" s="1"/>
  <c r="B2" i="11" s="1"/>
  <c r="B5" i="11" s="1"/>
  <c r="C7" i="59"/>
  <c r="D8" i="59"/>
  <c r="D31" i="6"/>
  <c r="I6" i="6" s="1"/>
  <c r="J20" i="69"/>
  <c r="C34" i="69"/>
  <c r="F62" i="69"/>
  <c r="C61" i="69" s="1"/>
  <c r="C14" i="12"/>
  <c r="C17" i="12"/>
  <c r="T16" i="1"/>
  <c r="C18" i="15"/>
  <c r="C15" i="15"/>
  <c r="C17" i="44"/>
  <c r="C20" i="44"/>
  <c r="C18" i="69"/>
  <c r="C15" i="69"/>
  <c r="R27" i="6"/>
  <c r="R6" i="1"/>
  <c r="C18" i="43"/>
  <c r="C19" i="43" s="1"/>
  <c r="C25" i="43" s="1"/>
  <c r="C24" i="43" s="1"/>
  <c r="I5" i="6"/>
  <c r="S7" i="37"/>
  <c r="AA7" i="37"/>
  <c r="R42" i="37" s="1"/>
  <c r="J7" i="37"/>
  <c r="K67" i="40"/>
  <c r="L65" i="40"/>
  <c r="U7" i="37"/>
  <c r="AB7" i="37"/>
  <c r="T42" i="37" s="1"/>
  <c r="G42" i="37" s="1"/>
  <c r="I70" i="39"/>
  <c r="H72" i="39"/>
  <c r="C19" i="9"/>
  <c r="F35" i="15"/>
  <c r="M21" i="15"/>
  <c r="B4" i="11" l="1"/>
  <c r="L43" i="9"/>
  <c r="B3" i="11"/>
  <c r="C6" i="59"/>
  <c r="D7" i="59"/>
  <c r="C34" i="15"/>
  <c r="F62" i="15"/>
  <c r="C61" i="15" s="1"/>
  <c r="J20" i="15"/>
  <c r="R16" i="1"/>
  <c r="C18" i="12"/>
  <c r="C23" i="12" s="1"/>
  <c r="C21" i="44"/>
  <c r="C22" i="44" s="1"/>
  <c r="C28" i="44" s="1"/>
  <c r="C19" i="69"/>
  <c r="C19" i="15"/>
  <c r="C22" i="43"/>
  <c r="C21" i="43" s="1"/>
  <c r="C28" i="43" s="1"/>
  <c r="C30" i="43" s="1"/>
  <c r="C32" i="43" s="1"/>
  <c r="B2" i="43" s="1"/>
  <c r="G46" i="37"/>
  <c r="H46" i="37" s="1"/>
  <c r="AC7" i="37"/>
  <c r="V42" i="37" s="1"/>
  <c r="I42" i="37" s="1"/>
  <c r="G47" i="37" s="1"/>
  <c r="H47" i="37" s="1"/>
  <c r="W7" i="37"/>
  <c r="M65" i="40"/>
  <c r="L67" i="40"/>
  <c r="R43" i="37"/>
  <c r="E42" i="37"/>
  <c r="J70" i="39"/>
  <c r="I72" i="39"/>
  <c r="C21" i="9"/>
  <c r="C20" i="9"/>
  <c r="I11" i="68" l="1"/>
  <c r="C5" i="59"/>
  <c r="T6" i="59"/>
  <c r="D6" i="59"/>
  <c r="C25" i="44"/>
  <c r="C31" i="44" s="1"/>
  <c r="J16" i="44" s="1"/>
  <c r="C20" i="69"/>
  <c r="C26" i="69" s="1"/>
  <c r="C20" i="15"/>
  <c r="C26" i="15" s="1"/>
  <c r="B3" i="43"/>
  <c r="B5" i="43"/>
  <c r="B4" i="43"/>
  <c r="C42" i="37"/>
  <c r="C43" i="37"/>
  <c r="B3" i="37" s="1"/>
  <c r="B2" i="37" s="1"/>
  <c r="K70" i="39"/>
  <c r="J72" i="39"/>
  <c r="M67" i="40"/>
  <c r="N65" i="40"/>
  <c r="N67" i="40" s="1"/>
  <c r="I46" i="37"/>
  <c r="J46" i="37" s="1"/>
  <c r="I47" i="37"/>
  <c r="J47" i="37" s="1"/>
  <c r="E47" i="37"/>
  <c r="F47" i="37" s="1"/>
  <c r="E46" i="37"/>
  <c r="F46" i="37" s="1"/>
  <c r="D5" i="59" l="1"/>
  <c r="M20" i="46"/>
  <c r="C35" i="44"/>
  <c r="C33" i="44" s="1"/>
  <c r="Q51" i="44"/>
  <c r="J24" i="44"/>
  <c r="J15" i="44"/>
  <c r="J25" i="44" s="1"/>
  <c r="C15" i="44"/>
  <c r="J21" i="44"/>
  <c r="J19" i="44" s="1"/>
  <c r="C38" i="44"/>
  <c r="C23" i="15"/>
  <c r="C29" i="15" s="1"/>
  <c r="C36" i="15" s="1"/>
  <c r="C23" i="69"/>
  <c r="C29" i="69" s="1"/>
  <c r="J9" i="40"/>
  <c r="F9" i="40"/>
  <c r="H9" i="40"/>
  <c r="K72" i="39"/>
  <c r="L70" i="39"/>
  <c r="J19" i="15" l="1"/>
  <c r="J17" i="15" s="1"/>
  <c r="J18" i="44"/>
  <c r="J27" i="44" s="1"/>
  <c r="Q50" i="15"/>
  <c r="C43" i="44"/>
  <c r="Q72" i="44"/>
  <c r="C39" i="44"/>
  <c r="C32" i="44" s="1"/>
  <c r="C42" i="44" s="1"/>
  <c r="C13" i="15"/>
  <c r="Q71" i="15" s="1"/>
  <c r="C56" i="15"/>
  <c r="C60" i="15" s="1"/>
  <c r="C58" i="15" s="1"/>
  <c r="C33" i="15"/>
  <c r="C31" i="15" s="1"/>
  <c r="J59" i="15"/>
  <c r="J60" i="15" s="1"/>
  <c r="J14" i="15"/>
  <c r="J13" i="15" s="1"/>
  <c r="J23" i="15" s="1"/>
  <c r="J19" i="69"/>
  <c r="J17" i="69" s="1"/>
  <c r="C56" i="69"/>
  <c r="C33" i="69"/>
  <c r="C31" i="69" s="1"/>
  <c r="Q50" i="69"/>
  <c r="C36" i="69"/>
  <c r="J14" i="69"/>
  <c r="J59" i="69"/>
  <c r="J60" i="69" s="1"/>
  <c r="C13" i="69"/>
  <c r="L72" i="39"/>
  <c r="M70" i="39"/>
  <c r="AB9" i="40"/>
  <c r="T44" i="40" s="1"/>
  <c r="G44" i="40" s="1"/>
  <c r="U9" i="40"/>
  <c r="S9" i="40"/>
  <c r="AA9" i="40"/>
  <c r="R44" i="40" s="1"/>
  <c r="AC9" i="40"/>
  <c r="V44" i="40" s="1"/>
  <c r="I44" i="40" s="1"/>
  <c r="W9" i="40"/>
  <c r="C63" i="15" l="1"/>
  <c r="J22" i="15"/>
  <c r="J16" i="15" s="1"/>
  <c r="J25" i="15" s="1"/>
  <c r="C37" i="15"/>
  <c r="C30" i="15" s="1"/>
  <c r="C39" i="15" s="1"/>
  <c r="C40" i="15" s="1"/>
  <c r="J35" i="15"/>
  <c r="Q49" i="15"/>
  <c r="C55" i="15"/>
  <c r="C64" i="15" s="1"/>
  <c r="Q71" i="44"/>
  <c r="Q70" i="44" s="1"/>
  <c r="C44" i="44"/>
  <c r="C45" i="44" s="1"/>
  <c r="B2" i="44" s="1"/>
  <c r="Q49" i="69"/>
  <c r="J22" i="69"/>
  <c r="J13" i="69"/>
  <c r="J23" i="69" s="1"/>
  <c r="C63" i="69"/>
  <c r="C60" i="69"/>
  <c r="C58" i="69" s="1"/>
  <c r="J35" i="69"/>
  <c r="C37" i="69"/>
  <c r="C30" i="69" s="1"/>
  <c r="C39" i="69" s="1"/>
  <c r="Q71" i="69"/>
  <c r="C55" i="69"/>
  <c r="C64" i="69" s="1"/>
  <c r="I48" i="40"/>
  <c r="J48" i="40" s="1"/>
  <c r="G48" i="40"/>
  <c r="H48" i="40" s="1"/>
  <c r="G49" i="40"/>
  <c r="H49" i="40" s="1"/>
  <c r="R45" i="40"/>
  <c r="E44" i="40"/>
  <c r="N70" i="39"/>
  <c r="N72" i="39" s="1"/>
  <c r="M72" i="39"/>
  <c r="L51" i="69"/>
  <c r="C57" i="15" l="1"/>
  <c r="C66" i="15" s="1"/>
  <c r="C67" i="15" s="1"/>
  <c r="C70" i="15" s="1"/>
  <c r="Q70" i="15"/>
  <c r="Q69" i="15" s="1"/>
  <c r="J39" i="15"/>
  <c r="J40" i="15" s="1"/>
  <c r="L57" i="15"/>
  <c r="L60" i="15" s="1"/>
  <c r="B3" i="44"/>
  <c r="B4" i="44"/>
  <c r="B5" i="44"/>
  <c r="Q68" i="69"/>
  <c r="L57" i="69"/>
  <c r="L60" i="69" s="1"/>
  <c r="L46" i="69" s="1"/>
  <c r="J16" i="69"/>
  <c r="J25" i="69" s="1"/>
  <c r="C57" i="69"/>
  <c r="C66" i="69" s="1"/>
  <c r="C67" i="69" s="1"/>
  <c r="J39" i="69"/>
  <c r="J40" i="69" s="1"/>
  <c r="C40" i="69"/>
  <c r="Q70" i="69"/>
  <c r="Q69" i="69" s="1"/>
  <c r="Q66" i="15"/>
  <c r="Q57" i="15"/>
  <c r="Q48" i="15"/>
  <c r="Q54" i="15" s="1"/>
  <c r="C43" i="15"/>
  <c r="J42" i="15"/>
  <c r="J43" i="15" s="1"/>
  <c r="H9" i="39"/>
  <c r="F9" i="39"/>
  <c r="J9" i="39"/>
  <c r="E49" i="40"/>
  <c r="F49" i="40" s="1"/>
  <c r="E48" i="40"/>
  <c r="F48" i="40" s="1"/>
  <c r="I49" i="40"/>
  <c r="J49" i="40" s="1"/>
  <c r="C45" i="40"/>
  <c r="C44" i="40"/>
  <c r="L51" i="15"/>
  <c r="C46" i="15" l="1"/>
  <c r="Q68" i="15"/>
  <c r="Q58" i="15"/>
  <c r="Q63" i="15" s="1"/>
  <c r="L46" i="15"/>
  <c r="B2" i="15" s="1"/>
  <c r="B3" i="15" s="1"/>
  <c r="C8" i="12" s="1"/>
  <c r="Q67" i="15"/>
  <c r="Q76" i="15" s="1"/>
  <c r="C43" i="69"/>
  <c r="J42" i="69"/>
  <c r="J43" i="69" s="1"/>
  <c r="Q66" i="69"/>
  <c r="Q48" i="69"/>
  <c r="Q54" i="69" s="1"/>
  <c r="Q57" i="69"/>
  <c r="B2" i="69"/>
  <c r="B3" i="69" s="1"/>
  <c r="D8" i="12" s="1"/>
  <c r="D10" i="12" s="1"/>
  <c r="Q58" i="69"/>
  <c r="Q67" i="69"/>
  <c r="C70" i="69"/>
  <c r="C46" i="69"/>
  <c r="B53" i="40"/>
  <c r="F53" i="40" s="1"/>
  <c r="B54" i="40"/>
  <c r="F54" i="40" s="1"/>
  <c r="B61" i="40"/>
  <c r="F61" i="40" s="1"/>
  <c r="B55" i="40"/>
  <c r="F55" i="40" s="1"/>
  <c r="B60" i="40"/>
  <c r="F60" i="40" s="1"/>
  <c r="B57" i="40"/>
  <c r="F57" i="40" s="1"/>
  <c r="B62" i="40"/>
  <c r="F62" i="40" s="1"/>
  <c r="B58" i="40"/>
  <c r="F58" i="40" s="1"/>
  <c r="B56" i="40"/>
  <c r="F56" i="40" s="1"/>
  <c r="F63" i="40"/>
  <c r="B2" i="40" s="1"/>
  <c r="B59" i="40"/>
  <c r="F59" i="40" s="1"/>
  <c r="W9" i="39"/>
  <c r="AC9" i="39"/>
  <c r="V49" i="39" s="1"/>
  <c r="I49" i="39" s="1"/>
  <c r="S9" i="39"/>
  <c r="AA9" i="39"/>
  <c r="R49" i="39" s="1"/>
  <c r="U9" i="39"/>
  <c r="AB9" i="39"/>
  <c r="T49" i="39" s="1"/>
  <c r="G49" i="39" s="1"/>
  <c r="C10" i="12" l="1"/>
  <c r="C6" i="12" s="1"/>
  <c r="C24" i="12" s="1"/>
  <c r="Q63" i="69"/>
  <c r="Q76" i="69"/>
  <c r="R50" i="39"/>
  <c r="E49" i="39"/>
  <c r="I54" i="39" s="1"/>
  <c r="J54" i="39" s="1"/>
  <c r="B5" i="40"/>
  <c r="B3" i="40"/>
  <c r="B4" i="40"/>
  <c r="G53" i="39"/>
  <c r="H53" i="39" s="1"/>
  <c r="G54" i="39"/>
  <c r="H54" i="39" s="1"/>
  <c r="I53" i="39"/>
  <c r="J53" i="39" s="1"/>
  <c r="C29" i="12" l="1"/>
  <c r="C35" i="12"/>
  <c r="C33" i="12" s="1"/>
  <c r="C28" i="12"/>
  <c r="C26" i="12" s="1"/>
  <c r="E54" i="39"/>
  <c r="F54" i="39" s="1"/>
  <c r="E53" i="39"/>
  <c r="F53" i="39" s="1"/>
  <c r="C49" i="39"/>
  <c r="C50" i="39"/>
  <c r="C31" i="12" l="1"/>
  <c r="C30" i="12" s="1"/>
  <c r="C36" i="12" s="1"/>
  <c r="B2" i="12" s="1"/>
  <c r="B62" i="39"/>
  <c r="F62" i="39" s="1"/>
  <c r="B65" i="39"/>
  <c r="F65" i="39" s="1"/>
  <c r="B67" i="39"/>
  <c r="F67" i="39" s="1"/>
  <c r="B58" i="39"/>
  <c r="F58" i="39" s="1"/>
  <c r="B64" i="39"/>
  <c r="F64" i="39" s="1"/>
  <c r="B60" i="39"/>
  <c r="F60" i="39" s="1"/>
  <c r="B59" i="39"/>
  <c r="F59" i="39" s="1"/>
  <c r="B66" i="39"/>
  <c r="F66" i="39" s="1"/>
  <c r="B61" i="39"/>
  <c r="F61" i="39" s="1"/>
  <c r="F68" i="39"/>
  <c r="B2" i="39" s="1"/>
  <c r="B63" i="39"/>
  <c r="F63" i="39" s="1"/>
  <c r="D19" i="9"/>
  <c r="G19" i="9" l="1"/>
  <c r="L44" i="9"/>
  <c r="D22" i="9"/>
  <c r="B3" i="12"/>
  <c r="B4" i="12"/>
  <c r="B5" i="12"/>
  <c r="B3" i="39"/>
  <c r="B4" i="39"/>
  <c r="B5" i="39"/>
  <c r="D21" i="9"/>
  <c r="D20" i="9"/>
  <c r="G11" i="68" l="1"/>
  <c r="K11" i="68" s="1"/>
  <c r="L11" i="68" s="1"/>
  <c r="M11" i="68" s="1"/>
  <c r="G21" i="9"/>
  <c r="G20" i="9"/>
  <c r="G22" i="9"/>
  <c r="N43" i="9"/>
  <c r="C32" i="9"/>
  <c r="C35" i="9" l="1"/>
  <c r="F42" i="9" s="1"/>
  <c r="C33" i="9"/>
  <c r="C42" i="9"/>
  <c r="O43" i="9"/>
  <c r="C34" i="9"/>
  <c r="O38" i="9"/>
  <c r="K26" i="9" l="1"/>
  <c r="K25" i="9"/>
  <c r="M38" i="9"/>
  <c r="K27" i="9" s="1"/>
  <c r="E42" i="9"/>
  <c r="P5" i="54" s="1"/>
  <c r="B46" i="63" s="1"/>
  <c r="R5" i="54"/>
  <c r="B48" i="63" s="1"/>
  <c r="D14" i="66"/>
  <c r="D63" i="9"/>
  <c r="N68" i="9"/>
  <c r="D42" i="9"/>
  <c r="Q5" i="54" s="1"/>
  <c r="B47" i="63" s="1"/>
  <c r="N38" i="9"/>
  <c r="K28" i="9" s="1"/>
  <c r="D70" i="9" l="1"/>
  <c r="C111" i="9"/>
  <c r="C104" i="9" s="1"/>
  <c r="C103" i="9"/>
  <c r="C96" i="9"/>
  <c r="C91" i="9" s="1"/>
  <c r="D71" i="9"/>
  <c r="D66" i="9" s="1"/>
  <c r="N72" i="9" s="1"/>
  <c r="D77" i="9"/>
  <c r="N75" i="9" s="1"/>
  <c r="C90" i="9"/>
  <c r="C82" i="9"/>
  <c r="C81" i="9" s="1"/>
  <c r="C85" i="9" s="1"/>
  <c r="C86" i="9" s="1"/>
  <c r="D72" i="9" s="1"/>
  <c r="F14" i="66"/>
  <c r="E14" i="66"/>
  <c r="B5" i="66"/>
  <c r="C113" i="9" l="1"/>
  <c r="C115" i="9" s="1"/>
  <c r="D76" i="9" s="1"/>
  <c r="D74" i="9" s="1"/>
  <c r="N74" i="9" s="1"/>
  <c r="O77" i="9" s="1"/>
  <c r="D5" i="66"/>
  <c r="C5" i="66"/>
  <c r="C97" i="9"/>
  <c r="C114" i="9" l="1"/>
  <c r="E114" i="9" s="1"/>
  <c r="E115" i="9" s="1"/>
  <c r="O78" i="9"/>
  <c r="O79" i="9"/>
  <c r="Q77" i="9"/>
  <c r="C98" i="9"/>
  <c r="E98" i="9" s="1"/>
  <c r="E99" i="9" s="1"/>
  <c r="C9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<sst xmlns="http://schemas.openxmlformats.org/spreadsheetml/2006/main" count="7738" uniqueCount="3338">
  <si>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</si>
  <si>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</si>
  <si>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</si>
  <si>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</si>
  <si>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</si>
  <si>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</si>
  <si>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t>
    <phoneticPr fontId="17" type="noConversion"/>
  </si>
  <si>
    <t>3</t>
    <phoneticPr fontId="6" type="noConversion"/>
  </si>
  <si>
    <t>100/</t>
    <phoneticPr fontId="6" type="noConversion"/>
  </si>
  <si>
    <t>——</t>
    <phoneticPr fontId="6" type="noConversion"/>
  </si>
  <si>
    <t>100/</t>
    <phoneticPr fontId="6" type="noConversion"/>
  </si>
  <si>
    <t>100/</t>
    <phoneticPr fontId="6" type="noConversion"/>
  </si>
  <si>
    <t>——</t>
    <phoneticPr fontId="17" type="noConversion"/>
  </si>
  <si>
    <t>100/</t>
    <phoneticPr fontId="6" type="noConversion"/>
  </si>
  <si>
    <t>-</t>
    <phoneticPr fontId="29" type="noConversion"/>
  </si>
  <si>
    <t>-</t>
    <phoneticPr fontId="29" type="noConversion"/>
  </si>
  <si>
    <t>-</t>
    <phoneticPr fontId="29" type="noConversion"/>
  </si>
  <si>
    <t>-</t>
    <phoneticPr fontId="29" type="noConversion"/>
  </si>
  <si>
    <t>——</t>
    <phoneticPr fontId="36" type="noConversion"/>
  </si>
  <si>
    <t>——</t>
    <phoneticPr fontId="24"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</si>
  <si>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</si>
  <si>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</si>
  <si>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</si>
  <si>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</si>
  <si>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</si>
  <si>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</si>
  <si>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</si>
  <si>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</si>
  <si>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</si>
  <si>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</si>
  <si>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</si>
  <si>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</si>
  <si>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</si>
  <si>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</si>
  <si>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</si>
  <si>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0" type="noConversion"/>
  </si>
  <si>
    <t>地下公共配套设施</t>
    <phoneticPr fontId="40" type="noConversion"/>
  </si>
  <si>
    <t>地上物业管理用房</t>
    <phoneticPr fontId="40" type="noConversion"/>
  </si>
  <si>
    <t>地下设备及其他</t>
    <phoneticPr fontId="40" type="noConversion"/>
  </si>
  <si>
    <t>分摊土地面积</t>
    <phoneticPr fontId="40" type="noConversion"/>
  </si>
  <si>
    <t>建筑面积</t>
    <phoneticPr fontId="40" type="noConversion"/>
  </si>
  <si>
    <t>面积合计</t>
    <phoneticPr fontId="40" type="noConversion"/>
  </si>
  <si>
    <t>——</t>
    <phoneticPr fontId="12" type="noConversion"/>
  </si>
  <si>
    <t>——</t>
    <phoneticPr fontId="12" type="noConversion"/>
  </si>
  <si>
    <r>
      <rPr>
        <b/>
        <sz val="12"/>
        <color indexed="8"/>
        <rFont val="仿宋_GB2312"/>
        <family val="3"/>
        <charset val="134"/>
      </rPr>
      <t>下拉菜单</t>
    </r>
  </si>
  <si>
    <r>
      <rPr>
        <sz val="11"/>
        <color indexed="8"/>
        <rFont val="仿宋_GB2312"/>
        <family val="3"/>
        <charset val="134"/>
      </rPr>
      <t>黄色底纹单元格</t>
    </r>
    <phoneticPr fontId="32" type="noConversion"/>
  </si>
  <si>
    <r>
      <rPr>
        <b/>
        <sz val="12"/>
        <color indexed="8"/>
        <rFont val="仿宋_GB2312"/>
        <family val="3"/>
        <charset val="134"/>
      </rPr>
      <t>不可更改项</t>
    </r>
    <phoneticPr fontId="6" type="noConversion"/>
  </si>
  <si>
    <r>
      <rPr>
        <sz val="11"/>
        <color indexed="8"/>
        <rFont val="仿宋_GB2312"/>
        <family val="3"/>
        <charset val="134"/>
      </rPr>
      <t>灰色底纹单元格</t>
    </r>
    <phoneticPr fontId="32" type="noConversion"/>
  </si>
  <si>
    <r>
      <rPr>
        <b/>
        <sz val="12"/>
        <color indexed="13"/>
        <rFont val="仿宋_GB2312"/>
        <family val="3"/>
        <charset val="134"/>
      </rPr>
      <t>错误提示</t>
    </r>
    <phoneticPr fontId="32" type="noConversion"/>
  </si>
  <si>
    <r>
      <rPr>
        <sz val="11"/>
        <color indexed="8"/>
        <rFont val="仿宋_GB2312"/>
        <family val="3"/>
        <charset val="134"/>
      </rPr>
      <t>红色底纹黄色字体</t>
    </r>
    <phoneticPr fontId="32" type="noConversion"/>
  </si>
  <si>
    <r>
      <rPr>
        <b/>
        <sz val="12"/>
        <color indexed="10"/>
        <rFont val="仿宋_GB2312"/>
        <family val="3"/>
        <charset val="134"/>
      </rPr>
      <t>特别提示</t>
    </r>
    <phoneticPr fontId="32" type="noConversion"/>
  </si>
  <si>
    <r>
      <rPr>
        <b/>
        <sz val="12"/>
        <color indexed="8"/>
        <rFont val="仿宋_GB2312"/>
        <family val="3"/>
        <charset val="134"/>
      </rPr>
      <t>关注批注角标</t>
    </r>
    <phoneticPr fontId="32" type="noConversion"/>
  </si>
  <si>
    <r>
      <rPr>
        <sz val="11"/>
        <color indexed="8"/>
        <rFont val="仿宋_GB2312"/>
        <family val="3"/>
        <charset val="134"/>
      </rPr>
      <t>基础表</t>
    </r>
    <phoneticPr fontId="6" type="noConversion"/>
  </si>
  <si>
    <r>
      <rPr>
        <sz val="11"/>
        <color indexed="8"/>
        <rFont val="仿宋_GB2312"/>
        <family val="3"/>
        <charset val="134"/>
      </rPr>
      <t>数据表</t>
    </r>
    <phoneticPr fontId="6" type="noConversion"/>
  </si>
  <si>
    <r>
      <rPr>
        <sz val="11"/>
        <color indexed="8"/>
        <rFont val="仿宋_GB2312"/>
        <family val="3"/>
        <charset val="134"/>
      </rPr>
      <t>汇总表</t>
    </r>
    <phoneticPr fontId="6" type="noConversion"/>
  </si>
  <si>
    <r>
      <rPr>
        <sz val="11"/>
        <color indexed="8"/>
        <rFont val="仿宋_GB2312"/>
        <family val="3"/>
        <charset val="134"/>
      </rPr>
      <t>取费表</t>
    </r>
    <phoneticPr fontId="6" type="noConversion"/>
  </si>
  <si>
    <r>
      <rPr>
        <sz val="11"/>
        <color indexed="8"/>
        <rFont val="仿宋_GB2312"/>
        <family val="3"/>
        <charset val="134"/>
      </rPr>
      <t>房地状况</t>
    </r>
    <phoneticPr fontId="6" type="noConversion"/>
  </si>
  <si>
    <r>
      <rPr>
        <sz val="11"/>
        <color indexed="8"/>
        <rFont val="仿宋_GB2312"/>
        <family val="3"/>
        <charset val="134"/>
      </rPr>
      <t>结果表</t>
    </r>
    <phoneticPr fontId="6" type="noConversion"/>
  </si>
  <si>
    <r>
      <rPr>
        <sz val="11"/>
        <color indexed="8"/>
        <rFont val="仿宋_GB2312"/>
        <family val="3"/>
        <charset val="134"/>
      </rPr>
      <t>方法</t>
    </r>
    <phoneticPr fontId="6" type="noConversion"/>
  </si>
  <si>
    <r>
      <rPr>
        <sz val="11"/>
        <color indexed="8"/>
        <rFont val="仿宋_GB2312"/>
        <family val="3"/>
        <charset val="134"/>
      </rPr>
      <t>成本</t>
    </r>
    <phoneticPr fontId="6" type="noConversion"/>
  </si>
  <si>
    <r>
      <rPr>
        <sz val="11"/>
        <color indexed="8"/>
        <rFont val="仿宋_GB2312"/>
        <family val="3"/>
        <charset val="134"/>
      </rPr>
      <t>假开</t>
    </r>
    <phoneticPr fontId="6" type="noConversion"/>
  </si>
  <si>
    <r>
      <rPr>
        <sz val="11"/>
        <color indexed="8"/>
        <rFont val="仿宋_GB2312"/>
        <family val="3"/>
        <charset val="134"/>
      </rPr>
      <t>收益</t>
    </r>
    <phoneticPr fontId="6" type="noConversion"/>
  </si>
  <si>
    <r>
      <rPr>
        <sz val="11"/>
        <color indexed="8"/>
        <rFont val="仿宋_GB2312"/>
        <family val="3"/>
        <charset val="134"/>
      </rPr>
      <t>比较</t>
    </r>
    <phoneticPr fontId="6" type="noConversion"/>
  </si>
  <si>
    <r>
      <t>5.</t>
    </r>
    <r>
      <rPr>
        <sz val="11"/>
        <color indexed="8"/>
        <rFont val="仿宋_GB2312"/>
        <family val="3"/>
        <charset val="134"/>
      </rPr>
      <t>面积依据不同时，以每部分取得的最新数据文件为依据。</t>
    </r>
    <phoneticPr fontId="6"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</si>
  <si>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2" type="noConversion"/>
  </si>
  <si>
    <r>
      <rPr>
        <b/>
        <sz val="12"/>
        <color indexed="8"/>
        <rFont val="仿宋_GB2312"/>
        <family val="3"/>
        <charset val="134"/>
      </rPr>
      <t>录入项</t>
    </r>
    <phoneticPr fontId="6" type="noConversion"/>
  </si>
  <si>
    <r>
      <rPr>
        <sz val="11"/>
        <color indexed="8"/>
        <rFont val="仿宋_GB2312"/>
        <family val="3"/>
        <charset val="134"/>
      </rPr>
      <t>无底纹单元格</t>
    </r>
    <phoneticPr fontId="32"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</si>
  <si>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2"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</si>
  <si>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6" type="noConversion"/>
  </si>
  <si>
    <r>
      <rPr>
        <sz val="11"/>
        <color indexed="8"/>
        <rFont val="仿宋_GB2312"/>
        <family val="3"/>
        <charset val="134"/>
      </rPr>
      <t>车库</t>
    </r>
    <phoneticPr fontId="17" type="noConversion"/>
  </si>
  <si>
    <r>
      <rPr>
        <sz val="11"/>
        <color indexed="8"/>
        <rFont val="仿宋_GB2312"/>
        <family val="3"/>
        <charset val="134"/>
      </rPr>
      <t>车库</t>
    </r>
    <phoneticPr fontId="17" type="noConversion"/>
  </si>
  <si>
    <r>
      <rPr>
        <sz val="11"/>
        <color indexed="8"/>
        <rFont val="仿宋_GB2312"/>
        <family val="3"/>
        <charset val="134"/>
      </rPr>
      <t>仓储</t>
    </r>
    <phoneticPr fontId="17" type="noConversion"/>
  </si>
  <si>
    <r>
      <rPr>
        <sz val="11"/>
        <color indexed="8"/>
        <rFont val="仿宋_GB2312"/>
        <family val="3"/>
        <charset val="134"/>
      </rPr>
      <t>平层住宅</t>
    </r>
    <phoneticPr fontId="17" type="noConversion"/>
  </si>
  <si>
    <r>
      <rPr>
        <sz val="11"/>
        <color indexed="8"/>
        <rFont val="仿宋_GB2312"/>
        <family val="3"/>
        <charset val="134"/>
      </rPr>
      <t>是</t>
    </r>
    <phoneticPr fontId="17" type="noConversion"/>
  </si>
  <si>
    <r>
      <rPr>
        <sz val="11"/>
        <color indexed="8"/>
        <rFont val="仿宋_GB2312"/>
        <family val="3"/>
        <charset val="134"/>
      </rPr>
      <t>好</t>
    </r>
  </si>
  <si>
    <r>
      <rPr>
        <sz val="11"/>
        <color indexed="8"/>
        <rFont val="仿宋_GB2312"/>
        <family val="3"/>
        <charset val="134"/>
      </rPr>
      <t>多面临街</t>
    </r>
    <phoneticPr fontId="42" type="noConversion"/>
  </si>
  <si>
    <r>
      <rPr>
        <sz val="11"/>
        <color indexed="8"/>
        <rFont val="仿宋_GB2312"/>
        <family val="3"/>
        <charset val="134"/>
      </rPr>
      <t>单位面积地价</t>
    </r>
    <phoneticPr fontId="17" type="noConversion"/>
  </si>
  <si>
    <r>
      <t>LOFT</t>
    </r>
    <r>
      <rPr>
        <sz val="11"/>
        <color indexed="8"/>
        <rFont val="仿宋_GB2312"/>
        <family val="3"/>
        <charset val="134"/>
      </rPr>
      <t>住宅</t>
    </r>
    <phoneticPr fontId="17" type="noConversion"/>
  </si>
  <si>
    <r>
      <rPr>
        <sz val="11"/>
        <color indexed="8"/>
        <rFont val="仿宋_GB2312"/>
        <family val="3"/>
        <charset val="134"/>
      </rPr>
      <t>否</t>
    </r>
    <phoneticPr fontId="17" type="noConversion"/>
  </si>
  <si>
    <r>
      <rPr>
        <sz val="11"/>
        <color indexed="8"/>
        <rFont val="仿宋_GB2312"/>
        <family val="3"/>
        <charset val="134"/>
      </rPr>
      <t>商业</t>
    </r>
    <phoneticPr fontId="17" type="noConversion"/>
  </si>
  <si>
    <r>
      <rPr>
        <sz val="11"/>
        <color indexed="8"/>
        <rFont val="仿宋_GB2312"/>
        <family val="3"/>
        <charset val="134"/>
      </rPr>
      <t>商业</t>
    </r>
    <phoneticPr fontId="17" type="noConversion"/>
  </si>
  <si>
    <r>
      <t>50-60</t>
    </r>
    <r>
      <rPr>
        <sz val="11"/>
        <color indexed="8"/>
        <rFont val="仿宋_GB2312"/>
        <family val="3"/>
        <charset val="134"/>
      </rPr>
      <t>（含）</t>
    </r>
    <phoneticPr fontId="17" type="noConversion"/>
  </si>
  <si>
    <r>
      <rPr>
        <sz val="11"/>
        <color indexed="8"/>
        <rFont val="仿宋_GB2312"/>
        <family val="3"/>
        <charset val="134"/>
      </rPr>
      <t>非经营性</t>
    </r>
    <phoneticPr fontId="17" type="noConversion"/>
  </si>
  <si>
    <r>
      <rPr>
        <sz val="11"/>
        <color indexed="8"/>
        <rFont val="仿宋_GB2312"/>
        <family val="3"/>
        <charset val="134"/>
      </rPr>
      <t>较好</t>
    </r>
  </si>
  <si>
    <r>
      <rPr>
        <sz val="11"/>
        <color indexed="8"/>
        <rFont val="仿宋_GB2312"/>
        <family val="3"/>
        <charset val="134"/>
      </rPr>
      <t>双面临街</t>
    </r>
    <phoneticPr fontId="42" type="noConversion"/>
  </si>
  <si>
    <r>
      <rPr>
        <sz val="11"/>
        <color indexed="8"/>
        <rFont val="仿宋_GB2312"/>
        <family val="3"/>
        <charset val="134"/>
      </rPr>
      <t>楼面地价</t>
    </r>
    <phoneticPr fontId="17" type="noConversion"/>
  </si>
  <si>
    <r>
      <rPr>
        <sz val="11"/>
        <color indexed="8"/>
        <rFont val="仿宋_GB2312"/>
        <family val="3"/>
        <charset val="134"/>
      </rPr>
      <t>普通住宅</t>
    </r>
    <phoneticPr fontId="17" type="noConversion"/>
  </si>
  <si>
    <r>
      <rPr>
        <sz val="11"/>
        <color indexed="8"/>
        <rFont val="仿宋_GB2312"/>
        <family val="3"/>
        <charset val="134"/>
      </rPr>
      <t>地下</t>
    </r>
    <phoneticPr fontId="17" type="noConversion"/>
  </si>
  <si>
    <r>
      <rPr>
        <sz val="11"/>
        <color indexed="8"/>
        <rFont val="仿宋_GB2312"/>
        <family val="3"/>
        <charset val="134"/>
      </rPr>
      <t>办公</t>
    </r>
    <phoneticPr fontId="17" type="noConversion"/>
  </si>
  <si>
    <r>
      <rPr>
        <sz val="11"/>
        <color indexed="8"/>
        <rFont val="仿宋_GB2312"/>
        <family val="3"/>
        <charset val="134"/>
      </rPr>
      <t>办公</t>
    </r>
    <phoneticPr fontId="17" type="noConversion"/>
  </si>
  <si>
    <r>
      <t>40-50</t>
    </r>
    <r>
      <rPr>
        <sz val="11"/>
        <color indexed="8"/>
        <rFont val="仿宋_GB2312"/>
        <family val="3"/>
        <charset val="134"/>
      </rPr>
      <t>（含）</t>
    </r>
    <phoneticPr fontId="17" type="noConversion"/>
  </si>
  <si>
    <r>
      <rPr>
        <sz val="11"/>
        <color indexed="8"/>
        <rFont val="仿宋_GB2312"/>
        <family val="3"/>
        <charset val="134"/>
      </rPr>
      <t>一般</t>
    </r>
  </si>
  <si>
    <r>
      <rPr>
        <sz val="11"/>
        <color indexed="8"/>
        <rFont val="仿宋_GB2312"/>
        <family val="3"/>
        <charset val="134"/>
      </rPr>
      <t>单面临街</t>
    </r>
    <phoneticPr fontId="42" type="noConversion"/>
  </si>
  <si>
    <r>
      <rPr>
        <sz val="11"/>
        <color indexed="8"/>
        <rFont val="仿宋_GB2312"/>
        <family val="3"/>
        <charset val="134"/>
      </rPr>
      <t>公寓</t>
    </r>
    <phoneticPr fontId="17" type="noConversion"/>
  </si>
  <si>
    <r>
      <rPr>
        <sz val="11"/>
        <color indexed="8"/>
        <rFont val="仿宋_GB2312"/>
        <family val="3"/>
        <charset val="134"/>
      </rPr>
      <t>工业</t>
    </r>
    <phoneticPr fontId="17" type="noConversion"/>
  </si>
  <si>
    <r>
      <t>30-40</t>
    </r>
    <r>
      <rPr>
        <sz val="11"/>
        <color indexed="8"/>
        <rFont val="仿宋_GB2312"/>
        <family val="3"/>
        <charset val="134"/>
      </rPr>
      <t>（含）</t>
    </r>
    <phoneticPr fontId="17" type="noConversion"/>
  </si>
  <si>
    <r>
      <rPr>
        <sz val="11"/>
        <color indexed="8"/>
        <rFont val="仿宋_GB2312"/>
        <family val="3"/>
        <charset val="134"/>
      </rPr>
      <t>较差</t>
    </r>
  </si>
  <si>
    <r>
      <rPr>
        <sz val="11"/>
        <color indexed="8"/>
        <rFont val="仿宋_GB2312"/>
        <family val="3"/>
        <charset val="134"/>
      </rPr>
      <t>不临街</t>
    </r>
    <phoneticPr fontId="42" type="noConversion"/>
  </si>
  <si>
    <r>
      <rPr>
        <sz val="11"/>
        <color indexed="8"/>
        <rFont val="仿宋_GB2312"/>
        <family val="3"/>
        <charset val="134"/>
      </rPr>
      <t>洋房</t>
    </r>
    <phoneticPr fontId="17" type="noConversion"/>
  </si>
  <si>
    <r>
      <t>20-30</t>
    </r>
    <r>
      <rPr>
        <sz val="11"/>
        <color indexed="8"/>
        <rFont val="仿宋_GB2312"/>
        <family val="3"/>
        <charset val="134"/>
      </rPr>
      <t>（含）</t>
    </r>
    <phoneticPr fontId="17" type="noConversion"/>
  </si>
  <si>
    <r>
      <rPr>
        <sz val="11"/>
        <color indexed="8"/>
        <rFont val="仿宋_GB2312"/>
        <family val="3"/>
        <charset val="134"/>
      </rPr>
      <t>差</t>
    </r>
  </si>
  <si>
    <r>
      <rPr>
        <sz val="11"/>
        <color indexed="8"/>
        <rFont val="仿宋_GB2312"/>
        <family val="3"/>
        <charset val="134"/>
      </rPr>
      <t>叠拼</t>
    </r>
    <phoneticPr fontId="17" type="noConversion"/>
  </si>
  <si>
    <r>
      <rPr>
        <sz val="11"/>
        <color indexed="8"/>
        <rFont val="仿宋_GB2312"/>
        <family val="3"/>
        <charset val="134"/>
      </rPr>
      <t>成本逼近法</t>
    </r>
    <phoneticPr fontId="17" type="noConversion"/>
  </si>
  <si>
    <r>
      <rPr>
        <sz val="11"/>
        <color indexed="8"/>
        <rFont val="仿宋_GB2312"/>
        <family val="3"/>
        <charset val="134"/>
      </rPr>
      <t>工业</t>
    </r>
    <phoneticPr fontId="17" type="noConversion"/>
  </si>
  <si>
    <r>
      <t>10-20</t>
    </r>
    <r>
      <rPr>
        <sz val="11"/>
        <color indexed="8"/>
        <rFont val="仿宋_GB2312"/>
        <family val="3"/>
        <charset val="134"/>
      </rPr>
      <t>（含）</t>
    </r>
    <phoneticPr fontId="17" type="noConversion"/>
  </si>
  <si>
    <r>
      <rPr>
        <sz val="11"/>
        <color indexed="8"/>
        <rFont val="仿宋_GB2312"/>
        <family val="3"/>
        <charset val="134"/>
      </rPr>
      <t>联排</t>
    </r>
    <phoneticPr fontId="17" type="noConversion"/>
  </si>
  <si>
    <r>
      <rPr>
        <sz val="11"/>
        <color indexed="8"/>
        <rFont val="仿宋_GB2312"/>
        <family val="3"/>
        <charset val="134"/>
      </rPr>
      <t>不动产收益法</t>
    </r>
    <phoneticPr fontId="17" type="noConversion"/>
  </si>
  <si>
    <r>
      <t>0-10</t>
    </r>
    <r>
      <rPr>
        <sz val="11"/>
        <color indexed="8"/>
        <rFont val="仿宋_GB2312"/>
        <family val="3"/>
        <charset val="134"/>
      </rPr>
      <t>（含）</t>
    </r>
    <phoneticPr fontId="17" type="noConversion"/>
  </si>
  <si>
    <r>
      <rPr>
        <sz val="11"/>
        <color indexed="8"/>
        <rFont val="仿宋_GB2312"/>
        <family val="3"/>
        <charset val="134"/>
      </rPr>
      <t>双拼</t>
    </r>
    <phoneticPr fontId="17" type="noConversion"/>
  </si>
  <si>
    <r>
      <rPr>
        <sz val="11"/>
        <color indexed="8"/>
        <rFont val="仿宋_GB2312"/>
        <family val="3"/>
        <charset val="134"/>
      </rPr>
      <t>仓储</t>
    </r>
    <phoneticPr fontId="17" type="noConversion"/>
  </si>
  <si>
    <r>
      <rPr>
        <sz val="11"/>
        <color indexed="8"/>
        <rFont val="仿宋_GB2312"/>
        <family val="3"/>
        <charset val="134"/>
      </rPr>
      <t>独栋</t>
    </r>
    <phoneticPr fontId="17" type="noConversion"/>
  </si>
  <si>
    <r>
      <rPr>
        <sz val="11"/>
        <color indexed="8"/>
        <rFont val="仿宋_GB2312"/>
        <family val="3"/>
        <charset val="134"/>
      </rPr>
      <t>底商</t>
    </r>
    <phoneticPr fontId="17" type="noConversion"/>
  </si>
  <si>
    <r>
      <rPr>
        <sz val="11"/>
        <color indexed="8"/>
        <rFont val="仿宋_GB2312"/>
        <family val="3"/>
        <charset val="134"/>
      </rPr>
      <t>独立商业</t>
    </r>
    <phoneticPr fontId="17" type="noConversion"/>
  </si>
  <si>
    <r>
      <rPr>
        <sz val="11"/>
        <color indexed="8"/>
        <rFont val="仿宋_GB2312"/>
        <family val="3"/>
        <charset val="134"/>
      </rPr>
      <t>商业街</t>
    </r>
    <phoneticPr fontId="17" type="noConversion"/>
  </si>
  <si>
    <r>
      <rPr>
        <sz val="11"/>
        <color indexed="8"/>
        <rFont val="仿宋_GB2312"/>
        <family val="3"/>
        <charset val="134"/>
      </rPr>
      <t>酒店</t>
    </r>
    <phoneticPr fontId="17" type="noConversion"/>
  </si>
  <si>
    <r>
      <rPr>
        <sz val="11"/>
        <color indexed="8"/>
        <rFont val="仿宋_GB2312"/>
        <family val="3"/>
        <charset val="134"/>
      </rPr>
      <t>标准厂房</t>
    </r>
    <phoneticPr fontId="17" type="noConversion"/>
  </si>
  <si>
    <r>
      <rPr>
        <sz val="11"/>
        <color indexed="8"/>
        <rFont val="仿宋_GB2312"/>
        <family val="3"/>
        <charset val="134"/>
      </rPr>
      <t>特殊厂房</t>
    </r>
    <phoneticPr fontId="17" type="noConversion"/>
  </si>
  <si>
    <r>
      <rPr>
        <sz val="11"/>
        <color indexed="8"/>
        <rFont val="仿宋_GB2312"/>
        <family val="3"/>
        <charset val="134"/>
      </rPr>
      <t>办公楼</t>
    </r>
    <phoneticPr fontId="17" type="noConversion"/>
  </si>
  <si>
    <r>
      <rPr>
        <sz val="11"/>
        <color indexed="8"/>
        <rFont val="仿宋_GB2312"/>
        <family val="3"/>
        <charset val="134"/>
      </rPr>
      <t>宿舍</t>
    </r>
    <phoneticPr fontId="17" type="noConversion"/>
  </si>
  <si>
    <r>
      <rPr>
        <sz val="11"/>
        <color indexed="8"/>
        <rFont val="仿宋_GB2312"/>
        <family val="3"/>
        <charset val="134"/>
      </rPr>
      <t>食堂</t>
    </r>
    <phoneticPr fontId="17" type="noConversion"/>
  </si>
  <si>
    <r>
      <rPr>
        <sz val="11"/>
        <color indexed="8"/>
        <rFont val="仿宋_GB2312"/>
        <family val="3"/>
        <charset val="134"/>
      </rPr>
      <t>车库</t>
    </r>
    <phoneticPr fontId="17" type="noConversion"/>
  </si>
  <si>
    <r>
      <rPr>
        <sz val="11"/>
        <color indexed="8"/>
        <rFont val="仿宋_GB2312"/>
        <family val="3"/>
        <charset val="134"/>
      </rPr>
      <t>戊类库房</t>
    </r>
    <phoneticPr fontId="17" type="noConversion"/>
  </si>
  <si>
    <r>
      <rPr>
        <sz val="11"/>
        <color indexed="8"/>
        <rFont val="仿宋_GB2312"/>
        <family val="3"/>
        <charset val="134"/>
      </rPr>
      <t>燃品库房</t>
    </r>
    <phoneticPr fontId="17" type="noConversion"/>
  </si>
  <si>
    <r>
      <rPr>
        <sz val="11"/>
        <color indexed="8"/>
        <rFont val="仿宋_GB2312"/>
        <family val="3"/>
        <charset val="134"/>
      </rPr>
      <t>非燃品库房</t>
    </r>
    <phoneticPr fontId="17" type="noConversion"/>
  </si>
  <si>
    <r>
      <rPr>
        <sz val="11"/>
        <color indexed="8"/>
        <rFont val="仿宋_GB2312"/>
        <family val="3"/>
        <charset val="134"/>
      </rPr>
      <t>限价商品房</t>
    </r>
    <phoneticPr fontId="39" type="noConversion"/>
  </si>
  <si>
    <r>
      <rPr>
        <sz val="11"/>
        <color indexed="8"/>
        <rFont val="仿宋_GB2312"/>
        <family val="3"/>
        <charset val="134"/>
      </rPr>
      <t>自住商品房</t>
    </r>
    <phoneticPr fontId="39" type="noConversion"/>
  </si>
  <si>
    <r>
      <rPr>
        <sz val="11"/>
        <color indexed="8"/>
        <rFont val="仿宋_GB2312"/>
        <family val="3"/>
        <charset val="134"/>
      </rPr>
      <t>地上</t>
    </r>
    <phoneticPr fontId="17" type="noConversion"/>
  </si>
  <si>
    <r>
      <rPr>
        <sz val="11"/>
        <color indexed="8"/>
        <rFont val="仿宋_GB2312"/>
        <family val="3"/>
        <charset val="134"/>
      </rPr>
      <t>住宅</t>
    </r>
    <phoneticPr fontId="17" type="noConversion"/>
  </si>
  <si>
    <r>
      <rPr>
        <sz val="11"/>
        <color indexed="8"/>
        <rFont val="仿宋_GB2312"/>
        <family val="3"/>
        <charset val="134"/>
      </rPr>
      <t>住宅</t>
    </r>
    <phoneticPr fontId="17" type="noConversion"/>
  </si>
  <si>
    <r>
      <t>60-70</t>
    </r>
    <r>
      <rPr>
        <sz val="11"/>
        <color indexed="8"/>
        <rFont val="仿宋_GB2312"/>
        <family val="3"/>
        <charset val="134"/>
      </rPr>
      <t>（含）</t>
    </r>
    <phoneticPr fontId="17" type="noConversion"/>
  </si>
  <si>
    <r>
      <rPr>
        <sz val="11"/>
        <color indexed="8"/>
        <rFont val="仿宋_GB2312"/>
        <family val="3"/>
        <charset val="134"/>
      </rPr>
      <t>经营性</t>
    </r>
    <phoneticPr fontId="17" type="noConversion"/>
  </si>
  <si>
    <r>
      <rPr>
        <sz val="11"/>
        <color indexed="8"/>
        <rFont val="仿宋_GB2312"/>
        <family val="3"/>
        <charset val="134"/>
      </rPr>
      <t>估价方法</t>
    </r>
    <phoneticPr fontId="17" type="noConversion"/>
  </si>
  <si>
    <r>
      <rPr>
        <sz val="11"/>
        <color indexed="8"/>
        <rFont val="仿宋_GB2312"/>
        <family val="3"/>
        <charset val="134"/>
      </rPr>
      <t>判定</t>
    </r>
    <phoneticPr fontId="17" type="noConversion"/>
  </si>
  <si>
    <r>
      <rPr>
        <sz val="11"/>
        <color indexed="8"/>
        <rFont val="仿宋_GB2312"/>
        <family val="3"/>
        <charset val="134"/>
      </rPr>
      <t>位置</t>
    </r>
    <phoneticPr fontId="17" type="noConversion"/>
  </si>
  <si>
    <r>
      <rPr>
        <sz val="11"/>
        <color indexed="8"/>
        <rFont val="仿宋_GB2312"/>
        <family val="3"/>
        <charset val="134"/>
      </rPr>
      <t>主用途</t>
    </r>
    <phoneticPr fontId="17" type="noConversion"/>
  </si>
  <si>
    <r>
      <rPr>
        <sz val="11"/>
        <color indexed="8"/>
        <rFont val="仿宋_GB2312"/>
        <family val="3"/>
        <charset val="134"/>
      </rPr>
      <t>法定最高年限</t>
    </r>
    <phoneticPr fontId="17" type="noConversion"/>
  </si>
  <si>
    <r>
      <rPr>
        <sz val="11"/>
        <color indexed="8"/>
        <rFont val="仿宋_GB2312"/>
        <family val="3"/>
        <charset val="134"/>
      </rPr>
      <t>地类判定</t>
    </r>
    <phoneticPr fontId="17" type="noConversion"/>
  </si>
  <si>
    <r>
      <rPr>
        <sz val="11"/>
        <color indexed="8"/>
        <rFont val="仿宋_GB2312"/>
        <family val="3"/>
        <charset val="134"/>
      </rPr>
      <t>土地年限区间</t>
    </r>
    <phoneticPr fontId="17" type="noConversion"/>
  </si>
  <si>
    <r>
      <rPr>
        <sz val="11"/>
        <color indexed="8"/>
        <rFont val="仿宋_GB2312"/>
        <family val="3"/>
        <charset val="134"/>
      </rPr>
      <t>类别</t>
    </r>
    <phoneticPr fontId="17" type="noConversion"/>
  </si>
  <si>
    <r>
      <rPr>
        <sz val="11"/>
        <color indexed="8"/>
        <rFont val="仿宋_GB2312"/>
        <family val="3"/>
        <charset val="134"/>
      </rPr>
      <t>居住社区成熟度</t>
    </r>
    <phoneticPr fontId="17" type="noConversion"/>
  </si>
  <si>
    <r>
      <rPr>
        <sz val="11"/>
        <color indexed="8"/>
        <rFont val="仿宋_GB2312"/>
        <family val="3"/>
        <charset val="134"/>
      </rPr>
      <t>商业繁华度</t>
    </r>
    <phoneticPr fontId="17" type="noConversion"/>
  </si>
  <si>
    <r>
      <rPr>
        <sz val="11"/>
        <color indexed="8"/>
        <rFont val="仿宋_GB2312"/>
        <family val="3"/>
        <charset val="134"/>
      </rPr>
      <t>办公集聚程度</t>
    </r>
    <phoneticPr fontId="17" type="noConversion"/>
  </si>
  <si>
    <r>
      <rPr>
        <sz val="11"/>
        <color indexed="8"/>
        <rFont val="仿宋_GB2312"/>
        <family val="3"/>
        <charset val="134"/>
      </rPr>
      <t>产业集聚程度</t>
    </r>
    <phoneticPr fontId="17" type="noConversion"/>
  </si>
  <si>
    <r>
      <rPr>
        <sz val="11"/>
        <color indexed="8"/>
        <rFont val="仿宋_GB2312"/>
        <family val="3"/>
        <charset val="134"/>
      </rPr>
      <t>交通便捷度</t>
    </r>
    <phoneticPr fontId="17" type="noConversion"/>
  </si>
  <si>
    <r>
      <rPr>
        <sz val="11"/>
        <color indexed="8"/>
        <rFont val="仿宋_GB2312"/>
        <family val="3"/>
        <charset val="134"/>
      </rPr>
      <t>区域土地利用方向</t>
    </r>
    <phoneticPr fontId="42" type="noConversion"/>
  </si>
  <si>
    <r>
      <rPr>
        <sz val="11"/>
        <color indexed="8"/>
        <rFont val="仿宋_GB2312"/>
        <family val="3"/>
        <charset val="134"/>
      </rPr>
      <t>环境质量</t>
    </r>
    <phoneticPr fontId="17" type="noConversion"/>
  </si>
  <si>
    <r>
      <rPr>
        <sz val="11"/>
        <color indexed="8"/>
        <rFont val="仿宋_GB2312"/>
        <family val="3"/>
        <charset val="134"/>
      </rPr>
      <t>临街状况</t>
    </r>
    <phoneticPr fontId="42" type="noConversion"/>
  </si>
  <si>
    <r>
      <rPr>
        <sz val="11"/>
        <color indexed="8"/>
        <rFont val="仿宋_GB2312"/>
        <family val="3"/>
        <charset val="134"/>
      </rPr>
      <t>内部装修维护情况</t>
    </r>
    <phoneticPr fontId="17" type="noConversion"/>
  </si>
  <si>
    <r>
      <rPr>
        <sz val="11"/>
        <color indexed="8"/>
        <rFont val="仿宋_GB2312"/>
        <family val="3"/>
        <charset val="134"/>
      </rPr>
      <t>单价内涵</t>
    </r>
    <phoneticPr fontId="17"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</si>
  <si>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7"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</si>
  <si>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7"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</si>
  <si>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7"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</si>
  <si>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7"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</si>
  <si>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7"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</si>
  <si>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</si>
  <si>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</si>
  <si>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</si>
  <si>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</si>
  <si>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</si>
  <si>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</si>
  <si>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7" type="noConversion"/>
  </si>
  <si>
    <r>
      <rPr>
        <b/>
        <sz val="14"/>
        <color indexed="10"/>
        <rFont val="仿宋_GB2312"/>
        <family val="3"/>
        <charset val="134"/>
      </rPr>
      <t>数据基础表</t>
    </r>
    <phoneticPr fontId="6" type="noConversion"/>
  </si>
  <si>
    <r>
      <rPr>
        <sz val="10"/>
        <color indexed="8"/>
        <rFont val="仿宋_GB2312"/>
        <family val="3"/>
        <charset val="134"/>
      </rPr>
      <t>土地面积</t>
    </r>
    <phoneticPr fontId="6" type="noConversion"/>
  </si>
  <si>
    <r>
      <rPr>
        <sz val="10"/>
        <color indexed="8"/>
        <rFont val="仿宋_GB2312"/>
        <family val="3"/>
        <charset val="134"/>
      </rPr>
      <t>建筑面积</t>
    </r>
    <phoneticPr fontId="6" type="noConversion"/>
  </si>
  <si>
    <r>
      <rPr>
        <sz val="10"/>
        <color indexed="8"/>
        <rFont val="仿宋_GB2312"/>
        <family val="3"/>
        <charset val="134"/>
      </rPr>
      <t>人防是否参与分摊</t>
    </r>
    <phoneticPr fontId="6" type="noConversion"/>
  </si>
  <si>
    <r>
      <rPr>
        <b/>
        <sz val="16"/>
        <color indexed="10"/>
        <rFont val="仿宋_GB2312"/>
        <family val="3"/>
        <charset val="134"/>
      </rPr>
      <t>抵押物清单</t>
    </r>
    <phoneticPr fontId="6" type="noConversion"/>
  </si>
  <si>
    <r>
      <rPr>
        <sz val="10"/>
        <color indexed="8"/>
        <rFont val="仿宋_GB2312"/>
        <family val="3"/>
        <charset val="134"/>
      </rPr>
      <t>测绘分摊土地面积</t>
    </r>
    <phoneticPr fontId="6" type="noConversion"/>
  </si>
  <si>
    <r>
      <rPr>
        <sz val="10"/>
        <color indexed="8"/>
        <rFont val="仿宋_GB2312"/>
        <family val="3"/>
        <charset val="134"/>
      </rPr>
      <t>建筑面积合计</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</si>
  <si>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</si>
  <si>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土地使用权证号</t>
    </r>
    <phoneticPr fontId="8" type="noConversion"/>
  </si>
  <si>
    <r>
      <rPr>
        <sz val="10"/>
        <color indexed="8"/>
        <rFont val="仿宋_GB2312"/>
        <family val="3"/>
        <charset val="134"/>
      </rPr>
      <t>建筑面积依据</t>
    </r>
    <phoneticPr fontId="8"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</si>
  <si>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8" type="noConversion"/>
  </si>
  <si>
    <r>
      <rPr>
        <sz val="10"/>
        <color indexed="8"/>
        <rFont val="仿宋_GB2312"/>
        <family val="3"/>
        <charset val="134"/>
      </rPr>
      <t>是否为抵押范围</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</si>
  <si>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</si>
  <si>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楼基面积</t>
    </r>
    <phoneticPr fontId="8" type="noConversion"/>
  </si>
  <si>
    <r>
      <rPr>
        <sz val="10"/>
        <color indexed="8"/>
        <rFont val="仿宋_GB2312"/>
        <family val="3"/>
        <charset val="134"/>
      </rPr>
      <t>建筑面积（含人防）</t>
    </r>
    <phoneticPr fontId="8" type="noConversion"/>
  </si>
  <si>
    <r>
      <rPr>
        <sz val="10"/>
        <color indexed="8"/>
        <rFont val="仿宋_GB2312"/>
        <family val="3"/>
        <charset val="134"/>
      </rPr>
      <t>不在估价范围内的项目</t>
    </r>
    <phoneticPr fontId="6" type="noConversion"/>
  </si>
  <si>
    <r>
      <rPr>
        <sz val="10"/>
        <color indexed="8"/>
        <rFont val="仿宋_GB2312"/>
        <family val="3"/>
        <charset val="134"/>
      </rPr>
      <t>土地使用权证号</t>
    </r>
    <phoneticPr fontId="8" type="noConversion"/>
  </si>
  <si>
    <r>
      <rPr>
        <sz val="10"/>
        <color indexed="8"/>
        <rFont val="仿宋_GB2312"/>
        <family val="3"/>
        <charset val="134"/>
      </rPr>
      <t>建筑面积依据</t>
    </r>
    <phoneticPr fontId="8"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</si>
  <si>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8" type="noConversion"/>
  </si>
  <si>
    <r>
      <rPr>
        <sz val="10"/>
        <color indexed="8"/>
        <rFont val="仿宋_GB2312"/>
        <family val="3"/>
        <charset val="134"/>
      </rPr>
      <t>抵押物</t>
    </r>
    <phoneticPr fontId="6" type="noConversion"/>
  </si>
  <si>
    <r>
      <rPr>
        <sz val="10"/>
        <color indexed="8"/>
        <rFont val="仿宋_GB2312"/>
        <family val="3"/>
        <charset val="134"/>
      </rPr>
      <t>合计</t>
    </r>
    <phoneticPr fontId="6"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</si>
  <si>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8"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</si>
  <si>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8" type="noConversion"/>
  </si>
  <si>
    <r>
      <rPr>
        <sz val="10"/>
        <color indexed="8"/>
        <rFont val="仿宋_GB2312"/>
        <family val="3"/>
        <charset val="134"/>
      </rPr>
      <t>文字说明</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</si>
  <si>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</si>
  <si>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建筑面积</t>
    </r>
    <phoneticPr fontId="6" type="noConversion"/>
  </si>
  <si>
    <r>
      <rPr>
        <sz val="10"/>
        <color indexed="8"/>
        <rFont val="仿宋_GB2312"/>
        <family val="3"/>
        <charset val="134"/>
      </rPr>
      <t>小计</t>
    </r>
    <phoneticPr fontId="6" type="noConversion"/>
  </si>
  <si>
    <r>
      <rPr>
        <sz val="10"/>
        <color indexed="8"/>
        <rFont val="仿宋_GB2312"/>
        <family val="3"/>
        <charset val="134"/>
      </rPr>
      <t>地上</t>
    </r>
    <phoneticPr fontId="6" type="noConversion"/>
  </si>
  <si>
    <r>
      <rPr>
        <sz val="10"/>
        <color indexed="8"/>
        <rFont val="仿宋_GB2312"/>
        <family val="3"/>
        <charset val="134"/>
      </rPr>
      <t>地下</t>
    </r>
    <phoneticPr fontId="6" type="noConversion"/>
  </si>
  <si>
    <r>
      <rPr>
        <sz val="10"/>
        <color indexed="8"/>
        <rFont val="仿宋_GB2312"/>
        <family val="3"/>
        <charset val="134"/>
      </rPr>
      <t>地上</t>
    </r>
    <phoneticPr fontId="6" type="noConversion"/>
  </si>
  <si>
    <r>
      <rPr>
        <sz val="10"/>
        <color indexed="8"/>
        <rFont val="仿宋_GB2312"/>
        <family val="3"/>
        <charset val="134"/>
      </rPr>
      <t>地下</t>
    </r>
    <phoneticPr fontId="6" type="noConversion"/>
  </si>
  <si>
    <r>
      <rPr>
        <sz val="10"/>
        <color indexed="8"/>
        <rFont val="仿宋_GB2312"/>
        <family val="3"/>
        <charset val="134"/>
      </rPr>
      <t>小计</t>
    </r>
    <phoneticPr fontId="6"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</si>
  <si>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6" type="noConversion"/>
  </si>
  <si>
    <r>
      <rPr>
        <sz val="10"/>
        <color indexed="8"/>
        <rFont val="仿宋_GB2312"/>
        <family val="3"/>
        <charset val="134"/>
      </rPr>
      <t>合计</t>
    </r>
    <phoneticPr fontId="6" type="noConversion"/>
  </si>
  <si>
    <r>
      <rPr>
        <sz val="10"/>
        <color indexed="8"/>
        <rFont val="仿宋_GB2312"/>
        <family val="3"/>
        <charset val="134"/>
      </rPr>
      <t>经营性用途</t>
    </r>
    <phoneticPr fontId="8" type="noConversion"/>
  </si>
  <si>
    <r>
      <rPr>
        <sz val="10"/>
        <color indexed="8"/>
        <rFont val="仿宋_GB2312"/>
        <family val="3"/>
        <charset val="134"/>
      </rPr>
      <t>非经营性用途</t>
    </r>
    <phoneticPr fontId="8" type="noConversion"/>
  </si>
  <si>
    <r>
      <rPr>
        <sz val="10"/>
        <color indexed="8"/>
        <rFont val="仿宋_GB2312"/>
        <family val="3"/>
        <charset val="134"/>
      </rPr>
      <t>设备及其他</t>
    </r>
    <phoneticPr fontId="6" type="noConversion"/>
  </si>
  <si>
    <r>
      <rPr>
        <sz val="10"/>
        <color indexed="8"/>
        <rFont val="仿宋_GB2312"/>
        <family val="3"/>
        <charset val="134"/>
      </rPr>
      <t>未注明</t>
    </r>
    <phoneticPr fontId="6" type="noConversion"/>
  </si>
  <si>
    <r>
      <rPr>
        <sz val="10"/>
        <color indexed="8"/>
        <rFont val="仿宋_GB2312"/>
        <family val="3"/>
        <charset val="134"/>
      </rPr>
      <t>总值</t>
    </r>
    <phoneticPr fontId="6" type="noConversion"/>
  </si>
  <si>
    <r>
      <rPr>
        <sz val="10"/>
        <color indexed="8"/>
        <rFont val="仿宋_GB2312"/>
        <family val="3"/>
        <charset val="134"/>
      </rPr>
      <t>扣减值</t>
    </r>
    <phoneticPr fontId="6" type="noConversion"/>
  </si>
  <si>
    <r>
      <rPr>
        <b/>
        <sz val="14"/>
        <color indexed="10"/>
        <rFont val="仿宋_GB2312"/>
        <family val="3"/>
        <charset val="134"/>
      </rPr>
      <t>数据汇总表</t>
    </r>
    <phoneticPr fontId="10" type="noConversion"/>
  </si>
  <si>
    <r>
      <rPr>
        <b/>
        <sz val="11"/>
        <color indexed="8"/>
        <rFont val="仿宋_GB2312"/>
        <family val="3"/>
        <charset val="134"/>
      </rPr>
      <t>估价对象</t>
    </r>
    <phoneticPr fontId="10" type="noConversion"/>
  </si>
  <si>
    <r>
      <rPr>
        <b/>
        <sz val="11"/>
        <color indexed="8"/>
        <rFont val="仿宋_GB2312"/>
        <family val="3"/>
        <charset val="134"/>
      </rPr>
      <t>土地面积</t>
    </r>
    <phoneticPr fontId="13" type="noConversion"/>
  </si>
  <si>
    <r>
      <rPr>
        <b/>
        <sz val="11"/>
        <rFont val="仿宋_GB2312"/>
        <family val="3"/>
        <charset val="134"/>
      </rPr>
      <t>建筑面积</t>
    </r>
    <phoneticPr fontId="13" type="noConversion"/>
  </si>
  <si>
    <r>
      <rPr>
        <b/>
        <sz val="11"/>
        <color indexed="8"/>
        <rFont val="仿宋_GB2312"/>
        <family val="3"/>
        <charset val="134"/>
      </rPr>
      <t>面积总计</t>
    </r>
    <phoneticPr fontId="10" type="noConversion"/>
  </si>
  <si>
    <r>
      <t>1.</t>
    </r>
    <r>
      <rPr>
        <sz val="11"/>
        <color indexed="8"/>
        <rFont val="仿宋_GB2312"/>
        <family val="3"/>
        <charset val="134"/>
      </rPr>
      <t>其中：</t>
    </r>
    <phoneticPr fontId="10" type="noConversion"/>
  </si>
  <si>
    <r>
      <rPr>
        <sz val="11"/>
        <color indexed="8"/>
        <rFont val="仿宋_GB2312"/>
        <family val="3"/>
        <charset val="134"/>
      </rPr>
      <t>非住宅</t>
    </r>
    <phoneticPr fontId="10" type="noConversion"/>
  </si>
  <si>
    <r>
      <t>2.</t>
    </r>
    <r>
      <rPr>
        <sz val="11"/>
        <color indexed="8"/>
        <rFont val="仿宋_GB2312"/>
        <family val="3"/>
        <charset val="134"/>
      </rPr>
      <t>其中：</t>
    </r>
    <phoneticPr fontId="10" type="noConversion"/>
  </si>
  <si>
    <r>
      <rPr>
        <sz val="11"/>
        <color indexed="8"/>
        <rFont val="仿宋_GB2312"/>
        <family val="3"/>
        <charset val="134"/>
      </rPr>
      <t>计出让部分</t>
    </r>
    <phoneticPr fontId="13" type="noConversion"/>
  </si>
  <si>
    <r>
      <rPr>
        <sz val="11"/>
        <color indexed="8"/>
        <rFont val="仿宋_GB2312"/>
        <family val="3"/>
        <charset val="134"/>
      </rPr>
      <t>地上经营性用途</t>
    </r>
    <phoneticPr fontId="10" type="noConversion"/>
  </si>
  <si>
    <r>
      <rPr>
        <sz val="11"/>
        <color indexed="8"/>
        <rFont val="仿宋_GB2312"/>
        <family val="3"/>
        <charset val="134"/>
      </rPr>
      <t>地上其他</t>
    </r>
    <phoneticPr fontId="10" type="noConversion"/>
  </si>
  <si>
    <r>
      <rPr>
        <sz val="11"/>
        <color indexed="8"/>
        <rFont val="仿宋_GB2312"/>
        <family val="3"/>
        <charset val="134"/>
      </rPr>
      <t>地下商业</t>
    </r>
    <phoneticPr fontId="10" type="noConversion"/>
  </si>
  <si>
    <r>
      <rPr>
        <sz val="11"/>
        <color indexed="8"/>
        <rFont val="仿宋_GB2312"/>
        <family val="3"/>
        <charset val="134"/>
      </rPr>
      <t>地下仓储</t>
    </r>
    <phoneticPr fontId="10" type="noConversion"/>
  </si>
  <si>
    <r>
      <rPr>
        <sz val="11"/>
        <color indexed="8"/>
        <rFont val="仿宋_GB2312"/>
        <family val="3"/>
        <charset val="134"/>
      </rPr>
      <t>小计</t>
    </r>
    <phoneticPr fontId="10" type="noConversion"/>
  </si>
  <si>
    <r>
      <t>3.</t>
    </r>
    <r>
      <rPr>
        <sz val="11"/>
        <color indexed="8"/>
        <rFont val="仿宋_GB2312"/>
        <family val="3"/>
        <charset val="134"/>
      </rPr>
      <t>其中：</t>
    </r>
    <phoneticPr fontId="13" type="noConversion"/>
  </si>
  <si>
    <r>
      <rPr>
        <sz val="11"/>
        <color indexed="8"/>
        <rFont val="仿宋_GB2312"/>
        <family val="3"/>
        <charset val="134"/>
      </rPr>
      <t>类别</t>
    </r>
    <phoneticPr fontId="10" type="noConversion"/>
  </si>
  <si>
    <r>
      <rPr>
        <b/>
        <sz val="11"/>
        <color indexed="8"/>
        <rFont val="仿宋_GB2312"/>
        <family val="3"/>
        <charset val="134"/>
      </rPr>
      <t>分摊原则：</t>
    </r>
    <phoneticPr fontId="10" type="noConversion"/>
  </si>
  <si>
    <r>
      <rPr>
        <b/>
        <sz val="11"/>
        <color indexed="8"/>
        <rFont val="仿宋_GB2312"/>
        <family val="3"/>
        <charset val="134"/>
      </rPr>
      <t>分摊非经营性用途用房</t>
    </r>
    <phoneticPr fontId="10" type="noConversion"/>
  </si>
  <si>
    <r>
      <rPr>
        <sz val="11"/>
        <rFont val="仿宋_GB2312"/>
        <family val="3"/>
        <charset val="134"/>
      </rPr>
      <t>合计</t>
    </r>
    <phoneticPr fontId="10" type="noConversion"/>
  </si>
  <si>
    <r>
      <rPr>
        <sz val="11"/>
        <color indexed="8"/>
        <rFont val="仿宋_GB2312"/>
        <family val="3"/>
        <charset val="134"/>
      </rPr>
      <t>地上</t>
    </r>
    <phoneticPr fontId="10" type="noConversion"/>
  </si>
  <si>
    <r>
      <rPr>
        <sz val="11"/>
        <color indexed="8"/>
        <rFont val="仿宋_GB2312"/>
        <family val="3"/>
        <charset val="134"/>
      </rPr>
      <t>地下</t>
    </r>
    <phoneticPr fontId="10" type="noConversion"/>
  </si>
  <si>
    <r>
      <rPr>
        <sz val="11"/>
        <color indexed="8"/>
        <rFont val="仿宋_GB2312"/>
        <family val="3"/>
        <charset val="134"/>
      </rPr>
      <t>土地面积</t>
    </r>
    <phoneticPr fontId="10" type="noConversion"/>
  </si>
  <si>
    <r>
      <rPr>
        <sz val="11"/>
        <color indexed="8"/>
        <rFont val="仿宋_GB2312"/>
        <family val="3"/>
        <charset val="134"/>
      </rPr>
      <t>建筑面积</t>
    </r>
    <phoneticPr fontId="10" type="noConversion"/>
  </si>
  <si>
    <r>
      <rPr>
        <sz val="11"/>
        <color indexed="8"/>
        <rFont val="仿宋_GB2312"/>
        <family val="3"/>
        <charset val="134"/>
      </rPr>
      <t>经营性</t>
    </r>
  </si>
  <si>
    <r>
      <rPr>
        <sz val="11"/>
        <color indexed="8"/>
        <rFont val="仿宋_GB2312"/>
        <family val="3"/>
        <charset val="134"/>
      </rPr>
      <t>经营性</t>
    </r>
    <phoneticPr fontId="10" type="noConversion"/>
  </si>
  <si>
    <r>
      <rPr>
        <sz val="11"/>
        <color indexed="8"/>
        <rFont val="仿宋_GB2312"/>
        <family val="3"/>
        <charset val="134"/>
      </rPr>
      <t>非经营性</t>
    </r>
    <phoneticPr fontId="13" type="noConversion"/>
  </si>
  <si>
    <r>
      <rPr>
        <sz val="11"/>
        <color indexed="8"/>
        <rFont val="仿宋_GB2312"/>
        <family val="3"/>
        <charset val="134"/>
      </rPr>
      <t>设备及其他</t>
    </r>
    <phoneticPr fontId="10" type="noConversion"/>
  </si>
  <si>
    <r>
      <rPr>
        <b/>
        <sz val="11"/>
        <color indexed="8"/>
        <rFont val="仿宋_GB2312"/>
        <family val="3"/>
        <charset val="134"/>
      </rPr>
      <t>合计</t>
    </r>
    <phoneticPr fontId="10" type="noConversion"/>
  </si>
  <si>
    <r>
      <rPr>
        <sz val="11"/>
        <color indexed="8"/>
        <rFont val="仿宋_GB2312"/>
        <family val="3"/>
        <charset val="134"/>
      </rPr>
      <t>住宅</t>
    </r>
    <phoneticPr fontId="10" type="noConversion"/>
  </si>
  <si>
    <r>
      <rPr>
        <b/>
        <sz val="11"/>
        <color indexed="8"/>
        <rFont val="仿宋_GB2312"/>
        <family val="3"/>
        <charset val="134"/>
      </rPr>
      <t>建筑面积</t>
    </r>
    <phoneticPr fontId="13"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</si>
  <si>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</si>
  <si>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0" type="noConversion"/>
  </si>
  <si>
    <r>
      <rPr>
        <b/>
        <sz val="14"/>
        <color indexed="10"/>
        <rFont val="楷体_GB2312"/>
        <family val="3"/>
        <charset val="134"/>
      </rPr>
      <t>数据取费表</t>
    </r>
    <phoneticPr fontId="6"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</si>
  <si>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6" type="noConversion"/>
  </si>
  <si>
    <r>
      <rPr>
        <sz val="11"/>
        <color indexed="8"/>
        <rFont val="楷体_GB2312"/>
        <family val="3"/>
        <charset val="134"/>
      </rPr>
      <t>类别</t>
    </r>
    <phoneticPr fontId="6" type="noConversion"/>
  </si>
  <si>
    <r>
      <rPr>
        <sz val="11"/>
        <color indexed="8"/>
        <rFont val="楷体_GB2312"/>
        <family val="3"/>
        <charset val="134"/>
      </rPr>
      <t>地类判定</t>
    </r>
    <phoneticPr fontId="6" type="noConversion"/>
  </si>
  <si>
    <r>
      <rPr>
        <sz val="11"/>
        <rFont val="楷体_GB2312"/>
        <family val="3"/>
        <charset val="134"/>
      </rPr>
      <t>法定最高</t>
    </r>
    <r>
      <rPr>
        <sz val="11"/>
        <rFont val="Arial"/>
        <family val="2"/>
      </rPr>
      <t>/</t>
    </r>
    <r>
      <rPr>
        <sz val="11"/>
        <rFont val="楷体_GB2312"/>
        <family val="3"/>
        <charset val="134"/>
      </rPr>
      <t>出让年限</t>
    </r>
    <phoneticPr fontId="6" type="noConversion"/>
  </si>
  <si>
    <r>
      <rPr>
        <sz val="11"/>
        <color indexed="8"/>
        <rFont val="楷体_GB2312"/>
        <family val="3"/>
        <charset val="134"/>
      </rPr>
      <t>终止日期</t>
    </r>
    <phoneticPr fontId="6" type="noConversion"/>
  </si>
  <si>
    <r>
      <rPr>
        <sz val="11"/>
        <color indexed="8"/>
        <rFont val="楷体_GB2312"/>
        <family val="3"/>
        <charset val="134"/>
      </rPr>
      <t>剩余土地使用年限</t>
    </r>
    <phoneticPr fontId="6" type="noConversion"/>
  </si>
  <si>
    <r>
      <rPr>
        <sz val="11"/>
        <color indexed="8"/>
        <rFont val="楷体_GB2312"/>
        <family val="3"/>
        <charset val="134"/>
      </rPr>
      <t>年期修正系数</t>
    </r>
    <phoneticPr fontId="6"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</si>
  <si>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6" type="noConversion"/>
  </si>
  <si>
    <r>
      <rPr>
        <sz val="11"/>
        <color indexed="8"/>
        <rFont val="楷体_GB2312"/>
        <family val="3"/>
        <charset val="134"/>
      </rPr>
      <t>建筑面积</t>
    </r>
    <phoneticPr fontId="7" type="noConversion"/>
  </si>
  <si>
    <r>
      <rPr>
        <sz val="11"/>
        <color indexed="8"/>
        <rFont val="楷体_GB2312"/>
        <family val="3"/>
        <charset val="134"/>
      </rPr>
      <t>单方造价</t>
    </r>
    <phoneticPr fontId="7" type="noConversion"/>
  </si>
  <si>
    <r>
      <rPr>
        <sz val="11"/>
        <color indexed="8"/>
        <rFont val="楷体_GB2312"/>
        <family val="3"/>
        <charset val="134"/>
      </rPr>
      <t>建安总额</t>
    </r>
    <phoneticPr fontId="7" type="noConversion"/>
  </si>
  <si>
    <r>
      <rPr>
        <sz val="11"/>
        <color indexed="8"/>
        <rFont val="楷体_GB2312"/>
        <family val="3"/>
        <charset val="134"/>
      </rPr>
      <t>在建建安</t>
    </r>
    <phoneticPr fontId="7" type="noConversion"/>
  </si>
  <si>
    <r>
      <rPr>
        <sz val="11"/>
        <color indexed="8"/>
        <rFont val="楷体_GB2312"/>
        <family val="3"/>
        <charset val="134"/>
      </rPr>
      <t>续建建安</t>
    </r>
    <phoneticPr fontId="7" type="noConversion"/>
  </si>
  <si>
    <r>
      <rPr>
        <sz val="11"/>
        <color indexed="8"/>
        <rFont val="楷体_GB2312"/>
        <family val="3"/>
        <charset val="134"/>
      </rPr>
      <t>利润</t>
    </r>
    <phoneticPr fontId="6" type="noConversion"/>
  </si>
  <si>
    <r>
      <rPr>
        <sz val="11"/>
        <color indexed="8"/>
        <rFont val="楷体_GB2312"/>
        <family val="3"/>
        <charset val="134"/>
      </rPr>
      <t>分摊土地面积（经营性）</t>
    </r>
    <phoneticPr fontId="6" type="noConversion"/>
  </si>
  <si>
    <r>
      <rPr>
        <sz val="11"/>
        <color indexed="8"/>
        <rFont val="楷体_GB2312"/>
        <family val="3"/>
        <charset val="134"/>
      </rPr>
      <t>总建安（分摊非经营）</t>
    </r>
    <phoneticPr fontId="6" type="noConversion"/>
  </si>
  <si>
    <r>
      <rPr>
        <sz val="11"/>
        <color indexed="8"/>
        <rFont val="楷体_GB2312"/>
        <family val="3"/>
        <charset val="134"/>
      </rPr>
      <t>租金</t>
    </r>
    <phoneticPr fontId="6" type="noConversion"/>
  </si>
  <si>
    <r>
      <rPr>
        <sz val="11"/>
        <color indexed="8"/>
        <rFont val="楷体_GB2312"/>
        <family val="3"/>
        <charset val="134"/>
      </rPr>
      <t>年租金增长率</t>
    </r>
    <phoneticPr fontId="6" type="noConversion"/>
  </si>
  <si>
    <r>
      <rPr>
        <sz val="11"/>
        <color indexed="8"/>
        <rFont val="楷体_GB2312"/>
        <family val="3"/>
        <charset val="134"/>
      </rPr>
      <t>空置率</t>
    </r>
    <phoneticPr fontId="6" type="noConversion"/>
  </si>
  <si>
    <r>
      <rPr>
        <sz val="11"/>
        <color indexed="8"/>
        <rFont val="楷体_GB2312"/>
        <family val="3"/>
        <charset val="134"/>
      </rPr>
      <t>成新度</t>
    </r>
    <phoneticPr fontId="6" type="noConversion"/>
  </si>
  <si>
    <r>
      <rPr>
        <sz val="11"/>
        <color indexed="8"/>
        <rFont val="楷体_GB2312"/>
        <family val="3"/>
        <charset val="134"/>
      </rPr>
      <t>租金</t>
    </r>
    <phoneticPr fontId="6" type="noConversion"/>
  </si>
  <si>
    <r>
      <rPr>
        <sz val="11"/>
        <color indexed="8"/>
        <rFont val="楷体_GB2312"/>
        <family val="3"/>
        <charset val="134"/>
      </rPr>
      <t>剩余租赁期</t>
    </r>
    <phoneticPr fontId="6" type="noConversion"/>
  </si>
  <si>
    <r>
      <rPr>
        <sz val="11"/>
        <color indexed="8"/>
        <rFont val="楷体_GB2312"/>
        <family val="3"/>
        <charset val="134"/>
      </rPr>
      <t>租赁期外收益期</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</si>
  <si>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6" type="noConversion"/>
  </si>
  <si>
    <r>
      <rPr>
        <sz val="11"/>
        <color indexed="8"/>
        <rFont val="楷体_GB2312"/>
        <family val="3"/>
        <charset val="134"/>
      </rPr>
      <t>维修费率</t>
    </r>
    <phoneticPr fontId="6" type="noConversion"/>
  </si>
  <si>
    <r>
      <rPr>
        <sz val="11"/>
        <color indexed="8"/>
        <rFont val="楷体_GB2312"/>
        <family val="3"/>
        <charset val="134"/>
      </rPr>
      <t>保险费率</t>
    </r>
    <phoneticPr fontId="6" type="noConversion"/>
  </si>
  <si>
    <r>
      <rPr>
        <sz val="11"/>
        <color indexed="8"/>
        <rFont val="楷体_GB2312"/>
        <family val="3"/>
        <charset val="134"/>
      </rPr>
      <t>管理费率</t>
    </r>
    <phoneticPr fontId="6" type="noConversion"/>
  </si>
  <si>
    <r>
      <rPr>
        <b/>
        <sz val="11"/>
        <color indexed="8"/>
        <rFont val="楷体_GB2312"/>
        <family val="3"/>
        <charset val="134"/>
      </rPr>
      <t>合计</t>
    </r>
    <phoneticPr fontId="7" type="noConversion"/>
  </si>
  <si>
    <r>
      <rPr>
        <b/>
        <sz val="11"/>
        <color indexed="8"/>
        <rFont val="楷体_GB2312"/>
        <family val="3"/>
        <charset val="134"/>
      </rPr>
      <t>开发期</t>
    </r>
    <phoneticPr fontId="6" type="noConversion"/>
  </si>
  <si>
    <r>
      <rPr>
        <sz val="11"/>
        <rFont val="楷体_GB2312"/>
        <family val="3"/>
        <charset val="134"/>
      </rPr>
      <t>土地开发期</t>
    </r>
  </si>
  <si>
    <r>
      <rPr>
        <sz val="11"/>
        <rFont val="楷体_GB2312"/>
        <family val="3"/>
        <charset val="134"/>
      </rPr>
      <t>建设期</t>
    </r>
    <phoneticPr fontId="7" type="noConversion"/>
  </si>
  <si>
    <r>
      <rPr>
        <sz val="11"/>
        <color indexed="8"/>
        <rFont val="楷体_GB2312"/>
        <family val="3"/>
        <charset val="134"/>
      </rPr>
      <t>已建工期</t>
    </r>
    <phoneticPr fontId="7" type="noConversion"/>
  </si>
  <si>
    <r>
      <rPr>
        <sz val="11"/>
        <rFont val="楷体_GB2312"/>
        <family val="3"/>
        <charset val="134"/>
      </rPr>
      <t>项目开发期</t>
    </r>
    <phoneticPr fontId="7" type="noConversion"/>
  </si>
  <si>
    <r>
      <rPr>
        <sz val="11"/>
        <color indexed="8"/>
        <rFont val="楷体_GB2312"/>
        <family val="3"/>
        <charset val="134"/>
      </rPr>
      <t>项目已运行</t>
    </r>
    <phoneticPr fontId="7" type="noConversion"/>
  </si>
  <si>
    <r>
      <rPr>
        <sz val="11"/>
        <rFont val="楷体_GB2312"/>
        <family val="3"/>
        <charset val="134"/>
      </rPr>
      <t>续建工期</t>
    </r>
    <phoneticPr fontId="7" type="noConversion"/>
  </si>
  <si>
    <r>
      <rPr>
        <b/>
        <sz val="11"/>
        <color indexed="8"/>
        <rFont val="楷体_GB2312"/>
        <family val="3"/>
        <charset val="134"/>
      </rPr>
      <t>其他取费</t>
    </r>
    <phoneticPr fontId="6" type="noConversion"/>
  </si>
  <si>
    <r>
      <rPr>
        <sz val="11"/>
        <color indexed="8"/>
        <rFont val="楷体_GB2312"/>
        <family val="3"/>
        <charset val="134"/>
      </rPr>
      <t>取值</t>
    </r>
    <phoneticPr fontId="6" type="noConversion"/>
  </si>
  <si>
    <r>
      <rPr>
        <sz val="11"/>
        <color indexed="8"/>
        <rFont val="楷体_GB2312"/>
        <family val="3"/>
        <charset val="134"/>
      </rPr>
      <t>备注</t>
    </r>
    <phoneticPr fontId="6" type="noConversion"/>
  </si>
  <si>
    <r>
      <rPr>
        <sz val="11"/>
        <color indexed="8"/>
        <rFont val="楷体_GB2312"/>
        <family val="3"/>
        <charset val="134"/>
      </rPr>
      <t>红线外市政基础设施（总）</t>
    </r>
    <phoneticPr fontId="6" type="noConversion"/>
  </si>
  <si>
    <r>
      <rPr>
        <sz val="11"/>
        <color indexed="8"/>
        <rFont val="楷体_GB2312"/>
        <family val="3"/>
        <charset val="134"/>
      </rPr>
      <t>红线外市政基础设施（现状）</t>
    </r>
    <phoneticPr fontId="6" type="noConversion"/>
  </si>
  <si>
    <r>
      <rPr>
        <sz val="11"/>
        <color indexed="8"/>
        <rFont val="楷体_GB2312"/>
        <family val="3"/>
        <charset val="134"/>
      </rPr>
      <t>红线外市政基础设施（待完成）</t>
    </r>
    <phoneticPr fontId="6" type="noConversion"/>
  </si>
  <si>
    <r>
      <rPr>
        <sz val="11"/>
        <color indexed="8"/>
        <rFont val="楷体_GB2312"/>
        <family val="3"/>
        <charset val="134"/>
      </rPr>
      <t>红线内市政基础设施</t>
    </r>
    <phoneticPr fontId="6" type="noConversion"/>
  </si>
  <si>
    <r>
      <rPr>
        <sz val="11"/>
        <color indexed="8"/>
        <rFont val="楷体_GB2312"/>
        <family val="3"/>
        <charset val="134"/>
      </rPr>
      <t>建造成本中相关税费</t>
    </r>
    <phoneticPr fontId="6" type="noConversion"/>
  </si>
  <si>
    <r>
      <rPr>
        <sz val="11"/>
        <color indexed="8"/>
        <rFont val="楷体_GB2312"/>
        <family val="3"/>
        <charset val="134"/>
      </rPr>
      <t>勘察设计和前期工程费</t>
    </r>
    <phoneticPr fontId="6" type="noConversion"/>
  </si>
  <si>
    <r>
      <rPr>
        <sz val="11"/>
        <color indexed="8"/>
        <rFont val="楷体_GB2312"/>
        <family val="3"/>
        <charset val="134"/>
      </rPr>
      <t>公共配套设施费用</t>
    </r>
    <phoneticPr fontId="6" type="noConversion"/>
  </si>
  <si>
    <r>
      <rPr>
        <sz val="11"/>
        <color indexed="8"/>
        <rFont val="楷体_GB2312"/>
        <family val="3"/>
        <charset val="134"/>
      </rPr>
      <t>管理费用</t>
    </r>
    <phoneticPr fontId="6" type="noConversion"/>
  </si>
  <si>
    <r>
      <rPr>
        <sz val="11"/>
        <color indexed="8"/>
        <rFont val="楷体_GB2312"/>
        <family val="3"/>
        <charset val="134"/>
      </rPr>
      <t>销售费用</t>
    </r>
    <phoneticPr fontId="6"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</si>
  <si>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6" type="noConversion"/>
  </si>
  <si>
    <r>
      <rPr>
        <sz val="11"/>
        <color indexed="8"/>
        <rFont val="楷体_GB2312"/>
        <family val="3"/>
        <charset val="134"/>
      </rPr>
      <t>增值税</t>
    </r>
    <phoneticPr fontId="6" type="noConversion"/>
  </si>
  <si>
    <r>
      <rPr>
        <sz val="11"/>
        <color indexed="8"/>
        <rFont val="楷体_GB2312"/>
        <family val="3"/>
        <charset val="134"/>
      </rPr>
      <t>附加税合计</t>
    </r>
    <phoneticPr fontId="6" type="noConversion"/>
  </si>
  <si>
    <r>
      <rPr>
        <sz val="11"/>
        <color indexed="8"/>
        <rFont val="楷体_GB2312"/>
        <family val="3"/>
        <charset val="134"/>
      </rPr>
      <t>城市维护建设税</t>
    </r>
    <phoneticPr fontId="6" type="noConversion"/>
  </si>
  <si>
    <r>
      <rPr>
        <sz val="11"/>
        <color indexed="8"/>
        <rFont val="楷体_GB2312"/>
        <family val="3"/>
        <charset val="134"/>
      </rPr>
      <t>教育费附加</t>
    </r>
    <phoneticPr fontId="6" type="noConversion"/>
  </si>
  <si>
    <r>
      <rPr>
        <sz val="11"/>
        <color indexed="8"/>
        <rFont val="楷体_GB2312"/>
        <family val="3"/>
        <charset val="134"/>
      </rPr>
      <t>地方教育费附加</t>
    </r>
    <phoneticPr fontId="6" type="noConversion"/>
  </si>
  <si>
    <r>
      <rPr>
        <sz val="11"/>
        <color indexed="8"/>
        <rFont val="楷体_GB2312"/>
        <family val="3"/>
        <charset val="134"/>
      </rPr>
      <t>其他税种</t>
    </r>
    <phoneticPr fontId="6" type="noConversion"/>
  </si>
  <si>
    <r>
      <rPr>
        <sz val="11"/>
        <color indexed="8"/>
        <rFont val="楷体_GB2312"/>
        <family val="3"/>
        <charset val="134"/>
      </rPr>
      <t>契税</t>
    </r>
    <phoneticPr fontId="6" type="noConversion"/>
  </si>
  <si>
    <r>
      <rPr>
        <sz val="11"/>
        <color indexed="8"/>
        <rFont val="楷体_GB2312"/>
        <family val="3"/>
        <charset val="134"/>
      </rPr>
      <t>印花税</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</si>
  <si>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</si>
  <si>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6" type="noConversion"/>
  </si>
  <si>
    <r>
      <rPr>
        <sz val="11"/>
        <color indexed="8"/>
        <rFont val="楷体_GB2312"/>
        <family val="3"/>
        <charset val="134"/>
      </rPr>
      <t>土地使用税</t>
    </r>
    <phoneticPr fontId="6" type="noConversion"/>
  </si>
  <si>
    <r>
      <rPr>
        <sz val="11"/>
        <color indexed="8"/>
        <rFont val="楷体_GB2312"/>
        <family val="3"/>
        <charset val="134"/>
      </rPr>
      <t>城镇土地纳税等级分级范围</t>
    </r>
    <phoneticPr fontId="6"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</si>
  <si>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</si>
  <si>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</si>
  <si>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</si>
  <si>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</si>
  <si>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</si>
  <si>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</si>
  <si>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1"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</si>
  <si>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</si>
  <si>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1"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</si>
  <si>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1"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</si>
  <si>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</si>
  <si>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</si>
  <si>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</si>
  <si>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</si>
  <si>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</si>
  <si>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</si>
  <si>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</si>
  <si>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</si>
  <si>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</si>
  <si>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</si>
  <si>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</si>
  <si>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1"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</si>
  <si>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1"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</si>
  <si>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</si>
  <si>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</si>
  <si>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</si>
  <si>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2" type="noConversion"/>
  </si>
  <si>
    <r>
      <rPr>
        <sz val="11"/>
        <color indexed="8"/>
        <rFont val="仿宋_GB2312"/>
        <family val="3"/>
        <charset val="134"/>
      </rPr>
      <t>总价</t>
    </r>
    <phoneticPr fontId="12" type="noConversion"/>
  </si>
  <si>
    <r>
      <rPr>
        <b/>
        <sz val="11"/>
        <color indexed="8"/>
        <rFont val="仿宋_GB2312"/>
        <family val="3"/>
        <charset val="134"/>
      </rPr>
      <t>权重结果</t>
    </r>
    <phoneticPr fontId="12" type="noConversion"/>
  </si>
  <si>
    <r>
      <rPr>
        <sz val="10"/>
        <color indexed="8"/>
        <rFont val="仿宋_GB2312"/>
        <family val="3"/>
        <charset val="134"/>
      </rPr>
      <t>万元</t>
    </r>
    <phoneticPr fontId="11" type="noConversion"/>
  </si>
  <si>
    <r>
      <rPr>
        <sz val="11"/>
        <color indexed="8"/>
        <rFont val="仿宋_GB2312"/>
        <family val="3"/>
        <charset val="134"/>
      </rPr>
      <t>楼面地价</t>
    </r>
    <phoneticPr fontId="12"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</si>
  <si>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2" type="noConversion"/>
  </si>
  <si>
    <r>
      <rPr>
        <sz val="11"/>
        <color indexed="8"/>
        <rFont val="仿宋_GB2312"/>
        <family val="3"/>
        <charset val="134"/>
      </rPr>
      <t>单位面积地价</t>
    </r>
    <phoneticPr fontId="12" type="noConversion"/>
  </si>
  <si>
    <r>
      <rPr>
        <b/>
        <sz val="11"/>
        <color indexed="8"/>
        <rFont val="仿宋_GB2312"/>
        <family val="3"/>
        <charset val="134"/>
      </rPr>
      <t>各方法结果差值</t>
    </r>
    <phoneticPr fontId="11"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</si>
  <si>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1"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</si>
  <si>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1" type="noConversion"/>
  </si>
  <si>
    <r>
      <rPr>
        <sz val="11"/>
        <color indexed="8"/>
        <rFont val="仿宋_GB2312"/>
        <family val="3"/>
        <charset val="134"/>
      </rPr>
      <t>楼面地价</t>
    </r>
  </si>
  <si>
    <r>
      <rPr>
        <sz val="11"/>
        <color indexed="10"/>
        <rFont val="仿宋_GB2312"/>
        <family val="3"/>
        <charset val="134"/>
      </rPr>
      <t>扣减项</t>
    </r>
    <phoneticPr fontId="11" type="noConversion"/>
  </si>
  <si>
    <r>
      <rPr>
        <sz val="11"/>
        <color indexed="10"/>
        <rFont val="仿宋_GB2312"/>
        <family val="3"/>
        <charset val="134"/>
      </rPr>
      <t>面积</t>
    </r>
    <phoneticPr fontId="11" type="noConversion"/>
  </si>
  <si>
    <r>
      <rPr>
        <sz val="11"/>
        <color indexed="10"/>
        <rFont val="仿宋_GB2312"/>
        <family val="3"/>
        <charset val="134"/>
      </rPr>
      <t>单价</t>
    </r>
    <phoneticPr fontId="11" type="noConversion"/>
  </si>
  <si>
    <r>
      <rPr>
        <sz val="11"/>
        <color indexed="10"/>
        <rFont val="仿宋_GB2312"/>
        <family val="3"/>
        <charset val="134"/>
      </rPr>
      <t>总值</t>
    </r>
    <phoneticPr fontId="11" type="noConversion"/>
  </si>
  <si>
    <r>
      <rPr>
        <sz val="11"/>
        <color indexed="10"/>
        <rFont val="仿宋_GB2312"/>
        <family val="3"/>
        <charset val="134"/>
      </rPr>
      <t>合计</t>
    </r>
    <phoneticPr fontId="11" type="noConversion"/>
  </si>
  <si>
    <r>
      <rPr>
        <b/>
        <sz val="11"/>
        <color indexed="8"/>
        <rFont val="仿宋_GB2312"/>
        <family val="3"/>
        <charset val="134"/>
      </rPr>
      <t>土地价格</t>
    </r>
    <phoneticPr fontId="12" type="noConversion"/>
  </si>
  <si>
    <r>
      <rPr>
        <b/>
        <sz val="11"/>
        <color indexed="8"/>
        <rFont val="仿宋_GB2312"/>
        <family val="3"/>
        <charset val="134"/>
      </rPr>
      <t>优先受偿情况</t>
    </r>
    <phoneticPr fontId="11" type="noConversion"/>
  </si>
  <si>
    <r>
      <rPr>
        <sz val="11"/>
        <color indexed="8"/>
        <rFont val="仿宋_GB2312"/>
        <family val="3"/>
        <charset val="134"/>
      </rPr>
      <t>已抵押担保数额</t>
    </r>
    <phoneticPr fontId="11"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</si>
  <si>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2" type="noConversion"/>
  </si>
  <si>
    <r>
      <rPr>
        <sz val="11"/>
        <color indexed="8"/>
        <rFont val="仿宋_GB2312"/>
        <family val="3"/>
        <charset val="134"/>
      </rPr>
      <t>拖欠工程款</t>
    </r>
    <phoneticPr fontId="11" type="noConversion"/>
  </si>
  <si>
    <r>
      <rPr>
        <sz val="11"/>
        <color indexed="8"/>
        <rFont val="仿宋_GB2312"/>
        <family val="3"/>
        <charset val="134"/>
      </rPr>
      <t>其他</t>
    </r>
    <phoneticPr fontId="11" type="noConversion"/>
  </si>
  <si>
    <r>
      <rPr>
        <sz val="11"/>
        <color indexed="8"/>
        <rFont val="仿宋_GB2312"/>
        <family val="3"/>
        <charset val="134"/>
      </rPr>
      <t>补交地价款</t>
    </r>
    <phoneticPr fontId="12" type="noConversion"/>
  </si>
  <si>
    <r>
      <rPr>
        <b/>
        <sz val="11"/>
        <color indexed="8"/>
        <rFont val="仿宋_GB2312"/>
        <family val="3"/>
        <charset val="134"/>
      </rPr>
      <t>补交地价款</t>
    </r>
    <phoneticPr fontId="11" type="noConversion"/>
  </si>
  <si>
    <r>
      <rPr>
        <sz val="11"/>
        <color indexed="10"/>
        <rFont val="仿宋_GB2312"/>
        <family val="3"/>
        <charset val="134"/>
      </rPr>
      <t>单价</t>
    </r>
    <phoneticPr fontId="11" type="noConversion"/>
  </si>
  <si>
    <r>
      <rPr>
        <sz val="11"/>
        <color indexed="10"/>
        <rFont val="仿宋_GB2312"/>
        <family val="3"/>
        <charset val="134"/>
      </rPr>
      <t>税费</t>
    </r>
    <phoneticPr fontId="11" type="noConversion"/>
  </si>
  <si>
    <r>
      <rPr>
        <sz val="11"/>
        <color indexed="10"/>
        <rFont val="仿宋_GB2312"/>
        <family val="3"/>
        <charset val="134"/>
      </rPr>
      <t>总值</t>
    </r>
    <phoneticPr fontId="11" type="noConversion"/>
  </si>
  <si>
    <r>
      <t>(</t>
    </r>
    <r>
      <rPr>
        <sz val="10"/>
        <color indexed="8"/>
        <rFont val="仿宋_GB2312"/>
        <family val="3"/>
        <charset val="134"/>
      </rPr>
      <t>列示计算过程</t>
    </r>
    <r>
      <rPr>
        <sz val="10"/>
        <color indexed="8"/>
        <rFont val="Arial"/>
        <family val="2"/>
      </rPr>
      <t>,</t>
    </r>
    <phoneticPr fontId="12" type="noConversion"/>
  </si>
  <si>
    <r>
      <rPr>
        <sz val="10"/>
        <color indexed="8"/>
        <rFont val="仿宋_GB2312"/>
        <family val="3"/>
        <charset val="134"/>
      </rPr>
      <t>不固定格式</t>
    </r>
    <r>
      <rPr>
        <sz val="10"/>
        <color indexed="8"/>
        <rFont val="Arial"/>
        <family val="2"/>
      </rPr>
      <t>)</t>
    </r>
    <phoneticPr fontId="12"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</si>
  <si>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</si>
  <si>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</si>
  <si>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</si>
  <si>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</si>
  <si>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</si>
  <si>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</si>
  <si>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2" type="noConversion"/>
  </si>
  <si>
    <r>
      <rPr>
        <b/>
        <sz val="12"/>
        <color indexed="8"/>
        <rFont val="仿宋_GB2312"/>
        <family val="3"/>
        <charset val="134"/>
      </rPr>
      <t>总额</t>
    </r>
    <phoneticPr fontId="12" type="noConversion"/>
  </si>
  <si>
    <r>
      <rPr>
        <b/>
        <sz val="12"/>
        <color indexed="8"/>
        <rFont val="仿宋_GB2312"/>
        <family val="3"/>
        <charset val="134"/>
      </rPr>
      <t>楼面地价</t>
    </r>
    <phoneticPr fontId="12" type="noConversion"/>
  </si>
  <si>
    <r>
      <rPr>
        <b/>
        <sz val="12"/>
        <color indexed="8"/>
        <rFont val="仿宋_GB2312"/>
        <family val="3"/>
        <charset val="134"/>
      </rPr>
      <t>单位面积地价</t>
    </r>
    <phoneticPr fontId="12" type="noConversion"/>
  </si>
  <si>
    <r>
      <rPr>
        <b/>
        <sz val="12"/>
        <color indexed="8"/>
        <rFont val="仿宋_GB2312"/>
        <family val="3"/>
        <charset val="134"/>
      </rPr>
      <t>每亩价格</t>
    </r>
    <phoneticPr fontId="12"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</si>
  <si>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</si>
  <si>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</si>
  <si>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</si>
  <si>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</si>
  <si>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</si>
  <si>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1"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</si>
  <si>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</si>
  <si>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6"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</si>
  <si>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1" type="noConversion"/>
  </si>
  <si>
    <r>
      <rPr>
        <b/>
        <sz val="10"/>
        <color indexed="8"/>
        <rFont val="仿宋_GB2312"/>
        <family val="3"/>
        <charset val="134"/>
      </rPr>
      <t>初审意见：</t>
    </r>
    <r>
      <rPr>
        <b/>
        <sz val="10"/>
        <color indexed="8"/>
        <rFont val="Arial"/>
        <family val="2"/>
      </rPr>
      <t xml:space="preserve">      </t>
    </r>
    <phoneticPr fontId="6"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</si>
  <si>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1" type="noConversion"/>
  </si>
  <si>
    <r>
      <rPr>
        <b/>
        <sz val="10"/>
        <color indexed="8"/>
        <rFont val="仿宋_GB2312"/>
        <family val="3"/>
        <charset val="134"/>
      </rPr>
      <t>终审意见：</t>
    </r>
    <r>
      <rPr>
        <b/>
        <sz val="10"/>
        <color indexed="8"/>
        <rFont val="Arial"/>
        <family val="2"/>
      </rPr>
      <t xml:space="preserve">      </t>
    </r>
    <phoneticPr fontId="6" type="noConversion"/>
  </si>
  <si>
    <r>
      <rPr>
        <b/>
        <sz val="14"/>
        <color indexed="10"/>
        <rFont val="仿宋_GB2312"/>
        <family val="3"/>
        <charset val="134"/>
      </rPr>
      <t>抵押净值计算</t>
    </r>
    <phoneticPr fontId="11"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</si>
  <si>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1" type="noConversion"/>
  </si>
  <si>
    <r>
      <rPr>
        <sz val="10"/>
        <color indexed="8"/>
        <rFont val="仿宋_GB2312"/>
        <family val="3"/>
        <charset val="134"/>
      </rPr>
      <t>按评估值的</t>
    </r>
    <phoneticPr fontId="11" type="noConversion"/>
  </si>
  <si>
    <r>
      <rPr>
        <sz val="10"/>
        <color indexed="8"/>
        <rFont val="仿宋_GB2312"/>
        <family val="3"/>
        <charset val="134"/>
      </rPr>
      <t>计算</t>
    </r>
    <phoneticPr fontId="11"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</si>
  <si>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</si>
  <si>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1" type="noConversion"/>
  </si>
  <si>
    <r>
      <rPr>
        <b/>
        <sz val="10"/>
        <color indexed="8"/>
        <rFont val="仿宋_GB2312"/>
        <family val="3"/>
        <charset val="134"/>
      </rPr>
      <t>估价对象基本情况</t>
    </r>
    <phoneticPr fontId="12" type="noConversion"/>
  </si>
  <si>
    <r>
      <rPr>
        <b/>
        <sz val="10"/>
        <color indexed="8"/>
        <rFont val="仿宋_GB2312"/>
        <family val="3"/>
        <charset val="134"/>
      </rPr>
      <t>税（费）种</t>
    </r>
    <phoneticPr fontId="11" type="noConversion"/>
  </si>
  <si>
    <r>
      <rPr>
        <sz val="10"/>
        <color indexed="8"/>
        <rFont val="仿宋_GB2312"/>
        <family val="3"/>
        <charset val="134"/>
      </rPr>
      <t>金额</t>
    </r>
    <phoneticPr fontId="11" type="noConversion"/>
  </si>
  <si>
    <r>
      <rPr>
        <sz val="10"/>
        <color indexed="8"/>
        <rFont val="仿宋_GB2312"/>
        <family val="3"/>
        <charset val="134"/>
      </rPr>
      <t>计算方法</t>
    </r>
    <phoneticPr fontId="11" type="noConversion"/>
  </si>
  <si>
    <r>
      <rPr>
        <b/>
        <sz val="10"/>
        <color indexed="8"/>
        <rFont val="仿宋_GB2312"/>
        <family val="3"/>
        <charset val="134"/>
      </rPr>
      <t>税（费）率</t>
    </r>
    <phoneticPr fontId="11" type="noConversion"/>
  </si>
  <si>
    <r>
      <rPr>
        <sz val="10"/>
        <color indexed="8"/>
        <rFont val="仿宋_GB2312"/>
        <family val="3"/>
        <charset val="134"/>
      </rPr>
      <t>备注</t>
    </r>
    <phoneticPr fontId="11" type="noConversion"/>
  </si>
  <si>
    <r>
      <rPr>
        <b/>
        <sz val="10"/>
        <color indexed="8"/>
        <rFont val="仿宋_GB2312"/>
        <family val="3"/>
        <charset val="134"/>
      </rPr>
      <t>估价对象</t>
    </r>
  </si>
  <si>
    <r>
      <t>1.</t>
    </r>
    <r>
      <rPr>
        <sz val="10"/>
        <color indexed="8"/>
        <rFont val="仿宋_GB2312"/>
        <family val="3"/>
        <charset val="134"/>
      </rPr>
      <t>增值税及附加</t>
    </r>
    <phoneticPr fontId="11" type="noConversion"/>
  </si>
  <si>
    <r>
      <rPr>
        <sz val="10"/>
        <color indexed="10"/>
        <rFont val="仿宋_GB2312"/>
        <family val="3"/>
        <charset val="134"/>
      </rPr>
      <t>属于免缴时请录入面缴类别</t>
    </r>
    <phoneticPr fontId="11"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</si>
  <si>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</si>
  <si>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</si>
  <si>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1"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</si>
  <si>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1" type="noConversion"/>
  </si>
  <si>
    <r>
      <rPr>
        <sz val="10"/>
        <color indexed="8"/>
        <rFont val="仿宋_GB2312"/>
        <family val="3"/>
        <charset val="134"/>
      </rPr>
      <t>免征</t>
    </r>
    <phoneticPr fontId="11" type="noConversion"/>
  </si>
  <si>
    <r>
      <rPr>
        <b/>
        <sz val="10"/>
        <color indexed="8"/>
        <rFont val="仿宋_GB2312"/>
        <family val="3"/>
        <charset val="134"/>
      </rPr>
      <t>评估总值</t>
    </r>
    <phoneticPr fontId="11"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</si>
  <si>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1" type="noConversion"/>
  </si>
  <si>
    <r>
      <rPr>
        <sz val="10"/>
        <color indexed="8"/>
        <rFont val="仿宋_GB2312"/>
        <family val="3"/>
        <charset val="134"/>
      </rPr>
      <t>个体工商户购买的住宅</t>
    </r>
    <phoneticPr fontId="11"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</si>
  <si>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1"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</si>
  <si>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1" type="noConversion"/>
  </si>
  <si>
    <r>
      <rPr>
        <sz val="10"/>
        <color indexed="8"/>
        <rFont val="仿宋_GB2312"/>
        <family val="3"/>
        <charset val="134"/>
      </rPr>
      <t>全额计税</t>
    </r>
    <phoneticPr fontId="11"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</si>
  <si>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</si>
  <si>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</si>
  <si>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</si>
  <si>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</si>
  <si>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</si>
  <si>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1"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</si>
  <si>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1" type="noConversion"/>
  </si>
  <si>
    <r>
      <rPr>
        <sz val="10"/>
        <color indexed="8"/>
        <rFont val="仿宋_GB2312"/>
        <family val="3"/>
        <charset val="134"/>
      </rPr>
      <t>增值税及附加</t>
    </r>
    <phoneticPr fontId="11"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</si>
  <si>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1"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</si>
  <si>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1" type="noConversion"/>
  </si>
  <si>
    <r>
      <rPr>
        <sz val="10"/>
        <color indexed="8"/>
        <rFont val="仿宋_GB2312"/>
        <family val="3"/>
        <charset val="134"/>
      </rPr>
      <t>差额计税</t>
    </r>
    <phoneticPr fontId="11" type="noConversion"/>
  </si>
  <si>
    <r>
      <rPr>
        <sz val="10"/>
        <color indexed="8"/>
        <rFont val="仿宋_GB2312"/>
        <family val="3"/>
        <charset val="134"/>
      </rPr>
      <t>印花税</t>
    </r>
    <phoneticPr fontId="11" type="noConversion"/>
  </si>
  <si>
    <r>
      <t>2.</t>
    </r>
    <r>
      <rPr>
        <sz val="10"/>
        <color indexed="8"/>
        <rFont val="仿宋_GB2312"/>
        <family val="3"/>
        <charset val="134"/>
      </rPr>
      <t>印花税</t>
    </r>
    <phoneticPr fontId="11"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</si>
  <si>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1" type="noConversion"/>
  </si>
  <si>
    <r>
      <rPr>
        <sz val="10"/>
        <color indexed="8"/>
        <rFont val="仿宋_GB2312"/>
        <family val="3"/>
        <charset val="134"/>
      </rPr>
      <t>正常</t>
    </r>
  </si>
  <si>
    <r>
      <rPr>
        <sz val="10"/>
        <color indexed="8"/>
        <rFont val="仿宋_GB2312"/>
        <family val="3"/>
        <charset val="134"/>
      </rPr>
      <t>土地增值税</t>
    </r>
    <phoneticPr fontId="11" type="noConversion"/>
  </si>
  <si>
    <r>
      <t>3.</t>
    </r>
    <r>
      <rPr>
        <sz val="10"/>
        <color indexed="8"/>
        <rFont val="仿宋_GB2312"/>
        <family val="3"/>
        <charset val="134"/>
      </rPr>
      <t>土地增值税</t>
    </r>
    <phoneticPr fontId="11"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</si>
  <si>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1" type="noConversion"/>
  </si>
  <si>
    <r>
      <rPr>
        <sz val="10"/>
        <color indexed="10"/>
        <rFont val="仿宋_GB2312"/>
        <family val="3"/>
        <charset val="134"/>
      </rPr>
      <t>属于免缴时请录入面缴类别</t>
    </r>
    <phoneticPr fontId="11"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</si>
  <si>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1" type="noConversion"/>
  </si>
  <si>
    <r>
      <rPr>
        <sz val="10"/>
        <color indexed="8"/>
        <rFont val="仿宋_GB2312"/>
        <family val="3"/>
        <charset val="134"/>
      </rPr>
      <t>个人住宅</t>
    </r>
    <phoneticPr fontId="11" type="noConversion"/>
  </si>
  <si>
    <r>
      <rPr>
        <sz val="10"/>
        <color indexed="8"/>
        <rFont val="仿宋_GB2312"/>
        <family val="3"/>
        <charset val="134"/>
      </rPr>
      <t>免征</t>
    </r>
    <phoneticPr fontId="11"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</si>
  <si>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</si>
  <si>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1"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</si>
  <si>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1"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</si>
  <si>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</si>
  <si>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</si>
  <si>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1" type="noConversion"/>
  </si>
  <si>
    <r>
      <rPr>
        <b/>
        <sz val="10"/>
        <color indexed="8"/>
        <rFont val="仿宋_GB2312"/>
        <family val="3"/>
        <charset val="134"/>
      </rPr>
      <t>销售不动产增值税及附加计算</t>
    </r>
    <phoneticPr fontId="32" type="noConversion"/>
  </si>
  <si>
    <r>
      <rPr>
        <b/>
        <sz val="10"/>
        <rFont val="仿宋_GB2312"/>
        <family val="3"/>
        <charset val="134"/>
      </rPr>
      <t>项目</t>
    </r>
    <phoneticPr fontId="36" type="noConversion"/>
  </si>
  <si>
    <r>
      <rPr>
        <b/>
        <sz val="10"/>
        <rFont val="仿宋_GB2312"/>
        <family val="3"/>
        <charset val="134"/>
      </rPr>
      <t>系数</t>
    </r>
    <phoneticPr fontId="36" type="noConversion"/>
  </si>
  <si>
    <r>
      <rPr>
        <sz val="10"/>
        <color indexed="8"/>
        <rFont val="仿宋_GB2312"/>
        <family val="3"/>
        <charset val="134"/>
      </rPr>
      <t>备注</t>
    </r>
    <phoneticPr fontId="36" type="noConversion"/>
  </si>
  <si>
    <r>
      <rPr>
        <b/>
        <sz val="10"/>
        <rFont val="仿宋_GB2312"/>
        <family val="3"/>
        <charset val="134"/>
      </rPr>
      <t>销售额</t>
    </r>
    <phoneticPr fontId="32" type="noConversion"/>
  </si>
  <si>
    <r>
      <rPr>
        <sz val="10"/>
        <rFont val="仿宋_GB2312"/>
        <family val="3"/>
        <charset val="134"/>
      </rPr>
      <t>全部价款</t>
    </r>
    <phoneticPr fontId="36" type="noConversion"/>
  </si>
  <si>
    <r>
      <rPr>
        <sz val="10"/>
        <rFont val="仿宋_GB2312"/>
        <family val="3"/>
        <charset val="134"/>
      </rPr>
      <t>价外费用</t>
    </r>
    <phoneticPr fontId="32" type="noConversion"/>
  </si>
  <si>
    <r>
      <rPr>
        <b/>
        <sz val="10"/>
        <rFont val="仿宋_GB2312"/>
        <family val="3"/>
        <charset val="134"/>
      </rPr>
      <t>原购房价</t>
    </r>
    <r>
      <rPr>
        <b/>
        <sz val="10"/>
        <rFont val="Arial"/>
        <family val="2"/>
      </rPr>
      <t>/</t>
    </r>
    <r>
      <rPr>
        <b/>
        <sz val="10"/>
        <rFont val="仿宋_GB2312"/>
        <family val="3"/>
        <charset val="134"/>
      </rPr>
      <t>作价</t>
    </r>
    <phoneticPr fontId="36" type="noConversion"/>
  </si>
  <si>
    <r>
      <rPr>
        <b/>
        <sz val="10"/>
        <rFont val="仿宋_GB2312"/>
        <family val="3"/>
        <charset val="134"/>
      </rPr>
      <t>纳税基数</t>
    </r>
    <phoneticPr fontId="36" type="noConversion"/>
  </si>
  <si>
    <r>
      <rPr>
        <b/>
        <sz val="10"/>
        <rFont val="仿宋_GB2312"/>
        <family val="3"/>
        <charset val="134"/>
      </rPr>
      <t>纳税额</t>
    </r>
    <phoneticPr fontId="32" type="noConversion"/>
  </si>
  <si>
    <r>
      <rPr>
        <b/>
        <sz val="10"/>
        <rFont val="仿宋_GB2312"/>
        <family val="3"/>
        <charset val="134"/>
      </rPr>
      <t>土地增值税（转让取得）</t>
    </r>
    <phoneticPr fontId="36" type="noConversion"/>
  </si>
  <si>
    <r>
      <rPr>
        <sz val="10"/>
        <color indexed="8"/>
        <rFont val="仿宋_GB2312"/>
        <family val="3"/>
        <charset val="134"/>
      </rPr>
      <t>备注</t>
    </r>
    <phoneticPr fontId="36" type="noConversion"/>
  </si>
  <si>
    <r>
      <rPr>
        <b/>
        <sz val="10"/>
        <rFont val="仿宋_GB2312"/>
        <family val="3"/>
        <charset val="134"/>
      </rPr>
      <t>转让收入</t>
    </r>
    <phoneticPr fontId="36" type="noConversion"/>
  </si>
  <si>
    <r>
      <rPr>
        <b/>
        <sz val="10"/>
        <color indexed="8"/>
        <rFont val="仿宋_GB2312"/>
        <family val="3"/>
        <charset val="134"/>
      </rPr>
      <t>扣除项合计</t>
    </r>
    <phoneticPr fontId="36" type="noConversion"/>
  </si>
  <si>
    <r>
      <rPr>
        <sz val="10"/>
        <rFont val="仿宋_GB2312"/>
        <family val="3"/>
        <charset val="134"/>
      </rPr>
      <t>原购房价及相关税费</t>
    </r>
    <phoneticPr fontId="36" type="noConversion"/>
  </si>
  <si>
    <r>
      <rPr>
        <sz val="10"/>
        <rFont val="仿宋_GB2312"/>
        <family val="3"/>
        <charset val="134"/>
      </rPr>
      <t>原购房价</t>
    </r>
    <phoneticPr fontId="36" type="noConversion"/>
  </si>
  <si>
    <r>
      <rPr>
        <sz val="11"/>
        <color indexed="8"/>
        <rFont val="仿宋_GB2312"/>
        <family val="3"/>
        <charset val="134"/>
      </rPr>
      <t>原购房价依据</t>
    </r>
    <phoneticPr fontId="32" type="noConversion"/>
  </si>
  <si>
    <r>
      <rPr>
        <sz val="11"/>
        <color indexed="8"/>
        <rFont val="仿宋_GB2312"/>
        <family val="3"/>
        <charset val="134"/>
      </rPr>
      <t>购房发票</t>
    </r>
  </si>
  <si>
    <r>
      <rPr>
        <sz val="11"/>
        <color indexed="8"/>
        <rFont val="仿宋_GB2312"/>
        <family val="3"/>
        <charset val="134"/>
      </rPr>
      <t>已购年限</t>
    </r>
    <phoneticPr fontId="32" type="noConversion"/>
  </si>
  <si>
    <r>
      <rPr>
        <sz val="10"/>
        <rFont val="仿宋_GB2312"/>
        <family val="3"/>
        <charset val="134"/>
      </rPr>
      <t>加计扣减项</t>
    </r>
    <phoneticPr fontId="32"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</si>
  <si>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6" type="noConversion"/>
  </si>
  <si>
    <r>
      <rPr>
        <sz val="10"/>
        <rFont val="仿宋_GB2312"/>
        <family val="3"/>
        <charset val="134"/>
      </rPr>
      <t>相关税费</t>
    </r>
    <phoneticPr fontId="36" type="noConversion"/>
  </si>
  <si>
    <r>
      <rPr>
        <sz val="10"/>
        <color indexed="8"/>
        <rFont val="仿宋_GB2312"/>
        <family val="3"/>
        <charset val="134"/>
      </rPr>
      <t>含契税及印花税</t>
    </r>
    <phoneticPr fontId="36" type="noConversion"/>
  </si>
  <si>
    <r>
      <rPr>
        <sz val="10"/>
        <rFont val="仿宋_GB2312"/>
        <family val="3"/>
        <charset val="134"/>
      </rPr>
      <t>转让税金支出</t>
    </r>
    <phoneticPr fontId="36" type="noConversion"/>
  </si>
  <si>
    <r>
      <rPr>
        <b/>
        <sz val="10"/>
        <rFont val="仿宋_GB2312"/>
        <family val="3"/>
        <charset val="134"/>
      </rPr>
      <t>增值额</t>
    </r>
    <phoneticPr fontId="36" type="noConversion"/>
  </si>
  <si>
    <r>
      <rPr>
        <b/>
        <sz val="10"/>
        <rFont val="仿宋_GB2312"/>
        <family val="3"/>
        <charset val="134"/>
      </rPr>
      <t>增值额与扣除项比率</t>
    </r>
    <phoneticPr fontId="36" type="noConversion"/>
  </si>
  <si>
    <r>
      <rPr>
        <b/>
        <sz val="10"/>
        <rFont val="仿宋_GB2312"/>
        <family val="3"/>
        <charset val="134"/>
      </rPr>
      <t>应纳增值税税额</t>
    </r>
    <phoneticPr fontId="36" type="noConversion"/>
  </si>
  <si>
    <r>
      <rPr>
        <b/>
        <sz val="10"/>
        <rFont val="仿宋_GB2312"/>
        <family val="3"/>
        <charset val="134"/>
      </rPr>
      <t>土地增值税（自行开发建设）</t>
    </r>
    <phoneticPr fontId="36" type="noConversion"/>
  </si>
  <si>
    <r>
      <rPr>
        <sz val="10"/>
        <rFont val="仿宋_GB2312"/>
        <family val="3"/>
        <charset val="134"/>
      </rPr>
      <t>土地取得成本</t>
    </r>
    <phoneticPr fontId="36" type="noConversion"/>
  </si>
  <si>
    <r>
      <rPr>
        <sz val="10"/>
        <rFont val="仿宋_GB2312"/>
        <family val="3"/>
        <charset val="134"/>
      </rPr>
      <t>土地取得费用</t>
    </r>
    <phoneticPr fontId="36" type="noConversion"/>
  </si>
  <si>
    <r>
      <rPr>
        <sz val="10"/>
        <color indexed="8"/>
        <rFont val="仿宋_GB2312"/>
        <family val="3"/>
        <charset val="134"/>
      </rPr>
      <t>依据出让合同</t>
    </r>
    <phoneticPr fontId="32" type="noConversion"/>
  </si>
  <si>
    <r>
      <rPr>
        <sz val="9"/>
        <color indexed="8"/>
        <rFont val="仿宋_GB2312"/>
        <family val="3"/>
        <charset val="134"/>
      </rPr>
      <t>出让价款内涵：</t>
    </r>
    <phoneticPr fontId="32" type="noConversion"/>
  </si>
  <si>
    <r>
      <rPr>
        <sz val="10"/>
        <color indexed="8"/>
        <rFont val="仿宋_GB2312"/>
        <family val="3"/>
        <charset val="134"/>
      </rPr>
      <t>契税及印花税</t>
    </r>
    <phoneticPr fontId="32" type="noConversion"/>
  </si>
  <si>
    <r>
      <rPr>
        <sz val="10"/>
        <rFont val="仿宋_GB2312"/>
        <family val="3"/>
        <charset val="134"/>
      </rPr>
      <t>土地开发费</t>
    </r>
    <phoneticPr fontId="36" type="noConversion"/>
  </si>
  <si>
    <r>
      <rPr>
        <sz val="10"/>
        <rFont val="仿宋_GB2312"/>
        <family val="3"/>
        <charset val="134"/>
      </rPr>
      <t>建造成本</t>
    </r>
    <phoneticPr fontId="36" type="noConversion"/>
  </si>
  <si>
    <r>
      <rPr>
        <sz val="10"/>
        <color indexed="8"/>
        <rFont val="仿宋_GB2312"/>
        <family val="3"/>
        <charset val="134"/>
      </rPr>
      <t>包括前期工程费、建筑安装工程费、基础设施费和公共配套费等</t>
    </r>
    <phoneticPr fontId="32" type="noConversion"/>
  </si>
  <si>
    <r>
      <rPr>
        <sz val="10"/>
        <rFont val="仿宋_GB2312"/>
        <family val="3"/>
        <charset val="134"/>
      </rPr>
      <t>开发费用扣除</t>
    </r>
    <phoneticPr fontId="36"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</si>
  <si>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2" type="noConversion"/>
  </si>
  <si>
    <r>
      <rPr>
        <sz val="10"/>
        <rFont val="仿宋_GB2312"/>
        <family val="3"/>
        <charset val="134"/>
      </rPr>
      <t>加计扣除金额</t>
    </r>
    <phoneticPr fontId="36" type="noConversion"/>
  </si>
  <si>
    <r>
      <rPr>
        <b/>
        <sz val="16"/>
        <color indexed="10"/>
        <rFont val="仿宋_GB2312"/>
        <family val="3"/>
        <charset val="134"/>
      </rPr>
      <t>剩余法</t>
    </r>
    <phoneticPr fontId="17" type="noConversion"/>
  </si>
  <si>
    <r>
      <rPr>
        <b/>
        <sz val="12"/>
        <rFont val="仿宋_GB2312"/>
        <family val="3"/>
        <charset val="134"/>
      </rPr>
      <t>总价</t>
    </r>
    <phoneticPr fontId="18" type="noConversion"/>
  </si>
  <si>
    <r>
      <rPr>
        <b/>
        <sz val="11"/>
        <rFont val="仿宋_GB2312"/>
        <family val="3"/>
        <charset val="134"/>
      </rPr>
      <t>单位面积地价</t>
    </r>
    <phoneticPr fontId="2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</si>
  <si>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9" type="noConversion"/>
  </si>
  <si>
    <r>
      <rPr>
        <b/>
        <sz val="11"/>
        <color indexed="8"/>
        <rFont val="仿宋_GB2312"/>
        <family val="3"/>
        <charset val="134"/>
      </rPr>
      <t>序号</t>
    </r>
    <phoneticPr fontId="17" type="noConversion"/>
  </si>
  <si>
    <r>
      <rPr>
        <b/>
        <sz val="11"/>
        <color indexed="8"/>
        <rFont val="仿宋_GB2312"/>
        <family val="3"/>
        <charset val="134"/>
      </rPr>
      <t>项目名称</t>
    </r>
    <phoneticPr fontId="17" type="noConversion"/>
  </si>
  <si>
    <r>
      <rPr>
        <sz val="10"/>
        <color indexed="8"/>
        <rFont val="仿宋_GB2312"/>
        <family val="3"/>
        <charset val="134"/>
      </rPr>
      <t>楼面单价</t>
    </r>
    <phoneticPr fontId="17" type="noConversion"/>
  </si>
  <si>
    <r>
      <rPr>
        <sz val="10"/>
        <color indexed="8"/>
        <rFont val="仿宋_GB2312"/>
        <family val="3"/>
        <charset val="134"/>
      </rPr>
      <t>建筑面积</t>
    </r>
    <phoneticPr fontId="17" type="noConversion"/>
  </si>
  <si>
    <r>
      <rPr>
        <sz val="10"/>
        <color indexed="8"/>
        <rFont val="仿宋_GB2312"/>
        <family val="3"/>
        <charset val="134"/>
      </rPr>
      <t>总额</t>
    </r>
    <phoneticPr fontId="17" type="noConversion"/>
  </si>
  <si>
    <r>
      <rPr>
        <b/>
        <sz val="11"/>
        <color indexed="8"/>
        <rFont val="仿宋_GB2312"/>
        <family val="3"/>
        <charset val="134"/>
      </rPr>
      <t>总额</t>
    </r>
    <phoneticPr fontId="17" type="noConversion"/>
  </si>
  <si>
    <r>
      <rPr>
        <b/>
        <sz val="11"/>
        <color indexed="8"/>
        <rFont val="仿宋_GB2312"/>
        <family val="3"/>
        <charset val="134"/>
      </rPr>
      <t>面积</t>
    </r>
    <phoneticPr fontId="17" type="noConversion"/>
  </si>
  <si>
    <r>
      <rPr>
        <b/>
        <sz val="11"/>
        <color indexed="8"/>
        <rFont val="仿宋_GB2312"/>
        <family val="3"/>
        <charset val="134"/>
      </rPr>
      <t>单价</t>
    </r>
    <phoneticPr fontId="17" type="noConversion"/>
  </si>
  <si>
    <r>
      <rPr>
        <b/>
        <sz val="11"/>
        <color indexed="8"/>
        <rFont val="仿宋_GB2312"/>
        <family val="3"/>
        <charset val="134"/>
      </rPr>
      <t>相关系数</t>
    </r>
    <phoneticPr fontId="17" type="noConversion"/>
  </si>
  <si>
    <r>
      <rPr>
        <sz val="10"/>
        <color indexed="8"/>
        <rFont val="仿宋_GB2312"/>
        <family val="3"/>
        <charset val="134"/>
      </rPr>
      <t>建安费用</t>
    </r>
    <phoneticPr fontId="17" type="noConversion"/>
  </si>
  <si>
    <r>
      <rPr>
        <sz val="10"/>
        <color indexed="8"/>
        <rFont val="仿宋_GB2312"/>
        <family val="3"/>
        <charset val="134"/>
      </rPr>
      <t>勘察设计和前期工程费</t>
    </r>
    <phoneticPr fontId="17" type="noConversion"/>
  </si>
  <si>
    <r>
      <rPr>
        <b/>
        <sz val="11"/>
        <color indexed="8"/>
        <rFont val="仿宋_GB2312"/>
        <family val="3"/>
        <charset val="134"/>
      </rPr>
      <t>以建安费用为基数计取</t>
    </r>
    <phoneticPr fontId="17" type="noConversion"/>
  </si>
  <si>
    <r>
      <rPr>
        <sz val="10"/>
        <color indexed="8"/>
        <rFont val="仿宋_GB2312"/>
        <family val="3"/>
        <charset val="134"/>
      </rPr>
      <t>公共配套设施费用</t>
    </r>
    <phoneticPr fontId="17" type="noConversion"/>
  </si>
  <si>
    <r>
      <rPr>
        <b/>
        <sz val="11"/>
        <color indexed="8"/>
        <rFont val="仿宋_GB2312"/>
        <family val="3"/>
        <charset val="134"/>
      </rPr>
      <t>以住宅用房建安费用为基数计取</t>
    </r>
    <phoneticPr fontId="17" type="noConversion"/>
  </si>
  <si>
    <r>
      <rPr>
        <sz val="10"/>
        <color indexed="8"/>
        <rFont val="仿宋_GB2312"/>
        <family val="3"/>
        <charset val="134"/>
      </rPr>
      <t>红线内市政费用</t>
    </r>
    <phoneticPr fontId="17" type="noConversion"/>
  </si>
  <si>
    <r>
      <rPr>
        <sz val="10"/>
        <color indexed="8"/>
        <rFont val="仿宋_GB2312"/>
        <family val="3"/>
        <charset val="134"/>
      </rPr>
      <t>相关税费</t>
    </r>
    <phoneticPr fontId="17" type="noConversion"/>
  </si>
  <si>
    <r>
      <rPr>
        <sz val="10"/>
        <color indexed="8"/>
        <rFont val="仿宋_GB2312"/>
        <family val="3"/>
        <charset val="134"/>
      </rPr>
      <t>以建安费用为基数计取</t>
    </r>
    <phoneticPr fontId="17" type="noConversion"/>
  </si>
  <si>
    <r>
      <rPr>
        <b/>
        <sz val="11"/>
        <color indexed="8"/>
        <rFont val="仿宋_GB2312"/>
        <family val="3"/>
        <charset val="134"/>
      </rPr>
      <t>房屋建造成本</t>
    </r>
    <phoneticPr fontId="17" type="noConversion"/>
  </si>
  <si>
    <r>
      <rPr>
        <b/>
        <sz val="11"/>
        <color indexed="8"/>
        <rFont val="仿宋_GB2312"/>
        <family val="3"/>
        <charset val="134"/>
      </rPr>
      <t>红线外市政费用（土地开发费用）</t>
    </r>
    <phoneticPr fontId="17" type="noConversion"/>
  </si>
  <si>
    <r>
      <rPr>
        <b/>
        <sz val="11"/>
        <color indexed="8"/>
        <rFont val="仿宋_GB2312"/>
        <family val="3"/>
        <charset val="134"/>
      </rPr>
      <t>按实际情况计取</t>
    </r>
    <phoneticPr fontId="17" type="noConversion"/>
  </si>
  <si>
    <r>
      <rPr>
        <b/>
        <sz val="11"/>
        <color indexed="8"/>
        <rFont val="仿宋_GB2312"/>
        <family val="3"/>
        <charset val="134"/>
      </rPr>
      <t>城市基础设施建设费（行政收费）</t>
    </r>
    <phoneticPr fontId="17" type="noConversion"/>
  </si>
  <si>
    <r>
      <rPr>
        <sz val="10"/>
        <color indexed="8"/>
        <rFont val="仿宋_GB2312"/>
        <family val="3"/>
        <charset val="134"/>
      </rPr>
      <t>住宅</t>
    </r>
    <phoneticPr fontId="17" type="noConversion"/>
  </si>
  <si>
    <r>
      <rPr>
        <sz val="10"/>
        <color indexed="8"/>
        <rFont val="仿宋_GB2312"/>
        <family val="3"/>
        <charset val="134"/>
      </rPr>
      <t>非住宅</t>
    </r>
    <phoneticPr fontId="17" type="noConversion"/>
  </si>
  <si>
    <r>
      <rPr>
        <b/>
        <sz val="11"/>
        <color indexed="8"/>
        <rFont val="仿宋_GB2312"/>
        <family val="3"/>
        <charset val="134"/>
      </rPr>
      <t>管理费用</t>
    </r>
    <phoneticPr fontId="17" type="noConversion"/>
  </si>
  <si>
    <r>
      <rPr>
        <b/>
        <sz val="11"/>
        <color indexed="8"/>
        <rFont val="仿宋_GB2312"/>
        <family val="3"/>
        <charset val="134"/>
      </rPr>
      <t>投资利息</t>
    </r>
    <phoneticPr fontId="17" type="noConversion"/>
  </si>
  <si>
    <r>
      <t>P</t>
    </r>
    <r>
      <rPr>
        <b/>
        <vertAlign val="subscript"/>
        <sz val="11"/>
        <color indexed="8"/>
        <rFont val="仿宋_GB2312"/>
        <family val="3"/>
        <charset val="134"/>
      </rPr>
      <t>土</t>
    </r>
    <phoneticPr fontId="17" type="noConversion"/>
  </si>
  <si>
    <r>
      <rPr>
        <sz val="10"/>
        <color indexed="8"/>
        <rFont val="仿宋_GB2312"/>
        <family val="3"/>
        <charset val="134"/>
      </rPr>
      <t>土地购买价格及购地税费产生的利息</t>
    </r>
    <phoneticPr fontId="17" type="noConversion"/>
  </si>
  <si>
    <r>
      <rPr>
        <b/>
        <sz val="11"/>
        <color indexed="8"/>
        <rFont val="仿宋_GB2312"/>
        <family val="3"/>
        <charset val="134"/>
      </rPr>
      <t>销售税费</t>
    </r>
    <phoneticPr fontId="17"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</si>
  <si>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7"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</si>
  <si>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7" type="noConversion"/>
  </si>
  <si>
    <r>
      <rPr>
        <b/>
        <sz val="11"/>
        <color indexed="8"/>
        <rFont val="仿宋_GB2312"/>
        <family val="3"/>
        <charset val="134"/>
      </rPr>
      <t>开发成本</t>
    </r>
    <phoneticPr fontId="18" type="noConversion"/>
  </si>
  <si>
    <r>
      <rPr>
        <sz val="10"/>
        <color indexed="8"/>
        <rFont val="仿宋_GB2312"/>
        <family val="3"/>
        <charset val="134"/>
      </rPr>
      <t>土地购买价格及购地税费应计的利润</t>
    </r>
    <phoneticPr fontId="17" type="noConversion"/>
  </si>
  <si>
    <r>
      <rPr>
        <b/>
        <sz val="11"/>
        <color indexed="8"/>
        <rFont val="仿宋_GB2312"/>
        <family val="3"/>
        <charset val="134"/>
      </rPr>
      <t>以建安费用为基数计取</t>
    </r>
    <phoneticPr fontId="44" type="noConversion"/>
  </si>
  <si>
    <r>
      <rPr>
        <b/>
        <sz val="11"/>
        <color indexed="8"/>
        <rFont val="仿宋_GB2312"/>
        <family val="3"/>
        <charset val="134"/>
      </rPr>
      <t>以建造成本为基数计取</t>
    </r>
    <phoneticPr fontId="44" type="noConversion"/>
  </si>
  <si>
    <r>
      <rPr>
        <b/>
        <sz val="11"/>
        <color indexed="8"/>
        <rFont val="仿宋_GB2312"/>
        <family val="3"/>
        <charset val="134"/>
      </rPr>
      <t>销售费用</t>
    </r>
    <phoneticPr fontId="17" type="noConversion"/>
  </si>
  <si>
    <r>
      <t>P</t>
    </r>
    <r>
      <rPr>
        <b/>
        <vertAlign val="subscript"/>
        <sz val="10"/>
        <color indexed="8"/>
        <rFont val="仿宋_GB2312"/>
        <family val="3"/>
        <charset val="134"/>
      </rPr>
      <t>建</t>
    </r>
    <phoneticPr fontId="17"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</si>
  <si>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4" type="noConversion"/>
  </si>
  <si>
    <r>
      <t>P</t>
    </r>
    <r>
      <rPr>
        <b/>
        <vertAlign val="subscript"/>
        <sz val="11"/>
        <color indexed="8"/>
        <rFont val="仿宋_GB2312"/>
        <family val="3"/>
        <charset val="134"/>
      </rPr>
      <t>建</t>
    </r>
    <phoneticPr fontId="17"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</si>
  <si>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</si>
  <si>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</si>
  <si>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</si>
  <si>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7" type="noConversion"/>
  </si>
  <si>
    <r>
      <rPr>
        <b/>
        <sz val="11"/>
        <color indexed="8"/>
        <rFont val="仿宋_GB2312"/>
        <family val="3"/>
        <charset val="134"/>
      </rPr>
      <t>建筑物重置价格</t>
    </r>
    <phoneticPr fontId="18" type="noConversion"/>
  </si>
  <si>
    <r>
      <rPr>
        <b/>
        <sz val="11"/>
        <color indexed="8"/>
        <rFont val="仿宋_GB2312"/>
        <family val="3"/>
        <charset val="134"/>
      </rPr>
      <t>成新率</t>
    </r>
    <phoneticPr fontId="18"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</si>
  <si>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8"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</si>
  <si>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6" type="noConversion"/>
  </si>
  <si>
    <r>
      <rPr>
        <b/>
        <sz val="16"/>
        <color indexed="10"/>
        <rFont val="仿宋_GB2312"/>
        <family val="3"/>
        <charset val="134"/>
      </rPr>
      <t>套用比较法</t>
    </r>
    <phoneticPr fontId="6" type="noConversion"/>
  </si>
  <si>
    <r>
      <rPr>
        <b/>
        <sz val="16"/>
        <rFont val="仿宋_GB2312"/>
        <family val="3"/>
        <charset val="134"/>
      </rPr>
      <t>住宅、综合</t>
    </r>
    <phoneticPr fontId="29"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</si>
  <si>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4" type="noConversion"/>
  </si>
  <si>
    <r>
      <rPr>
        <b/>
        <sz val="12"/>
        <rFont val="仿宋_GB2312"/>
        <family val="3"/>
        <charset val="134"/>
      </rPr>
      <t>楼面单价</t>
    </r>
    <phoneticPr fontId="18" type="noConversion"/>
  </si>
  <si>
    <r>
      <rPr>
        <b/>
        <sz val="12"/>
        <rFont val="仿宋_GB2312"/>
        <family val="3"/>
        <charset val="134"/>
      </rPr>
      <t>单位面积地价</t>
    </r>
    <phoneticPr fontId="29"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</si>
  <si>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</si>
  <si>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</si>
  <si>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</si>
  <si>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</si>
  <si>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</si>
  <si>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</si>
  <si>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</si>
  <si>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r>
      <rPr>
        <sz val="11"/>
        <color indexed="8"/>
        <rFont val="仿宋_GB2312"/>
        <family val="3"/>
        <charset val="134"/>
      </rPr>
      <t>系数</t>
    </r>
    <r>
      <rPr>
        <sz val="11"/>
        <color indexed="8"/>
        <rFont val="Arial"/>
        <family val="2"/>
      </rPr>
      <t>%</t>
    </r>
    <phoneticPr fontId="6" type="noConversion"/>
  </si>
  <si>
    <r>
      <rPr>
        <b/>
        <sz val="11"/>
        <color indexed="8"/>
        <rFont val="仿宋_GB2312"/>
        <family val="3"/>
        <charset val="134"/>
      </rPr>
      <t>交易时间</t>
    </r>
    <phoneticPr fontId="6" type="noConversion"/>
  </si>
  <si>
    <r>
      <rPr>
        <sz val="11"/>
        <color indexed="8"/>
        <rFont val="仿宋_GB2312"/>
        <family val="3"/>
        <charset val="134"/>
      </rPr>
      <t>交易时间</t>
    </r>
    <phoneticPr fontId="6" type="noConversion"/>
  </si>
  <si>
    <r>
      <rPr>
        <b/>
        <sz val="11"/>
        <color indexed="8"/>
        <rFont val="仿宋_GB2312"/>
        <family val="3"/>
        <charset val="134"/>
      </rPr>
      <t>交易情况</t>
    </r>
    <phoneticPr fontId="6" type="noConversion"/>
  </si>
  <si>
    <r>
      <rPr>
        <sz val="11"/>
        <color indexed="8"/>
        <rFont val="仿宋_GB2312"/>
        <family val="3"/>
        <charset val="134"/>
      </rPr>
      <t>正常</t>
    </r>
  </si>
  <si>
    <r>
      <rPr>
        <sz val="11"/>
        <color indexed="8"/>
        <rFont val="仿宋_GB2312"/>
        <family val="3"/>
        <charset val="134"/>
      </rPr>
      <t>交易情况</t>
    </r>
    <phoneticPr fontId="6" type="noConversion"/>
  </si>
  <si>
    <r>
      <rPr>
        <sz val="11"/>
        <color indexed="8"/>
        <rFont val="仿宋_GB2312"/>
        <family val="3"/>
        <charset val="134"/>
      </rPr>
      <t>用途</t>
    </r>
    <phoneticPr fontId="6" type="noConversion"/>
  </si>
  <si>
    <r>
      <rPr>
        <sz val="11"/>
        <rFont val="仿宋_GB2312"/>
        <family val="3"/>
        <charset val="134"/>
      </rPr>
      <t>权益状况</t>
    </r>
    <phoneticPr fontId="6" type="noConversion"/>
  </si>
  <si>
    <r>
      <rPr>
        <sz val="11"/>
        <color indexed="8"/>
        <rFont val="仿宋_GB2312"/>
        <family val="3"/>
        <charset val="134"/>
      </rPr>
      <t>权益状况</t>
    </r>
    <phoneticPr fontId="6" type="noConversion"/>
  </si>
  <si>
    <r>
      <rPr>
        <sz val="11"/>
        <color indexed="8"/>
        <rFont val="仿宋_GB2312"/>
        <family val="3"/>
        <charset val="134"/>
      </rPr>
      <t>土地使用年限（年）</t>
    </r>
    <phoneticPr fontId="6" type="noConversion"/>
  </si>
  <si>
    <r>
      <rPr>
        <sz val="11"/>
        <color indexed="8"/>
        <rFont val="仿宋_GB2312"/>
        <family val="3"/>
        <charset val="134"/>
      </rPr>
      <t>容积率</t>
    </r>
    <phoneticPr fontId="6" type="noConversion"/>
  </si>
  <si>
    <r>
      <rPr>
        <b/>
        <sz val="11"/>
        <rFont val="仿宋_GB2312"/>
        <family val="3"/>
        <charset val="134"/>
      </rPr>
      <t>区位状况</t>
    </r>
    <phoneticPr fontId="6" type="noConversion"/>
  </si>
  <si>
    <r>
      <rPr>
        <sz val="11"/>
        <rFont val="仿宋_GB2312"/>
        <family val="3"/>
        <charset val="134"/>
      </rPr>
      <t>区位状况</t>
    </r>
    <phoneticPr fontId="6" type="noConversion"/>
  </si>
  <si>
    <r>
      <rPr>
        <sz val="11"/>
        <color indexed="8"/>
        <rFont val="仿宋_GB2312"/>
        <family val="3"/>
        <charset val="134"/>
      </rPr>
      <t>商业繁华度</t>
    </r>
    <phoneticPr fontId="29" type="noConversion"/>
  </si>
  <si>
    <r>
      <rPr>
        <sz val="11"/>
        <color indexed="8"/>
        <rFont val="仿宋_GB2312"/>
        <family val="3"/>
        <charset val="134"/>
      </rPr>
      <t>办公集聚程度</t>
    </r>
    <phoneticPr fontId="29" type="noConversion"/>
  </si>
  <si>
    <r>
      <rPr>
        <sz val="11"/>
        <color indexed="8"/>
        <rFont val="仿宋_GB2312"/>
        <family val="3"/>
        <charset val="134"/>
      </rPr>
      <t>交通便捷度</t>
    </r>
    <phoneticPr fontId="29" type="noConversion"/>
  </si>
  <si>
    <r>
      <rPr>
        <sz val="11"/>
        <color indexed="8"/>
        <rFont val="仿宋_GB2312"/>
        <family val="3"/>
        <charset val="134"/>
      </rPr>
      <t>区域土地利用方向</t>
    </r>
    <phoneticPr fontId="29" type="noConversion"/>
  </si>
  <si>
    <r>
      <rPr>
        <sz val="11"/>
        <color indexed="8"/>
        <rFont val="仿宋_GB2312"/>
        <family val="3"/>
        <charset val="134"/>
      </rPr>
      <t>自然及人文环境状况</t>
    </r>
    <phoneticPr fontId="29" type="noConversion"/>
  </si>
  <si>
    <r>
      <rPr>
        <sz val="11"/>
        <color indexed="8"/>
        <rFont val="仿宋_GB2312"/>
        <family val="3"/>
        <charset val="134"/>
      </rPr>
      <t>较差</t>
    </r>
  </si>
  <si>
    <r>
      <rPr>
        <sz val="11"/>
        <color indexed="8"/>
        <rFont val="仿宋_GB2312"/>
        <family val="3"/>
        <charset val="134"/>
      </rPr>
      <t>临街状况</t>
    </r>
    <phoneticPr fontId="29" type="noConversion"/>
  </si>
  <si>
    <r>
      <rPr>
        <sz val="11"/>
        <color indexed="8"/>
        <rFont val="仿宋_GB2312"/>
        <family val="3"/>
        <charset val="134"/>
      </rPr>
      <t>毗邻道路的类型与等级</t>
    </r>
    <phoneticPr fontId="29" type="noConversion"/>
  </si>
  <si>
    <r>
      <rPr>
        <sz val="11"/>
        <color indexed="8"/>
        <rFont val="仿宋_GB2312"/>
        <family val="3"/>
        <charset val="134"/>
      </rPr>
      <t>土地级别</t>
    </r>
    <phoneticPr fontId="29" type="noConversion"/>
  </si>
  <si>
    <r>
      <rPr>
        <sz val="11"/>
        <rFont val="仿宋_GB2312"/>
        <family val="3"/>
        <charset val="134"/>
      </rPr>
      <t>实物状况</t>
    </r>
    <phoneticPr fontId="6" type="noConversion"/>
  </si>
  <si>
    <r>
      <rPr>
        <b/>
        <sz val="11"/>
        <rFont val="仿宋_GB2312"/>
        <family val="3"/>
        <charset val="134"/>
      </rPr>
      <t>实物状况</t>
    </r>
    <phoneticPr fontId="6" type="noConversion"/>
  </si>
  <si>
    <r>
      <rPr>
        <sz val="11"/>
        <color indexed="8"/>
        <rFont val="仿宋_GB2312"/>
        <family val="3"/>
        <charset val="134"/>
      </rPr>
      <t>宗地面积</t>
    </r>
    <phoneticPr fontId="29" type="noConversion"/>
  </si>
  <si>
    <r>
      <rPr>
        <sz val="11"/>
        <color indexed="8"/>
        <rFont val="仿宋_GB2312"/>
        <family val="3"/>
        <charset val="134"/>
      </rPr>
      <t>宗地形状</t>
    </r>
    <phoneticPr fontId="29" type="noConversion"/>
  </si>
  <si>
    <r>
      <rPr>
        <sz val="11"/>
        <color indexed="8"/>
        <rFont val="仿宋_GB2312"/>
        <family val="3"/>
        <charset val="134"/>
      </rPr>
      <t>临街宽度及深度</t>
    </r>
    <phoneticPr fontId="29" type="noConversion"/>
  </si>
  <si>
    <r>
      <rPr>
        <sz val="11"/>
        <color indexed="8"/>
        <rFont val="仿宋_GB2312"/>
        <family val="3"/>
        <charset val="134"/>
      </rPr>
      <t>工程地质条件</t>
    </r>
    <phoneticPr fontId="29" type="noConversion"/>
  </si>
  <si>
    <r>
      <rPr>
        <b/>
        <sz val="11"/>
        <rFont val="仿宋_GB2312"/>
        <family val="3"/>
        <charset val="134"/>
      </rPr>
      <t>成交单价</t>
    </r>
    <phoneticPr fontId="6" type="noConversion"/>
  </si>
  <si>
    <r>
      <rPr>
        <b/>
        <sz val="11"/>
        <rFont val="仿宋_GB2312"/>
        <family val="3"/>
        <charset val="134"/>
      </rPr>
      <t>总修正幅度不超过</t>
    </r>
    <r>
      <rPr>
        <b/>
        <sz val="11"/>
        <color indexed="10"/>
        <rFont val="Arial"/>
        <family val="2"/>
      </rPr>
      <t>30%</t>
    </r>
    <phoneticPr fontId="6" type="noConversion"/>
  </si>
  <si>
    <r>
      <rPr>
        <b/>
        <sz val="11"/>
        <rFont val="仿宋_GB2312"/>
        <family val="3"/>
        <charset val="134"/>
      </rPr>
      <t>各修正结果之间不超过</t>
    </r>
    <r>
      <rPr>
        <b/>
        <sz val="11"/>
        <color indexed="10"/>
        <rFont val="Arial"/>
        <family val="2"/>
      </rPr>
      <t>20%</t>
    </r>
    <phoneticPr fontId="6" type="noConversion"/>
  </si>
  <si>
    <r>
      <rPr>
        <b/>
        <sz val="11"/>
        <rFont val="仿宋_GB2312"/>
        <family val="3"/>
        <charset val="134"/>
      </rPr>
      <t>各案例间不超过</t>
    </r>
    <r>
      <rPr>
        <b/>
        <sz val="11"/>
        <color indexed="10"/>
        <rFont val="Arial"/>
        <family val="2"/>
      </rPr>
      <t>30%</t>
    </r>
    <phoneticPr fontId="6" type="noConversion"/>
  </si>
  <si>
    <r>
      <rPr>
        <sz val="11"/>
        <rFont val="仿宋_GB2312"/>
        <family val="3"/>
        <charset val="134"/>
      </rPr>
      <t>用途</t>
    </r>
    <r>
      <rPr>
        <sz val="11"/>
        <rFont val="Arial"/>
        <family val="2"/>
      </rPr>
      <t>/</t>
    </r>
    <r>
      <rPr>
        <sz val="11"/>
        <rFont val="仿宋_GB2312"/>
        <family val="3"/>
        <charset val="134"/>
      </rPr>
      <t>位置</t>
    </r>
    <phoneticPr fontId="29" type="noConversion"/>
  </si>
  <si>
    <r>
      <rPr>
        <sz val="11"/>
        <rFont val="仿宋_GB2312"/>
        <family val="3"/>
        <charset val="134"/>
      </rPr>
      <t>修正单价</t>
    </r>
    <phoneticPr fontId="29" type="noConversion"/>
  </si>
  <si>
    <r>
      <rPr>
        <sz val="11"/>
        <rFont val="仿宋_GB2312"/>
        <family val="3"/>
        <charset val="134"/>
      </rPr>
      <t>建筑面积</t>
    </r>
    <phoneticPr fontId="29" type="noConversion"/>
  </si>
  <si>
    <r>
      <rPr>
        <sz val="11"/>
        <rFont val="仿宋_GB2312"/>
        <family val="3"/>
        <charset val="134"/>
      </rPr>
      <t>总价</t>
    </r>
    <phoneticPr fontId="29" type="noConversion"/>
  </si>
  <si>
    <r>
      <rPr>
        <sz val="10"/>
        <rFont val="仿宋_GB2312"/>
        <family val="3"/>
        <charset val="134"/>
      </rPr>
      <t>地上</t>
    </r>
    <phoneticPr fontId="18" type="noConversion"/>
  </si>
  <si>
    <r>
      <rPr>
        <sz val="10"/>
        <rFont val="仿宋_GB2312"/>
        <family val="3"/>
        <charset val="134"/>
      </rPr>
      <t>地下商业（</t>
    </r>
    <r>
      <rPr>
        <sz val="10"/>
        <rFont val="Arial"/>
        <family val="2"/>
      </rPr>
      <t>-1</t>
    </r>
    <r>
      <rPr>
        <sz val="10"/>
        <rFont val="仿宋_GB2312"/>
        <family val="3"/>
        <charset val="134"/>
      </rPr>
      <t>）</t>
    </r>
    <phoneticPr fontId="17" type="noConversion"/>
  </si>
  <si>
    <r>
      <rPr>
        <sz val="10"/>
        <rFont val="仿宋_GB2312"/>
        <family val="3"/>
        <charset val="134"/>
      </rPr>
      <t>地下商业（</t>
    </r>
    <r>
      <rPr>
        <sz val="10"/>
        <rFont val="Arial"/>
        <family val="2"/>
      </rPr>
      <t>-2</t>
    </r>
    <r>
      <rPr>
        <sz val="10"/>
        <rFont val="仿宋_GB2312"/>
        <family val="3"/>
        <charset val="134"/>
      </rPr>
      <t>）</t>
    </r>
    <phoneticPr fontId="17" type="noConversion"/>
  </si>
  <si>
    <r>
      <rPr>
        <sz val="10"/>
        <rFont val="仿宋_GB2312"/>
        <family val="3"/>
        <charset val="134"/>
      </rPr>
      <t>地下商业（</t>
    </r>
    <r>
      <rPr>
        <sz val="10"/>
        <rFont val="Arial"/>
        <family val="2"/>
      </rPr>
      <t>-3</t>
    </r>
    <r>
      <rPr>
        <sz val="10"/>
        <rFont val="仿宋_GB2312"/>
        <family val="3"/>
        <charset val="134"/>
      </rPr>
      <t>）</t>
    </r>
    <phoneticPr fontId="17" type="noConversion"/>
  </si>
  <si>
    <r>
      <rPr>
        <sz val="10"/>
        <rFont val="仿宋_GB2312"/>
        <family val="3"/>
        <charset val="134"/>
      </rPr>
      <t>地下商业（</t>
    </r>
    <r>
      <rPr>
        <sz val="10"/>
        <rFont val="Arial"/>
        <family val="2"/>
      </rPr>
      <t>-4</t>
    </r>
    <r>
      <rPr>
        <sz val="10"/>
        <rFont val="仿宋_GB2312"/>
        <family val="3"/>
        <charset val="134"/>
      </rPr>
      <t>）</t>
    </r>
    <phoneticPr fontId="17" type="noConversion"/>
  </si>
  <si>
    <r>
      <rPr>
        <sz val="10"/>
        <rFont val="仿宋_GB2312"/>
        <family val="3"/>
        <charset val="134"/>
      </rPr>
      <t>地下仓储</t>
    </r>
    <phoneticPr fontId="17" type="noConversion"/>
  </si>
  <si>
    <r>
      <rPr>
        <sz val="10"/>
        <rFont val="仿宋_GB2312"/>
        <family val="3"/>
        <charset val="134"/>
      </rPr>
      <t>地下车库</t>
    </r>
    <phoneticPr fontId="17" type="noConversion"/>
  </si>
  <si>
    <r>
      <rPr>
        <sz val="10"/>
        <rFont val="仿宋_GB2312"/>
        <family val="3"/>
        <charset val="134"/>
      </rPr>
      <t>地下车库</t>
    </r>
    <r>
      <rPr>
        <sz val="10"/>
        <rFont val="Arial"/>
        <family val="2"/>
      </rPr>
      <t>-</t>
    </r>
    <r>
      <rPr>
        <sz val="10"/>
        <rFont val="仿宋_GB2312"/>
        <family val="3"/>
        <charset val="134"/>
      </rPr>
      <t>商业</t>
    </r>
    <phoneticPr fontId="17" type="noConversion"/>
  </si>
  <si>
    <r>
      <rPr>
        <sz val="10"/>
        <rFont val="仿宋_GB2312"/>
        <family val="3"/>
        <charset val="134"/>
      </rPr>
      <t>地下车库</t>
    </r>
    <r>
      <rPr>
        <sz val="10"/>
        <rFont val="Arial"/>
        <family val="2"/>
      </rPr>
      <t>-</t>
    </r>
    <r>
      <rPr>
        <sz val="10"/>
        <rFont val="仿宋_GB2312"/>
        <family val="3"/>
        <charset val="134"/>
      </rPr>
      <t>办公</t>
    </r>
    <phoneticPr fontId="17" type="noConversion"/>
  </si>
  <si>
    <r>
      <rPr>
        <b/>
        <sz val="10"/>
        <rFont val="仿宋_GB2312"/>
        <family val="3"/>
        <charset val="134"/>
      </rPr>
      <t>土地购买价格</t>
    </r>
    <phoneticPr fontId="17"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</si>
  <si>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6"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</si>
  <si>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4" type="noConversion"/>
  </si>
  <si>
    <r>
      <rPr>
        <sz val="11"/>
        <color indexed="8"/>
        <rFont val="仿宋_GB2312"/>
        <family val="3"/>
        <charset val="134"/>
      </rPr>
      <t>正常</t>
    </r>
    <phoneticPr fontId="24" type="noConversion"/>
  </si>
  <si>
    <r>
      <rPr>
        <b/>
        <sz val="11"/>
        <rFont val="仿宋_GB2312"/>
        <family val="3"/>
        <charset val="134"/>
      </rPr>
      <t>权益状况</t>
    </r>
    <phoneticPr fontId="6" type="noConversion"/>
  </si>
  <si>
    <r>
      <rPr>
        <sz val="11"/>
        <color indexed="8"/>
        <rFont val="仿宋_GB2312"/>
        <family val="3"/>
        <charset val="134"/>
      </rPr>
      <t>居住社区成熟度</t>
    </r>
    <phoneticPr fontId="6" type="noConversion"/>
  </si>
  <si>
    <r>
      <rPr>
        <sz val="11"/>
        <color indexed="8"/>
        <rFont val="仿宋_GB2312"/>
        <family val="3"/>
        <charset val="134"/>
      </rPr>
      <t>好</t>
    </r>
    <phoneticPr fontId="6" type="noConversion"/>
  </si>
  <si>
    <r>
      <rPr>
        <sz val="11"/>
        <color indexed="8"/>
        <rFont val="仿宋_GB2312"/>
        <family val="3"/>
        <charset val="134"/>
      </rPr>
      <t>较好</t>
    </r>
    <phoneticPr fontId="6" type="noConversion"/>
  </si>
  <si>
    <r>
      <rPr>
        <sz val="11"/>
        <color indexed="8"/>
        <rFont val="仿宋_GB2312"/>
        <family val="3"/>
        <charset val="134"/>
      </rPr>
      <t>一般</t>
    </r>
    <phoneticPr fontId="6" type="noConversion"/>
  </si>
  <si>
    <r>
      <rPr>
        <sz val="11"/>
        <color indexed="8"/>
        <rFont val="仿宋_GB2312"/>
        <family val="3"/>
        <charset val="134"/>
      </rPr>
      <t>较差</t>
    </r>
    <phoneticPr fontId="6" type="noConversion"/>
  </si>
  <si>
    <r>
      <rPr>
        <sz val="11"/>
        <color indexed="8"/>
        <rFont val="仿宋_GB2312"/>
        <family val="3"/>
        <charset val="134"/>
      </rPr>
      <t>差</t>
    </r>
    <phoneticPr fontId="6" type="noConversion"/>
  </si>
  <si>
    <r>
      <rPr>
        <sz val="11"/>
        <color indexed="8"/>
        <rFont val="仿宋_GB2312"/>
        <family val="3"/>
        <charset val="134"/>
      </rPr>
      <t>商业繁华度</t>
    </r>
    <phoneticPr fontId="6" type="noConversion"/>
  </si>
  <si>
    <r>
      <rPr>
        <sz val="11"/>
        <color indexed="8"/>
        <rFont val="仿宋_GB2312"/>
        <family val="3"/>
        <charset val="134"/>
      </rPr>
      <t>办公集聚程度</t>
    </r>
    <phoneticPr fontId="6" type="noConversion"/>
  </si>
  <si>
    <r>
      <rPr>
        <sz val="11"/>
        <color indexed="8"/>
        <rFont val="仿宋_GB2312"/>
        <family val="3"/>
        <charset val="134"/>
      </rPr>
      <t>交通便捷度</t>
    </r>
    <phoneticPr fontId="6" type="noConversion"/>
  </si>
  <si>
    <r>
      <rPr>
        <sz val="11"/>
        <color indexed="8"/>
        <rFont val="仿宋_GB2312"/>
        <family val="3"/>
        <charset val="134"/>
      </rPr>
      <t>区域土地利用方向</t>
    </r>
    <phoneticPr fontId="6" type="noConversion"/>
  </si>
  <si>
    <r>
      <rPr>
        <sz val="11"/>
        <color indexed="8"/>
        <rFont val="仿宋_GB2312"/>
        <family val="3"/>
        <charset val="134"/>
      </rPr>
      <t>自然及人文环境状况</t>
    </r>
    <phoneticPr fontId="6" type="noConversion"/>
  </si>
  <si>
    <r>
      <rPr>
        <sz val="11"/>
        <rFont val="仿宋_GB2312"/>
        <family val="3"/>
        <charset val="134"/>
      </rPr>
      <t>多面临街</t>
    </r>
    <phoneticPr fontId="29" type="noConversion"/>
  </si>
  <si>
    <r>
      <rPr>
        <sz val="11"/>
        <rFont val="仿宋_GB2312"/>
        <family val="3"/>
        <charset val="134"/>
      </rPr>
      <t>双面临街</t>
    </r>
    <phoneticPr fontId="29" type="noConversion"/>
  </si>
  <si>
    <r>
      <rPr>
        <sz val="11"/>
        <rFont val="仿宋_GB2312"/>
        <family val="3"/>
        <charset val="134"/>
      </rPr>
      <t>单面临街</t>
    </r>
    <phoneticPr fontId="29" type="noConversion"/>
  </si>
  <si>
    <r>
      <rPr>
        <sz val="11"/>
        <rFont val="仿宋_GB2312"/>
        <family val="3"/>
        <charset val="134"/>
      </rPr>
      <t>不临街</t>
    </r>
    <phoneticPr fontId="29" type="noConversion"/>
  </si>
  <si>
    <r>
      <rPr>
        <sz val="11"/>
        <color indexed="8"/>
        <rFont val="仿宋_GB2312"/>
        <family val="3"/>
        <charset val="134"/>
      </rPr>
      <t>宗地面积</t>
    </r>
    <phoneticPr fontId="6" type="noConversion"/>
  </si>
  <si>
    <r>
      <rPr>
        <sz val="11"/>
        <color indexed="8"/>
        <rFont val="仿宋_GB2312"/>
        <family val="3"/>
        <charset val="134"/>
      </rPr>
      <t>宗地形状</t>
    </r>
    <phoneticPr fontId="6" type="noConversion"/>
  </si>
  <si>
    <r>
      <rPr>
        <sz val="11"/>
        <color indexed="8"/>
        <rFont val="仿宋_GB2312"/>
        <family val="3"/>
        <charset val="134"/>
      </rPr>
      <t>临街宽度及深度</t>
    </r>
    <phoneticPr fontId="6" type="noConversion"/>
  </si>
  <si>
    <r>
      <rPr>
        <sz val="11"/>
        <color indexed="8"/>
        <rFont val="仿宋_GB2312"/>
        <family val="3"/>
        <charset val="134"/>
      </rPr>
      <t>工程地质条件</t>
    </r>
    <phoneticPr fontId="6" type="noConversion"/>
  </si>
  <si>
    <r>
      <rPr>
        <b/>
        <sz val="16"/>
        <rFont val="仿宋_GB2312"/>
        <family val="3"/>
        <charset val="134"/>
      </rPr>
      <t>工业</t>
    </r>
    <phoneticPr fontId="29" type="noConversion"/>
  </si>
  <si>
    <r>
      <rPr>
        <sz val="11"/>
        <color indexed="8"/>
        <rFont val="仿宋_GB2312"/>
        <family val="3"/>
        <charset val="134"/>
      </rPr>
      <t>产业集聚程度</t>
    </r>
    <phoneticPr fontId="31" type="noConversion"/>
  </si>
  <si>
    <r>
      <rPr>
        <sz val="11"/>
        <color indexed="8"/>
        <rFont val="仿宋_GB2312"/>
        <family val="3"/>
        <charset val="134"/>
      </rPr>
      <t>环境状况</t>
    </r>
    <phoneticPr fontId="29" type="noConversion"/>
  </si>
  <si>
    <r>
      <rPr>
        <sz val="11"/>
        <color indexed="8"/>
        <rFont val="仿宋_GB2312"/>
        <family val="3"/>
        <charset val="134"/>
      </rPr>
      <t>较好</t>
    </r>
  </si>
  <si>
    <r>
      <rPr>
        <sz val="11"/>
        <rFont val="仿宋_GB2312"/>
        <family val="3"/>
        <charset val="134"/>
      </rPr>
      <t>实物状况</t>
    </r>
    <phoneticPr fontId="6" type="noConversion"/>
  </si>
  <si>
    <r>
      <rPr>
        <sz val="11"/>
        <color indexed="8"/>
        <rFont val="仿宋_GB2312"/>
        <family val="3"/>
        <charset val="134"/>
      </rPr>
      <t>产业集聚程度</t>
    </r>
    <phoneticPr fontId="6" type="noConversion"/>
  </si>
  <si>
    <r>
      <rPr>
        <b/>
        <sz val="16"/>
        <color indexed="10"/>
        <rFont val="仿宋_GB2312"/>
        <family val="3"/>
        <charset val="134"/>
      </rPr>
      <t>成本逼近法</t>
    </r>
    <phoneticPr fontId="17" type="noConversion"/>
  </si>
  <si>
    <r>
      <rPr>
        <b/>
        <sz val="10"/>
        <rFont val="仿宋_GB2312"/>
        <family val="3"/>
        <charset val="134"/>
      </rPr>
      <t>项目</t>
    </r>
    <phoneticPr fontId="18" type="noConversion"/>
  </si>
  <si>
    <r>
      <rPr>
        <b/>
        <sz val="10"/>
        <rFont val="仿宋_GB2312"/>
        <family val="3"/>
        <charset val="134"/>
      </rPr>
      <t>总额</t>
    </r>
    <phoneticPr fontId="18" type="noConversion"/>
  </si>
  <si>
    <r>
      <rPr>
        <b/>
        <sz val="10"/>
        <rFont val="仿宋_GB2312"/>
        <family val="3"/>
        <charset val="134"/>
      </rPr>
      <t>面积</t>
    </r>
    <phoneticPr fontId="17" type="noConversion"/>
  </si>
  <si>
    <r>
      <rPr>
        <b/>
        <sz val="10"/>
        <rFont val="仿宋_GB2312"/>
        <family val="3"/>
        <charset val="134"/>
      </rPr>
      <t>单价</t>
    </r>
    <phoneticPr fontId="17" type="noConversion"/>
  </si>
  <si>
    <r>
      <rPr>
        <b/>
        <sz val="10"/>
        <rFont val="仿宋_GB2312"/>
        <family val="3"/>
        <charset val="134"/>
      </rPr>
      <t>系数</t>
    </r>
    <phoneticPr fontId="17" type="noConversion"/>
  </si>
  <si>
    <r>
      <rPr>
        <b/>
        <sz val="10"/>
        <rFont val="仿宋_GB2312"/>
        <family val="3"/>
        <charset val="134"/>
      </rPr>
      <t>土地取得费</t>
    </r>
    <phoneticPr fontId="17" type="noConversion"/>
  </si>
  <si>
    <r>
      <rPr>
        <sz val="10"/>
        <rFont val="仿宋_GB2312"/>
        <family val="3"/>
        <charset val="134"/>
      </rPr>
      <t>城市基础设施建设费（行政收费）</t>
    </r>
    <phoneticPr fontId="17" type="noConversion"/>
  </si>
  <si>
    <r>
      <rPr>
        <i/>
        <sz val="10"/>
        <rFont val="仿宋_GB2312"/>
        <family val="3"/>
        <charset val="134"/>
      </rPr>
      <t>住宅</t>
    </r>
    <phoneticPr fontId="17" type="noConversion"/>
  </si>
  <si>
    <r>
      <rPr>
        <i/>
        <sz val="10"/>
        <rFont val="仿宋_GB2312"/>
        <family val="3"/>
        <charset val="134"/>
      </rPr>
      <t>非住宅</t>
    </r>
    <phoneticPr fontId="17" type="noConversion"/>
  </si>
  <si>
    <r>
      <rPr>
        <b/>
        <sz val="10"/>
        <rFont val="仿宋_GB2312"/>
        <family val="3"/>
        <charset val="134"/>
      </rPr>
      <t>土地开发费</t>
    </r>
    <phoneticPr fontId="17" type="noConversion"/>
  </si>
  <si>
    <r>
      <rPr>
        <sz val="10"/>
        <rFont val="仿宋_GB2312"/>
        <family val="3"/>
        <charset val="134"/>
      </rPr>
      <t>即宗地红线外市政费用及宗地红线内土地平整费用，根据待估宗地区域对土地开发成本来估算。</t>
    </r>
    <phoneticPr fontId="18" type="noConversion"/>
  </si>
  <si>
    <r>
      <rPr>
        <b/>
        <sz val="10"/>
        <rFont val="仿宋_GB2312"/>
        <family val="3"/>
        <charset val="134"/>
      </rPr>
      <t>税费</t>
    </r>
    <phoneticPr fontId="18" type="noConversion"/>
  </si>
  <si>
    <r>
      <rPr>
        <b/>
        <sz val="10"/>
        <rFont val="仿宋_GB2312"/>
        <family val="3"/>
        <charset val="134"/>
      </rPr>
      <t>贷款利息</t>
    </r>
    <phoneticPr fontId="17" type="noConversion"/>
  </si>
  <si>
    <r>
      <rPr>
        <b/>
        <sz val="10"/>
        <rFont val="仿宋_GB2312"/>
        <family val="3"/>
        <charset val="134"/>
      </rPr>
      <t>利润</t>
    </r>
    <phoneticPr fontId="17" type="noConversion"/>
  </si>
  <si>
    <r>
      <rPr>
        <b/>
        <sz val="10"/>
        <rFont val="仿宋_GB2312"/>
        <family val="3"/>
        <charset val="134"/>
      </rPr>
      <t>（１＋２＋３）</t>
    </r>
    <r>
      <rPr>
        <b/>
        <sz val="10"/>
        <rFont val="Arial"/>
        <family val="2"/>
      </rPr>
      <t>×</t>
    </r>
    <r>
      <rPr>
        <b/>
        <sz val="10"/>
        <rFont val="仿宋_GB2312"/>
        <family val="3"/>
        <charset val="134"/>
      </rPr>
      <t>利润率</t>
    </r>
    <phoneticPr fontId="17" type="noConversion"/>
  </si>
  <si>
    <r>
      <rPr>
        <b/>
        <sz val="10"/>
        <rFont val="仿宋_GB2312"/>
        <family val="3"/>
        <charset val="134"/>
      </rPr>
      <t>土地成本价格</t>
    </r>
    <phoneticPr fontId="18" type="noConversion"/>
  </si>
  <si>
    <r>
      <t>1-</t>
    </r>
    <r>
      <rPr>
        <b/>
        <sz val="10"/>
        <rFont val="仿宋_GB2312"/>
        <family val="3"/>
        <charset val="134"/>
      </rPr>
      <t>５项之和</t>
    </r>
    <phoneticPr fontId="18" type="noConversion"/>
  </si>
  <si>
    <r>
      <rPr>
        <b/>
        <sz val="10"/>
        <rFont val="仿宋_GB2312"/>
        <family val="3"/>
        <charset val="134"/>
      </rPr>
      <t>土地增值</t>
    </r>
    <phoneticPr fontId="18"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</si>
  <si>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8" type="noConversion"/>
  </si>
  <si>
    <r>
      <rPr>
        <b/>
        <sz val="10"/>
        <rFont val="仿宋_GB2312"/>
        <family val="3"/>
        <charset val="134"/>
      </rPr>
      <t>无线年期土地价格</t>
    </r>
    <phoneticPr fontId="18" type="noConversion"/>
  </si>
  <si>
    <r>
      <rPr>
        <b/>
        <sz val="10"/>
        <rFont val="仿宋_GB2312"/>
        <family val="3"/>
        <charset val="134"/>
      </rPr>
      <t>６＋７</t>
    </r>
    <phoneticPr fontId="18" type="noConversion"/>
  </si>
  <si>
    <r>
      <rPr>
        <b/>
        <sz val="10"/>
        <rFont val="仿宋_GB2312"/>
        <family val="3"/>
        <charset val="134"/>
      </rPr>
      <t>有限年期土地价格</t>
    </r>
    <phoneticPr fontId="18" type="noConversion"/>
  </si>
  <si>
    <r>
      <rPr>
        <b/>
        <sz val="10"/>
        <rFont val="仿宋_GB2312"/>
        <family val="3"/>
        <charset val="134"/>
      </rPr>
      <t>８</t>
    </r>
    <r>
      <rPr>
        <b/>
        <sz val="10"/>
        <rFont val="Arial"/>
        <family val="2"/>
      </rPr>
      <t>×</t>
    </r>
    <r>
      <rPr>
        <b/>
        <sz val="10"/>
        <rFont val="仿宋_GB2312"/>
        <family val="3"/>
        <charset val="134"/>
      </rPr>
      <t>年期修正系数</t>
    </r>
    <phoneticPr fontId="18" type="noConversion"/>
  </si>
  <si>
    <r>
      <rPr>
        <b/>
        <sz val="10"/>
        <rFont val="仿宋_GB2312"/>
        <family val="3"/>
        <charset val="134"/>
      </rPr>
      <t>土地价格</t>
    </r>
    <r>
      <rPr>
        <b/>
        <sz val="10"/>
        <rFont val="Arial"/>
        <family val="2"/>
      </rPr>
      <t>-</t>
    </r>
    <r>
      <rPr>
        <b/>
        <sz val="10"/>
        <rFont val="仿宋_GB2312"/>
        <family val="3"/>
        <charset val="134"/>
      </rPr>
      <t>总价</t>
    </r>
    <phoneticPr fontId="18" type="noConversion"/>
  </si>
  <si>
    <r>
      <rPr>
        <b/>
        <sz val="16"/>
        <color indexed="10"/>
        <rFont val="仿宋_GB2312"/>
        <family val="3"/>
        <charset val="134"/>
      </rPr>
      <t>收益还原法</t>
    </r>
    <phoneticPr fontId="6" type="noConversion"/>
  </si>
  <si>
    <r>
      <rPr>
        <b/>
        <sz val="12"/>
        <rFont val="仿宋_GB2312"/>
        <family val="3"/>
        <charset val="134"/>
      </rPr>
      <t>总价</t>
    </r>
    <phoneticPr fontId="18"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</si>
  <si>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</si>
  <si>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</si>
  <si>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</si>
  <si>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计算公式</t>
    </r>
    <phoneticPr fontId="6" type="noConversion"/>
  </si>
  <si>
    <r>
      <rPr>
        <sz val="10"/>
        <color indexed="8"/>
        <rFont val="仿宋_GB2312"/>
        <family val="3"/>
        <charset val="134"/>
      </rPr>
      <t>取费标准</t>
    </r>
    <phoneticPr fontId="6" type="noConversion"/>
  </si>
  <si>
    <r>
      <rPr>
        <b/>
        <sz val="10"/>
        <color indexed="8"/>
        <rFont val="仿宋_GB2312"/>
        <family val="3"/>
        <charset val="134"/>
      </rPr>
      <t>未来第一年年总收益</t>
    </r>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</si>
  <si>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</si>
  <si>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租金</t>
    </r>
    <phoneticPr fontId="6"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</si>
  <si>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6"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</si>
  <si>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6"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</si>
  <si>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</si>
  <si>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建筑物价格</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</si>
  <si>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</si>
  <si>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</si>
  <si>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建筑物现值</t>
    </r>
    <phoneticPr fontId="6"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</si>
  <si>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</si>
  <si>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</si>
  <si>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</si>
  <si>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</si>
  <si>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</si>
  <si>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公共配套设施费用</t>
    </r>
  </si>
  <si>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</si>
  <si>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</si>
  <si>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</si>
  <si>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</si>
  <si>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</si>
  <si>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</si>
  <si>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</si>
  <si>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6" type="noConversion"/>
  </si>
  <si>
    <r>
      <rPr>
        <sz val="10"/>
        <color indexed="8"/>
        <rFont val="仿宋_GB2312"/>
        <family val="3"/>
        <charset val="134"/>
      </rPr>
      <t>相关税费</t>
    </r>
  </si>
  <si>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</si>
  <si>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</si>
  <si>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</si>
  <si>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6" type="noConversion"/>
  </si>
  <si>
    <r>
      <rPr>
        <sz val="10"/>
        <color indexed="8"/>
        <rFont val="仿宋_GB2312"/>
        <family val="3"/>
        <charset val="134"/>
      </rPr>
      <t>房产税</t>
    </r>
    <phoneticPr fontId="6"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</si>
  <si>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</si>
  <si>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</si>
  <si>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</si>
  <si>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</si>
  <si>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</si>
  <si>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</si>
  <si>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销售费用</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</si>
  <si>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</si>
  <si>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</si>
  <si>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</si>
  <si>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贷款利息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</si>
  <si>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</si>
  <si>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</si>
  <si>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建设周期（年）</t>
    </r>
    <phoneticPr fontId="6"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</si>
  <si>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</si>
  <si>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</si>
  <si>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销售费用产生的利息</t>
    </r>
    <phoneticPr fontId="6"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</si>
  <si>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</si>
  <si>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</si>
  <si>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</si>
  <si>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</si>
  <si>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</si>
  <si>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</si>
  <si>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6" type="noConversion"/>
  </si>
  <si>
    <r>
      <rPr>
        <b/>
        <sz val="10"/>
        <color indexed="8"/>
        <rFont val="仿宋_GB2312"/>
        <family val="3"/>
        <charset val="134"/>
      </rPr>
      <t>年总费用</t>
    </r>
    <phoneticPr fontId="6" type="noConversion"/>
  </si>
  <si>
    <r>
      <rPr>
        <sz val="10"/>
        <color indexed="8"/>
        <rFont val="仿宋_GB2312"/>
        <family val="3"/>
        <charset val="134"/>
      </rPr>
      <t>综合税率</t>
    </r>
    <phoneticPr fontId="19"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</si>
  <si>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6" type="noConversion"/>
  </si>
  <si>
    <r>
      <rPr>
        <b/>
        <sz val="10"/>
        <color indexed="8"/>
        <rFont val="仿宋_GB2312"/>
        <family val="3"/>
        <charset val="134"/>
      </rPr>
      <t>土地价格</t>
    </r>
    <phoneticPr fontId="6" type="noConversion"/>
  </si>
  <si>
    <r>
      <rPr>
        <sz val="11"/>
        <color indexed="8"/>
        <rFont val="仿宋_GB2312"/>
        <family val="3"/>
        <charset val="134"/>
      </rPr>
      <t>房地年纯收益</t>
    </r>
    <phoneticPr fontId="6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</si>
  <si>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6" type="noConversion"/>
  </si>
  <si>
    <r>
      <rPr>
        <b/>
        <sz val="16"/>
        <rFont val="仿宋_GB2312"/>
        <family val="3"/>
        <charset val="134"/>
      </rPr>
      <t>租约外</t>
    </r>
    <phoneticPr fontId="6" type="noConversion"/>
  </si>
  <si>
    <r>
      <rPr>
        <b/>
        <sz val="11"/>
        <rFont val="仿宋_GB2312"/>
        <family val="3"/>
        <charset val="134"/>
      </rPr>
      <t>单位面积地价</t>
    </r>
    <phoneticPr fontId="2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</si>
  <si>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9"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</si>
  <si>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</si>
  <si>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</si>
  <si>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</si>
  <si>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</si>
  <si>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</si>
  <si>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租约外房地产收益价值</t>
    </r>
    <phoneticPr fontId="6" type="noConversion"/>
  </si>
  <si>
    <r>
      <rPr>
        <sz val="10"/>
        <color indexed="8"/>
        <rFont val="仿宋_GB2312"/>
        <family val="3"/>
        <charset val="134"/>
      </rPr>
      <t>房地产未来第一年净收益</t>
    </r>
    <r>
      <rPr>
        <sz val="10"/>
        <color indexed="8"/>
        <rFont val="Arial"/>
        <family val="2"/>
      </rPr>
      <t>×</t>
    </r>
    <phoneticPr fontId="6"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</si>
  <si>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6"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</si>
  <si>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</si>
  <si>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6" type="noConversion"/>
  </si>
  <si>
    <r>
      <rPr>
        <sz val="10"/>
        <color indexed="8"/>
        <rFont val="仿宋_GB2312"/>
        <family val="3"/>
        <charset val="134"/>
      </rPr>
      <t>收益年期</t>
    </r>
    <r>
      <rPr>
        <sz val="10"/>
        <color indexed="8"/>
        <rFont val="Arial"/>
        <family val="2"/>
      </rPr>
      <t>(n)</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</si>
  <si>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</si>
  <si>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年增长比率</t>
    </r>
    <r>
      <rPr>
        <sz val="10"/>
        <color indexed="8"/>
        <rFont val="Arial"/>
        <family val="2"/>
      </rPr>
      <t>(g)</t>
    </r>
    <phoneticPr fontId="6" type="noConversion"/>
  </si>
  <si>
    <r>
      <rPr>
        <sz val="11"/>
        <color indexed="8"/>
        <rFont val="仿宋_GB2312"/>
        <family val="3"/>
        <charset val="134"/>
      </rPr>
      <t>房屋年纯收益</t>
    </r>
    <phoneticPr fontId="64"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</si>
  <si>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4" type="noConversion"/>
  </si>
  <si>
    <r>
      <rPr>
        <sz val="11"/>
        <color indexed="8"/>
        <rFont val="仿宋_GB2312"/>
        <family val="3"/>
        <charset val="134"/>
      </rPr>
      <t>土地年纯收益</t>
    </r>
    <phoneticPr fontId="64"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</si>
  <si>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4" type="noConversion"/>
  </si>
  <si>
    <r>
      <rPr>
        <sz val="11"/>
        <color indexed="8"/>
        <rFont val="仿宋_GB2312"/>
        <family val="3"/>
        <charset val="134"/>
      </rPr>
      <t>土地价格</t>
    </r>
    <phoneticPr fontId="64"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</si>
  <si>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6"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</si>
  <si>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6" type="noConversion"/>
  </si>
  <si>
    <r>
      <rPr>
        <b/>
        <sz val="16"/>
        <color indexed="10"/>
        <rFont val="仿宋_GB2312"/>
        <family val="3"/>
        <charset val="134"/>
      </rPr>
      <t>比较法</t>
    </r>
    <phoneticPr fontId="6" type="noConversion"/>
  </si>
  <si>
    <r>
      <rPr>
        <b/>
        <sz val="16"/>
        <rFont val="仿宋_GB2312"/>
        <family val="3"/>
        <charset val="134"/>
      </rPr>
      <t>住宅</t>
    </r>
    <phoneticPr fontId="6" type="noConversion"/>
  </si>
  <si>
    <r>
      <rPr>
        <b/>
        <sz val="16"/>
        <rFont val="仿宋_GB2312"/>
        <family val="3"/>
        <charset val="134"/>
      </rPr>
      <t>─</t>
    </r>
    <phoneticPr fontId="24"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</si>
  <si>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4" type="noConversion"/>
  </si>
  <si>
    <r>
      <rPr>
        <b/>
        <sz val="12"/>
        <rFont val="仿宋_GB2312"/>
        <family val="3"/>
        <charset val="134"/>
      </rPr>
      <t>建筑面积</t>
    </r>
    <phoneticPr fontId="24" type="noConversion"/>
  </si>
  <si>
    <r>
      <rPr>
        <sz val="11"/>
        <color indexed="8"/>
        <rFont val="仿宋_GB2312"/>
        <family val="3"/>
        <charset val="134"/>
      </rPr>
      <t>朝向</t>
    </r>
  </si>
  <si>
    <r>
      <rPr>
        <sz val="11"/>
        <color indexed="8"/>
        <rFont val="仿宋_GB2312"/>
        <family val="3"/>
        <charset val="134"/>
      </rPr>
      <t>道路级别</t>
    </r>
    <phoneticPr fontId="24"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</si>
  <si>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</si>
  <si>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</si>
  <si>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</si>
  <si>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</si>
  <si>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</si>
  <si>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</si>
  <si>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</si>
  <si>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</si>
  <si>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6"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</si>
  <si>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</si>
  <si>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</si>
  <si>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6" type="noConversion"/>
  </si>
  <si>
    <r>
      <t>60-70</t>
    </r>
    <r>
      <rPr>
        <sz val="11"/>
        <rFont val="仿宋_GB2312"/>
        <family val="3"/>
        <charset val="134"/>
      </rPr>
      <t>（含）</t>
    </r>
    <phoneticPr fontId="24" type="noConversion"/>
  </si>
  <si>
    <r>
      <t>50-60</t>
    </r>
    <r>
      <rPr>
        <sz val="11"/>
        <rFont val="仿宋_GB2312"/>
        <family val="3"/>
        <charset val="134"/>
      </rPr>
      <t>（含）</t>
    </r>
    <phoneticPr fontId="24" type="noConversion"/>
  </si>
  <si>
    <r>
      <t>40-50</t>
    </r>
    <r>
      <rPr>
        <sz val="11"/>
        <rFont val="仿宋_GB2312"/>
        <family val="3"/>
        <charset val="134"/>
      </rPr>
      <t>（含）</t>
    </r>
    <phoneticPr fontId="24" type="noConversion"/>
  </si>
  <si>
    <r>
      <t>30-40</t>
    </r>
    <r>
      <rPr>
        <sz val="11"/>
        <rFont val="仿宋_GB2312"/>
        <family val="3"/>
        <charset val="134"/>
      </rPr>
      <t>（含）</t>
    </r>
    <phoneticPr fontId="24" type="noConversion"/>
  </si>
  <si>
    <r>
      <t>20-30</t>
    </r>
    <r>
      <rPr>
        <sz val="11"/>
        <rFont val="仿宋_GB2312"/>
        <family val="3"/>
        <charset val="134"/>
      </rPr>
      <t>（含）</t>
    </r>
    <phoneticPr fontId="24" type="noConversion"/>
  </si>
  <si>
    <r>
      <t>10-20</t>
    </r>
    <r>
      <rPr>
        <sz val="11"/>
        <rFont val="仿宋_GB2312"/>
        <family val="3"/>
        <charset val="134"/>
      </rPr>
      <t>（含）</t>
    </r>
    <phoneticPr fontId="24" type="noConversion"/>
  </si>
  <si>
    <r>
      <t>0-10</t>
    </r>
    <r>
      <rPr>
        <sz val="11"/>
        <rFont val="仿宋_GB2312"/>
        <family val="3"/>
        <charset val="134"/>
      </rPr>
      <t>（含）</t>
    </r>
    <phoneticPr fontId="24" type="noConversion"/>
  </si>
  <si>
    <r>
      <rPr>
        <sz val="11"/>
        <color indexed="8"/>
        <rFont val="仿宋_GB2312"/>
        <family val="3"/>
        <charset val="134"/>
      </rPr>
      <t>自然及人文环境</t>
    </r>
    <phoneticPr fontId="6" type="noConversion"/>
  </si>
  <si>
    <r>
      <rPr>
        <sz val="11"/>
        <color indexed="8"/>
        <rFont val="仿宋_GB2312"/>
        <family val="3"/>
        <charset val="134"/>
      </rPr>
      <t>楼层</t>
    </r>
    <phoneticPr fontId="6" type="noConversion"/>
  </si>
  <si>
    <r>
      <rPr>
        <sz val="11"/>
        <color indexed="8"/>
        <rFont val="仿宋_GB2312"/>
        <family val="3"/>
        <charset val="134"/>
      </rPr>
      <t>朝向</t>
    </r>
    <phoneticPr fontId="6" type="noConversion"/>
  </si>
  <si>
    <r>
      <rPr>
        <sz val="11"/>
        <color indexed="8"/>
        <rFont val="仿宋_GB2312"/>
        <family val="3"/>
        <charset val="134"/>
      </rPr>
      <t>建筑类型</t>
    </r>
    <phoneticPr fontId="6" type="noConversion"/>
  </si>
  <si>
    <r>
      <rPr>
        <sz val="11"/>
        <color indexed="8"/>
        <rFont val="仿宋_GB2312"/>
        <family val="3"/>
        <charset val="134"/>
      </rPr>
      <t>项目建筑规模</t>
    </r>
    <phoneticPr fontId="6" type="noConversion"/>
  </si>
  <si>
    <r>
      <rPr>
        <sz val="11"/>
        <color indexed="8"/>
        <rFont val="仿宋_GB2312"/>
        <family val="3"/>
        <charset val="134"/>
      </rPr>
      <t>建筑结构</t>
    </r>
    <phoneticPr fontId="6" type="noConversion"/>
  </si>
  <si>
    <r>
      <rPr>
        <sz val="11"/>
        <color indexed="8"/>
        <rFont val="仿宋_GB2312"/>
        <family val="3"/>
        <charset val="134"/>
      </rPr>
      <t>建筑品质</t>
    </r>
    <phoneticPr fontId="6" type="noConversion"/>
  </si>
  <si>
    <r>
      <rPr>
        <sz val="11"/>
        <color indexed="8"/>
        <rFont val="仿宋_GB2312"/>
        <family val="3"/>
        <charset val="134"/>
      </rPr>
      <t>公共部分装修</t>
    </r>
    <phoneticPr fontId="6" type="noConversion"/>
  </si>
  <si>
    <r>
      <rPr>
        <sz val="11"/>
        <color indexed="8"/>
        <rFont val="仿宋_GB2312"/>
        <family val="3"/>
        <charset val="134"/>
      </rPr>
      <t>成新度</t>
    </r>
    <phoneticPr fontId="6" type="noConversion"/>
  </si>
  <si>
    <r>
      <rPr>
        <sz val="11"/>
        <color indexed="8"/>
        <rFont val="仿宋_GB2312"/>
        <family val="3"/>
        <charset val="134"/>
      </rPr>
      <t>物业管理</t>
    </r>
    <phoneticPr fontId="6" type="noConversion"/>
  </si>
  <si>
    <r>
      <rPr>
        <sz val="11"/>
        <color indexed="8"/>
        <rFont val="仿宋_GB2312"/>
        <family val="3"/>
        <charset val="134"/>
      </rPr>
      <t>房型</t>
    </r>
    <phoneticPr fontId="6" type="noConversion"/>
  </si>
  <si>
    <r>
      <rPr>
        <sz val="11"/>
        <color indexed="8"/>
        <rFont val="仿宋_GB2312"/>
        <family val="3"/>
        <charset val="134"/>
      </rPr>
      <t>内部装修</t>
    </r>
    <phoneticPr fontId="6" type="noConversion"/>
  </si>
  <si>
    <r>
      <rPr>
        <sz val="11"/>
        <color indexed="8"/>
        <rFont val="仿宋_GB2312"/>
        <family val="3"/>
        <charset val="134"/>
      </rPr>
      <t>内部装修维护情况</t>
    </r>
    <phoneticPr fontId="6" type="noConversion"/>
  </si>
  <si>
    <r>
      <rPr>
        <sz val="11"/>
        <color indexed="8"/>
        <rFont val="仿宋_GB2312"/>
        <family val="3"/>
        <charset val="134"/>
      </rPr>
      <t>一般</t>
    </r>
  </si>
  <si>
    <r>
      <rPr>
        <sz val="11"/>
        <color indexed="8"/>
        <rFont val="仿宋_GB2312"/>
        <family val="3"/>
        <charset val="134"/>
      </rPr>
      <t>公共部分装修</t>
    </r>
    <phoneticPr fontId="29" type="noConversion"/>
  </si>
  <si>
    <r>
      <rPr>
        <sz val="11"/>
        <color indexed="8"/>
        <rFont val="仿宋_GB2312"/>
        <family val="3"/>
        <charset val="134"/>
      </rPr>
      <t>成新度</t>
    </r>
    <phoneticPr fontId="29" type="noConversion"/>
  </si>
  <si>
    <r>
      <rPr>
        <sz val="11"/>
        <rFont val="仿宋_GB2312"/>
        <family val="3"/>
        <charset val="134"/>
      </rPr>
      <t>进深比</t>
    </r>
    <phoneticPr fontId="6" type="noConversion"/>
  </si>
  <si>
    <r>
      <rPr>
        <sz val="11"/>
        <color indexed="8"/>
        <rFont val="仿宋_GB2312"/>
        <family val="3"/>
        <charset val="134"/>
      </rPr>
      <t>内部装修</t>
    </r>
    <phoneticPr fontId="29" type="noConversion"/>
  </si>
  <si>
    <r>
      <rPr>
        <sz val="11"/>
        <color indexed="8"/>
        <rFont val="仿宋_GB2312"/>
        <family val="3"/>
        <charset val="134"/>
      </rPr>
      <t>商业类型</t>
    </r>
    <phoneticPr fontId="6" type="noConversion"/>
  </si>
  <si>
    <r>
      <rPr>
        <sz val="11"/>
        <color indexed="8"/>
        <rFont val="仿宋_GB2312"/>
        <family val="3"/>
        <charset val="134"/>
      </rPr>
      <t>环境质量</t>
    </r>
    <phoneticPr fontId="30" type="noConversion"/>
  </si>
  <si>
    <r>
      <rPr>
        <sz val="11"/>
        <color indexed="8"/>
        <rFont val="仿宋_GB2312"/>
        <family val="3"/>
        <charset val="134"/>
      </rPr>
      <t>建筑类型</t>
    </r>
    <phoneticPr fontId="29" type="noConversion"/>
  </si>
  <si>
    <r>
      <rPr>
        <sz val="11"/>
        <color indexed="8"/>
        <rFont val="仿宋_GB2312"/>
        <family val="3"/>
        <charset val="134"/>
      </rPr>
      <t>物业管理</t>
    </r>
    <phoneticPr fontId="29" type="noConversion"/>
  </si>
  <si>
    <r>
      <rPr>
        <sz val="11"/>
        <color indexed="8"/>
        <rFont val="仿宋_GB2312"/>
        <family val="3"/>
        <charset val="134"/>
      </rPr>
      <t>环境质量</t>
    </r>
    <phoneticPr fontId="6" type="noConversion"/>
  </si>
  <si>
    <r>
      <rPr>
        <b/>
        <sz val="16"/>
        <rFont val="仿宋_GB2312"/>
        <family val="3"/>
        <charset val="134"/>
      </rPr>
      <t>工业</t>
    </r>
    <phoneticPr fontId="6" type="noConversion"/>
  </si>
  <si>
    <r>
      <rPr>
        <sz val="11"/>
        <color indexed="8"/>
        <rFont val="仿宋_GB2312"/>
        <family val="3"/>
        <charset val="134"/>
      </rPr>
      <t>产业集聚程度</t>
    </r>
    <phoneticPr fontId="29" type="noConversion"/>
  </si>
  <si>
    <r>
      <rPr>
        <sz val="11"/>
        <color indexed="8"/>
        <rFont val="仿宋_GB2312"/>
        <family val="3"/>
        <charset val="134"/>
      </rPr>
      <t>内部装修状况</t>
    </r>
    <phoneticPr fontId="29" type="noConversion"/>
  </si>
  <si>
    <r>
      <rPr>
        <sz val="11"/>
        <rFont val="仿宋_GB2312"/>
        <family val="3"/>
        <charset val="134"/>
      </rPr>
      <t>内部装修维护状况</t>
    </r>
    <phoneticPr fontId="6" type="noConversion"/>
  </si>
  <si>
    <r>
      <rPr>
        <b/>
        <sz val="16"/>
        <rFont val="仿宋_GB2312"/>
        <family val="3"/>
        <charset val="134"/>
      </rPr>
      <t>─</t>
    </r>
    <phoneticPr fontId="24"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</si>
  <si>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4" type="noConversion"/>
  </si>
  <si>
    <r>
      <rPr>
        <b/>
        <sz val="12"/>
        <rFont val="仿宋_GB2312"/>
        <family val="3"/>
        <charset val="134"/>
      </rPr>
      <t>总价</t>
    </r>
    <phoneticPr fontId="18" type="noConversion"/>
  </si>
  <si>
    <r>
      <rPr>
        <b/>
        <sz val="12"/>
        <rFont val="仿宋_GB2312"/>
        <family val="3"/>
        <charset val="134"/>
      </rPr>
      <t>楼面单价</t>
    </r>
    <phoneticPr fontId="18" type="noConversion"/>
  </si>
  <si>
    <r>
      <rPr>
        <b/>
        <sz val="12"/>
        <rFont val="仿宋_GB2312"/>
        <family val="3"/>
        <charset val="134"/>
      </rPr>
      <t>建筑面积</t>
    </r>
    <phoneticPr fontId="24"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</si>
  <si>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</si>
  <si>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</si>
  <si>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</si>
  <si>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</si>
  <si>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</si>
  <si>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</si>
  <si>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</si>
  <si>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r>
      <rPr>
        <sz val="11"/>
        <color indexed="8"/>
        <rFont val="仿宋_GB2312"/>
        <family val="3"/>
        <charset val="134"/>
      </rPr>
      <t>自然及人文环境</t>
    </r>
    <phoneticPr fontId="30" type="noConversion"/>
  </si>
  <si>
    <r>
      <rPr>
        <sz val="11"/>
        <color indexed="8"/>
        <rFont val="仿宋_GB2312"/>
        <family val="3"/>
        <charset val="134"/>
      </rPr>
      <t>楼层</t>
    </r>
    <phoneticPr fontId="30" type="noConversion"/>
  </si>
  <si>
    <r>
      <rPr>
        <sz val="11"/>
        <color indexed="8"/>
        <rFont val="仿宋_GB2312"/>
        <family val="3"/>
        <charset val="134"/>
      </rPr>
      <t>配套类型</t>
    </r>
    <phoneticPr fontId="29" type="noConversion"/>
  </si>
  <si>
    <r>
      <rPr>
        <sz val="11"/>
        <color indexed="8"/>
        <rFont val="仿宋_GB2312"/>
        <family val="3"/>
        <charset val="134"/>
      </rPr>
      <t>项目停车位配比</t>
    </r>
    <phoneticPr fontId="30" type="noConversion"/>
  </si>
  <si>
    <r>
      <rPr>
        <sz val="11"/>
        <color indexed="8"/>
        <rFont val="仿宋_GB2312"/>
        <family val="3"/>
        <charset val="134"/>
      </rPr>
      <t>公共部分装修</t>
    </r>
    <phoneticPr fontId="30" type="noConversion"/>
  </si>
  <si>
    <r>
      <rPr>
        <sz val="11"/>
        <color indexed="8"/>
        <rFont val="仿宋_GB2312"/>
        <family val="3"/>
        <charset val="134"/>
      </rPr>
      <t>成新率</t>
    </r>
    <phoneticPr fontId="29"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</si>
  <si>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</si>
  <si>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29" type="noConversion"/>
  </si>
  <si>
    <r>
      <rPr>
        <sz val="11"/>
        <color indexed="8"/>
        <rFont val="仿宋_GB2312"/>
        <family val="3"/>
        <charset val="134"/>
      </rPr>
      <t>车位类型</t>
    </r>
    <phoneticPr fontId="29" type="noConversion"/>
  </si>
  <si>
    <r>
      <rPr>
        <sz val="11"/>
        <color indexed="8"/>
        <rFont val="仿宋_GB2312"/>
        <family val="3"/>
        <charset val="134"/>
      </rPr>
      <t>是否直接入户</t>
    </r>
    <phoneticPr fontId="29" type="noConversion"/>
  </si>
  <si>
    <r>
      <rPr>
        <sz val="11"/>
        <color indexed="8"/>
        <rFont val="仿宋_GB2312"/>
        <family val="3"/>
        <charset val="134"/>
      </rPr>
      <t>配套类型（地上主用途）</t>
    </r>
    <phoneticPr fontId="6" type="noConversion"/>
  </si>
  <si>
    <r>
      <rPr>
        <sz val="11"/>
        <color indexed="8"/>
        <rFont val="仿宋_GB2312"/>
        <family val="3"/>
        <charset val="134"/>
      </rPr>
      <t>项目停车位配比</t>
    </r>
    <phoneticPr fontId="6" type="noConversion"/>
  </si>
  <si>
    <r>
      <rPr>
        <sz val="11"/>
        <color indexed="8"/>
        <rFont val="仿宋_GB2312"/>
        <family val="3"/>
        <charset val="134"/>
      </rPr>
      <t>成新率</t>
    </r>
    <phoneticPr fontId="6" type="noConversion"/>
  </si>
  <si>
    <r>
      <rPr>
        <sz val="11"/>
        <color indexed="8"/>
        <rFont val="仿宋_GB2312"/>
        <family val="3"/>
        <charset val="134"/>
      </rPr>
      <t>物业等级</t>
    </r>
    <phoneticPr fontId="30" type="noConversion"/>
  </si>
  <si>
    <r>
      <rPr>
        <sz val="11"/>
        <color indexed="8"/>
        <rFont val="仿宋_GB2312"/>
        <family val="3"/>
        <charset val="134"/>
      </rPr>
      <t>停车位面积</t>
    </r>
    <phoneticPr fontId="6" type="noConversion"/>
  </si>
  <si>
    <r>
      <rPr>
        <sz val="11"/>
        <color indexed="8"/>
        <rFont val="仿宋_GB2312"/>
        <family val="3"/>
        <charset val="134"/>
      </rPr>
      <t>车位类型</t>
    </r>
    <phoneticPr fontId="6" type="noConversion"/>
  </si>
  <si>
    <r>
      <rPr>
        <sz val="11"/>
        <color indexed="8"/>
        <rFont val="仿宋_GB2312"/>
        <family val="3"/>
        <charset val="134"/>
      </rPr>
      <t>是否直接入户</t>
    </r>
    <phoneticPr fontId="6" type="noConversion"/>
  </si>
  <si>
    <r>
      <rPr>
        <sz val="11"/>
        <rFont val="仿宋_GB2312"/>
        <family val="3"/>
        <charset val="134"/>
      </rPr>
      <t>实物状况</t>
    </r>
    <phoneticPr fontId="6" type="noConversion"/>
  </si>
  <si>
    <r>
      <rPr>
        <sz val="11"/>
        <color indexed="8"/>
        <rFont val="仿宋_GB2312"/>
        <family val="3"/>
        <charset val="134"/>
      </rPr>
      <t>有无电梯</t>
    </r>
    <phoneticPr fontId="29"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</si>
  <si>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</si>
  <si>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29" type="noConversion"/>
  </si>
  <si>
    <r>
      <rPr>
        <sz val="11"/>
        <color indexed="8"/>
        <rFont val="仿宋_GB2312"/>
        <family val="3"/>
        <charset val="134"/>
      </rPr>
      <t>有无电梯</t>
    </r>
    <phoneticPr fontId="6" type="noConversion"/>
  </si>
  <si>
    <r>
      <rPr>
        <sz val="11"/>
        <color indexed="8"/>
        <rFont val="仿宋_GB2312"/>
        <family val="3"/>
        <charset val="134"/>
      </rPr>
      <t>建筑面积</t>
    </r>
    <phoneticPr fontId="30" type="noConversion"/>
  </si>
  <si>
    <r>
      <rPr>
        <sz val="11"/>
        <color indexed="8"/>
        <rFont val="仿宋_GB2312"/>
        <family val="3"/>
        <charset val="134"/>
      </rPr>
      <t>是否封闭</t>
    </r>
    <phoneticPr fontId="6" type="noConversion"/>
  </si>
  <si>
    <r>
      <rPr>
        <b/>
        <sz val="12"/>
        <color indexed="8"/>
        <rFont val="仿宋_GB2312"/>
        <family val="3"/>
        <charset val="134"/>
      </rPr>
      <t>总价</t>
    </r>
    <phoneticPr fontId="24" type="noConversion"/>
  </si>
  <si>
    <r>
      <rPr>
        <b/>
        <sz val="12"/>
        <color indexed="8"/>
        <rFont val="仿宋_GB2312"/>
        <family val="3"/>
        <charset val="134"/>
      </rPr>
      <t>楼面单价</t>
    </r>
    <phoneticPr fontId="24" type="noConversion"/>
  </si>
  <si>
    <r>
      <rPr>
        <b/>
        <sz val="10"/>
        <color indexed="8"/>
        <rFont val="仿宋_GB2312"/>
        <family val="3"/>
        <charset val="134"/>
      </rPr>
      <t>合计</t>
    </r>
    <phoneticPr fontId="24"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</si>
  <si>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4" type="noConversion"/>
  </si>
  <si>
    <r>
      <rPr>
        <sz val="10"/>
        <color indexed="8"/>
        <rFont val="仿宋_GB2312"/>
        <family val="3"/>
        <charset val="134"/>
      </rPr>
      <t>建筑面积</t>
    </r>
    <phoneticPr fontId="24" type="noConversion"/>
  </si>
  <si>
    <r>
      <rPr>
        <sz val="10"/>
        <color indexed="8"/>
        <rFont val="仿宋_GB2312"/>
        <family val="3"/>
        <charset val="134"/>
      </rPr>
      <t>修正系数</t>
    </r>
    <phoneticPr fontId="24" type="noConversion"/>
  </si>
  <si>
    <r>
      <rPr>
        <sz val="10"/>
        <color indexed="8"/>
        <rFont val="仿宋_GB2312"/>
        <family val="3"/>
        <charset val="134"/>
      </rPr>
      <t>修正单价</t>
    </r>
    <phoneticPr fontId="24" type="noConversion"/>
  </si>
  <si>
    <r>
      <rPr>
        <sz val="10"/>
        <color indexed="8"/>
        <rFont val="仿宋_GB2312"/>
        <family val="3"/>
        <charset val="134"/>
      </rPr>
      <t>总价</t>
    </r>
    <phoneticPr fontId="24" type="noConversion"/>
  </si>
  <si>
    <r>
      <rPr>
        <b/>
        <sz val="10"/>
        <color indexed="10"/>
        <rFont val="仿宋_GB2312"/>
        <family val="3"/>
        <charset val="134"/>
      </rPr>
      <t>基准户型</t>
    </r>
    <phoneticPr fontId="24" type="noConversion"/>
  </si>
  <si>
    <t>住宅\综合</t>
    <phoneticPr fontId="6" type="noConversion"/>
  </si>
  <si>
    <t>工业</t>
    <phoneticPr fontId="6" type="noConversion"/>
  </si>
  <si>
    <t>不动产-住宅</t>
    <phoneticPr fontId="6" type="noConversion"/>
  </si>
  <si>
    <t>不动产-商业</t>
    <phoneticPr fontId="6" type="noConversion"/>
  </si>
  <si>
    <t>不动产-办公</t>
    <phoneticPr fontId="6" type="noConversion"/>
  </si>
  <si>
    <t>不动产-工业</t>
    <phoneticPr fontId="32" type="noConversion"/>
  </si>
  <si>
    <t>不动产-车位</t>
    <phoneticPr fontId="32" type="noConversion"/>
  </si>
  <si>
    <t>不动产-仓储</t>
    <phoneticPr fontId="32"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</si>
  <si>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2" type="noConversion"/>
  </si>
  <si>
    <t>项目基本情况</t>
    <phoneticPr fontId="6" type="noConversion"/>
  </si>
  <si>
    <t>宗地现状</t>
    <phoneticPr fontId="9" type="noConversion"/>
  </si>
  <si>
    <t>闲置情况</t>
    <phoneticPr fontId="9" type="noConversion"/>
  </si>
  <si>
    <t>约定的动工日期</t>
    <phoneticPr fontId="9" type="noConversion"/>
  </si>
  <si>
    <t>超过约定</t>
    <phoneticPr fontId="9" type="noConversion"/>
  </si>
  <si>
    <t>年</t>
    <phoneticPr fontId="9"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</si>
  <si>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6"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</si>
  <si>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6"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</si>
  <si>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6" type="noConversion"/>
  </si>
  <si>
    <t>人防</t>
    <phoneticPr fontId="126" type="noConversion"/>
  </si>
  <si>
    <t>用途类型</t>
    <phoneticPr fontId="17" type="noConversion"/>
  </si>
  <si>
    <r>
      <rPr>
        <b/>
        <sz val="11"/>
        <color indexed="8"/>
        <rFont val="楷体_GB2312"/>
        <family val="3"/>
        <charset val="134"/>
      </rPr>
      <t>容积率</t>
    </r>
    <phoneticPr fontId="126" type="noConversion"/>
  </si>
  <si>
    <r>
      <rPr>
        <sz val="11"/>
        <color indexed="8"/>
        <rFont val="楷体_GB2312"/>
        <family val="3"/>
        <charset val="134"/>
      </rPr>
      <t>项目</t>
    </r>
    <phoneticPr fontId="126" type="noConversion"/>
  </si>
  <si>
    <r>
      <rPr>
        <sz val="11"/>
        <color indexed="8"/>
        <rFont val="楷体_GB2312"/>
        <family val="3"/>
        <charset val="134"/>
      </rPr>
      <t>总</t>
    </r>
    <phoneticPr fontId="126" type="noConversion"/>
  </si>
  <si>
    <r>
      <rPr>
        <sz val="11"/>
        <color indexed="8"/>
        <rFont val="楷体_GB2312"/>
        <family val="3"/>
        <charset val="134"/>
      </rPr>
      <t>地上</t>
    </r>
    <phoneticPr fontId="126" type="noConversion"/>
  </si>
  <si>
    <r>
      <rPr>
        <sz val="11"/>
        <color indexed="8"/>
        <rFont val="楷体_GB2312"/>
        <family val="3"/>
        <charset val="134"/>
      </rPr>
      <t>估价对象</t>
    </r>
    <phoneticPr fontId="126"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</si>
  <si>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6"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</si>
  <si>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6" type="noConversion"/>
  </si>
  <si>
    <r>
      <rPr>
        <b/>
        <sz val="11"/>
        <color indexed="8"/>
        <rFont val="楷体_GB2312"/>
        <family val="3"/>
        <charset val="134"/>
      </rPr>
      <t>综合取费</t>
    </r>
    <phoneticPr fontId="126" type="noConversion"/>
  </si>
  <si>
    <t>土地使用年期</t>
    <phoneticPr fontId="126" type="noConversion"/>
  </si>
  <si>
    <t>建安费用</t>
    <phoneticPr fontId="126"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</si>
  <si>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6" type="noConversion"/>
  </si>
  <si>
    <r>
      <rPr>
        <sz val="11"/>
        <color indexed="8"/>
        <rFont val="楷体_GB2312"/>
        <family val="3"/>
        <charset val="134"/>
      </rPr>
      <t>租期外</t>
    </r>
    <phoneticPr fontId="126" type="noConversion"/>
  </si>
  <si>
    <r>
      <rPr>
        <sz val="11"/>
        <color indexed="8"/>
        <rFont val="楷体_GB2312"/>
        <family val="3"/>
        <charset val="134"/>
      </rPr>
      <t>收益期</t>
    </r>
    <phoneticPr fontId="126" type="noConversion"/>
  </si>
  <si>
    <t>收益年期(总)</t>
    <phoneticPr fontId="6" type="noConversion"/>
  </si>
  <si>
    <r>
      <rPr>
        <sz val="11"/>
        <color indexed="8"/>
        <rFont val="楷体_GB2312"/>
        <family val="3"/>
        <charset val="134"/>
      </rPr>
      <t>非住宅项目及用公共配套计算实为</t>
    </r>
    <r>
      <rPr>
        <sz val="11"/>
        <color indexed="8"/>
        <rFont val="Arial"/>
        <family val="2"/>
      </rPr>
      <t>0</t>
    </r>
    <phoneticPr fontId="6" type="noConversion"/>
  </si>
  <si>
    <t>红色字体</t>
    <phoneticPr fontId="32" type="noConversion"/>
  </si>
  <si>
    <r>
      <rPr>
        <b/>
        <sz val="14"/>
        <color indexed="10"/>
        <rFont val="仿宋_GB2312"/>
        <family val="3"/>
        <charset val="134"/>
      </rPr>
      <t>最终结果</t>
    </r>
    <phoneticPr fontId="12" type="noConversion"/>
  </si>
  <si>
    <t>五等判定</t>
    <phoneticPr fontId="6"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</si>
  <si>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</si>
  <si>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</si>
  <si>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</si>
  <si>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</si>
  <si>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</si>
  <si>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</si>
  <si>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</si>
  <si>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8" type="noConversion"/>
  </si>
  <si>
    <t>容积率</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</si>
  <si>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</si>
  <si>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</si>
  <si>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</si>
  <si>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</si>
  <si>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</si>
  <si>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</si>
  <si>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</si>
  <si>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</si>
  <si>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</si>
  <si>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</si>
  <si>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</si>
  <si>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</si>
  <si>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r>
      <rPr>
        <sz val="10"/>
        <rFont val="楷体_GB2312"/>
        <family val="3"/>
        <charset val="134"/>
      </rPr>
      <t>宗地容积率</t>
    </r>
    <r>
      <rPr>
        <sz val="10"/>
        <rFont val="Arial"/>
        <family val="2"/>
      </rPr>
      <t>R</t>
    </r>
    <phoneticPr fontId="128" type="noConversion"/>
  </si>
  <si>
    <r>
      <rPr>
        <sz val="10"/>
        <rFont val="楷体_GB2312"/>
        <family val="3"/>
        <charset val="134"/>
      </rPr>
      <t>修正系数</t>
    </r>
    <phoneticPr fontId="128" type="noConversion"/>
  </si>
  <si>
    <t>用途</t>
    <phoneticPr fontId="128" type="noConversion"/>
  </si>
  <si>
    <t>土地级别</t>
    <phoneticPr fontId="128" type="noConversion"/>
  </si>
  <si>
    <r>
      <rPr>
        <sz val="10"/>
        <rFont val="楷体_GB2312"/>
        <family val="3"/>
        <charset val="134"/>
      </rPr>
      <t>商业</t>
    </r>
    <phoneticPr fontId="128" type="noConversion"/>
  </si>
  <si>
    <r>
      <rPr>
        <sz val="10"/>
        <rFont val="楷体_GB2312"/>
        <family val="3"/>
        <charset val="134"/>
      </rPr>
      <t>办公</t>
    </r>
    <phoneticPr fontId="128" type="noConversion"/>
  </si>
  <si>
    <t>住宅</t>
    <phoneticPr fontId="128" type="noConversion"/>
  </si>
  <si>
    <r>
      <rPr>
        <sz val="10"/>
        <rFont val="楷体_GB2312"/>
        <family val="3"/>
        <charset val="134"/>
      </rPr>
      <t>工业</t>
    </r>
    <phoneticPr fontId="128" type="noConversion"/>
  </si>
  <si>
    <t>北京市基准地价容积率修正系数表（办公）</t>
    <phoneticPr fontId="128" type="noConversion"/>
  </si>
  <si>
    <t>北京市基准地价容积率修正系数表（居住）</t>
    <phoneticPr fontId="128" type="noConversion"/>
  </si>
  <si>
    <t>容积率</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</si>
  <si>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</si>
  <si>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</si>
  <si>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</si>
  <si>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</si>
  <si>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</si>
  <si>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</si>
  <si>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</si>
  <si>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</si>
  <si>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</si>
  <si>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</si>
  <si>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</si>
  <si>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</si>
  <si>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t>北京市基准地价容积率修正系数表（工业）</t>
    <phoneticPr fontId="128" type="noConversion"/>
  </si>
  <si>
    <t>总价</t>
    <phoneticPr fontId="128" type="noConversion"/>
  </si>
  <si>
    <t>万元</t>
    <phoneticPr fontId="128" type="noConversion"/>
  </si>
  <si>
    <t>用途</t>
    <phoneticPr fontId="128" type="noConversion"/>
  </si>
  <si>
    <t>住宅</t>
  </si>
  <si>
    <t>土地级别</t>
    <phoneticPr fontId="128" type="noConversion"/>
  </si>
  <si>
    <t>四级</t>
  </si>
  <si>
    <t>区片编号</t>
    <phoneticPr fontId="128" type="noConversion"/>
  </si>
  <si>
    <t>元/平方米</t>
    <phoneticPr fontId="128" type="noConversion"/>
  </si>
  <si>
    <t>用途类别</t>
    <phoneticPr fontId="128" type="noConversion"/>
  </si>
  <si>
    <t>楼层</t>
    <phoneticPr fontId="128" type="noConversion"/>
  </si>
  <si>
    <t>（地上）</t>
    <phoneticPr fontId="128" type="noConversion"/>
  </si>
  <si>
    <t>适用的楼面熟地价</t>
    <phoneticPr fontId="128" type="noConversion"/>
  </si>
  <si>
    <t>商业路线价修正（商业用途）</t>
    <phoneticPr fontId="128" type="noConversion"/>
  </si>
  <si>
    <t>宗地深度（米）</t>
    <phoneticPr fontId="128" type="noConversion"/>
  </si>
  <si>
    <t>所在商业街</t>
    <phoneticPr fontId="128" type="noConversion"/>
  </si>
  <si>
    <t>A1</t>
    <phoneticPr fontId="128" type="noConversion"/>
  </si>
  <si>
    <t>临商业街红线1/4标准深度占地面积／宗地总面积</t>
    <phoneticPr fontId="128" type="noConversion"/>
  </si>
  <si>
    <t>加价幅度</t>
    <phoneticPr fontId="128" type="noConversion"/>
  </si>
  <si>
    <t>A2</t>
  </si>
  <si>
    <t>临商业街红线1/4至2/4标准深度占地面积／宗地总面积</t>
    <phoneticPr fontId="128" type="noConversion"/>
  </si>
  <si>
    <t>标准深度（米）</t>
    <phoneticPr fontId="128" type="noConversion"/>
  </si>
  <si>
    <t>A3</t>
  </si>
  <si>
    <t>临商业街红线2/4至3/4标准深度占地面积／宗地总面积</t>
    <phoneticPr fontId="128" type="noConversion"/>
  </si>
  <si>
    <t>1/4标准深度</t>
    <phoneticPr fontId="128" type="noConversion"/>
  </si>
  <si>
    <t>A4</t>
  </si>
  <si>
    <t>临商业街红线3/4至4/4标准深度占地面积／宗地总面积</t>
    <phoneticPr fontId="128" type="noConversion"/>
  </si>
  <si>
    <t>特殊情况修正（居住用途）</t>
    <phoneticPr fontId="128" type="noConversion"/>
  </si>
  <si>
    <t>需根据项目情况调整公式修正项</t>
    <phoneticPr fontId="128" type="noConversion"/>
  </si>
  <si>
    <t>轨道交通站点周边</t>
    <phoneticPr fontId="128" type="noConversion"/>
  </si>
  <si>
    <t>其他（垃圾填埋场/污水处理厂等），自定义，修正幅度不超过±10%</t>
    <phoneticPr fontId="128" type="noConversion"/>
  </si>
  <si>
    <t>开发程度差异修正</t>
    <phoneticPr fontId="128" type="noConversion"/>
  </si>
  <si>
    <t>估价对象开发程度</t>
    <phoneticPr fontId="128" type="noConversion"/>
  </si>
  <si>
    <t>——</t>
  </si>
  <si>
    <t>级别平均容积率</t>
    <phoneticPr fontId="128" type="noConversion"/>
  </si>
  <si>
    <t>级别开发程度</t>
    <phoneticPr fontId="128" type="noConversion"/>
  </si>
  <si>
    <t>用途修正系数</t>
    <phoneticPr fontId="128" type="noConversion"/>
  </si>
  <si>
    <t>期日修正指数</t>
    <phoneticPr fontId="128" type="noConversion"/>
  </si>
  <si>
    <t>基准期日</t>
    <phoneticPr fontId="128" type="noConversion"/>
  </si>
  <si>
    <t>估价期日</t>
    <phoneticPr fontId="128" type="noConversion"/>
  </si>
  <si>
    <t>2016-2</t>
  </si>
  <si>
    <t>2014-1</t>
  </si>
  <si>
    <t>2014-2</t>
  </si>
  <si>
    <t>2014-3</t>
  </si>
  <si>
    <t>2014-4</t>
  </si>
  <si>
    <t>2015-1</t>
  </si>
  <si>
    <t>2015-2</t>
  </si>
  <si>
    <t>2015-3</t>
  </si>
  <si>
    <t>2015-4</t>
  </si>
  <si>
    <t>2016-1</t>
  </si>
  <si>
    <t>2016-3</t>
  </si>
  <si>
    <t>2016-4</t>
  </si>
  <si>
    <t>年期修正系数</t>
    <phoneticPr fontId="128" type="noConversion"/>
  </si>
  <si>
    <t>现行一年期贷款利率</t>
    <phoneticPr fontId="128" type="noConversion"/>
  </si>
  <si>
    <t>土地还原率</t>
    <phoneticPr fontId="128" type="noConversion"/>
  </si>
  <si>
    <t>剩余使用年限</t>
    <phoneticPr fontId="128" type="noConversion"/>
  </si>
  <si>
    <t>商业</t>
    <phoneticPr fontId="128" type="noConversion"/>
  </si>
  <si>
    <t>容积率修正系数</t>
    <phoneticPr fontId="128" type="noConversion"/>
  </si>
  <si>
    <t>R&gt;10</t>
    <phoneticPr fontId="128" type="noConversion"/>
  </si>
  <si>
    <t>办公</t>
    <phoneticPr fontId="128" type="noConversion"/>
  </si>
  <si>
    <t>楼层修正系数（商业）</t>
    <phoneticPr fontId="128" type="noConversion"/>
  </si>
  <si>
    <t>因素修正系数</t>
    <phoneticPr fontId="128" type="noConversion"/>
  </si>
  <si>
    <t>工业</t>
  </si>
  <si>
    <t>估算结果</t>
    <phoneticPr fontId="128" type="noConversion"/>
  </si>
  <si>
    <t>商业</t>
    <phoneticPr fontId="128" type="noConversion"/>
  </si>
  <si>
    <t>办公</t>
    <phoneticPr fontId="128" type="noConversion"/>
  </si>
  <si>
    <t>工业</t>
    <phoneticPr fontId="128" type="noConversion"/>
  </si>
  <si>
    <t>熟地价</t>
    <phoneticPr fontId="128" type="noConversion"/>
  </si>
  <si>
    <t>上浮比率</t>
    <phoneticPr fontId="128" type="noConversion"/>
  </si>
  <si>
    <t>政府土地出让收益</t>
    <phoneticPr fontId="128" type="noConversion"/>
  </si>
  <si>
    <t>地上部分</t>
    <phoneticPr fontId="128" type="noConversion"/>
  </si>
  <si>
    <t>单价</t>
    <phoneticPr fontId="128" type="noConversion"/>
  </si>
  <si>
    <t>建筑面积</t>
    <phoneticPr fontId="128" type="noConversion"/>
  </si>
  <si>
    <t>总额</t>
    <phoneticPr fontId="128" type="noConversion"/>
  </si>
  <si>
    <t>地上部分——楼面熟地价</t>
    <phoneticPr fontId="128" type="noConversion"/>
  </si>
  <si>
    <t>地上部分——政府土地出让收益</t>
    <phoneticPr fontId="128" type="noConversion"/>
  </si>
  <si>
    <t>政府土地出让收益=楼面熟地价×政府土地出让收益比例</t>
    <phoneticPr fontId="128" type="noConversion"/>
  </si>
  <si>
    <t>地下部分</t>
    <phoneticPr fontId="128" type="noConversion"/>
  </si>
  <si>
    <t>楼面熟地价=适用的基准地价×期日修正系数×年期修正系数×因素修正系数×相应用途地下空间修正系数</t>
    <phoneticPr fontId="128" type="noConversion"/>
  </si>
  <si>
    <t>相应用途地下空间修正系数</t>
  </si>
  <si>
    <t>地下第1层商业</t>
    <phoneticPr fontId="128" type="noConversion"/>
  </si>
  <si>
    <t>地下第2层商业</t>
    <phoneticPr fontId="128" type="noConversion"/>
  </si>
  <si>
    <t>地下第3层商业</t>
    <phoneticPr fontId="128" type="noConversion"/>
  </si>
  <si>
    <t>地下第4层商业</t>
    <phoneticPr fontId="128" type="noConversion"/>
  </si>
  <si>
    <t>地下办公</t>
    <phoneticPr fontId="128" type="noConversion"/>
  </si>
  <si>
    <t>地下仓储</t>
    <phoneticPr fontId="128" type="noConversion"/>
  </si>
  <si>
    <t>地下车库</t>
    <phoneticPr fontId="128" type="noConversion"/>
  </si>
  <si>
    <t>结果不可超过《北京市区片基准地价因素总修正幅度表》所列修正幅度；依据估价对象用途调整链接</t>
    <phoneticPr fontId="128" type="noConversion"/>
  </si>
  <si>
    <t>商业</t>
    <phoneticPr fontId="128" type="noConversion"/>
  </si>
  <si>
    <t>影响因素</t>
    <phoneticPr fontId="128" type="noConversion"/>
  </si>
  <si>
    <t>情况说明</t>
    <phoneticPr fontId="128" type="noConversion"/>
  </si>
  <si>
    <t>等级</t>
    <phoneticPr fontId="128" type="noConversion"/>
  </si>
  <si>
    <r>
      <rPr>
        <sz val="10"/>
        <color indexed="8"/>
        <rFont val="楷体_GB2312"/>
        <family val="3"/>
        <charset val="134"/>
      </rPr>
      <t>修正幅度</t>
    </r>
    <phoneticPr fontId="128" type="noConversion"/>
  </si>
  <si>
    <r>
      <rPr>
        <sz val="10"/>
        <color indexed="8"/>
        <rFont val="楷体_GB2312"/>
        <family val="3"/>
        <charset val="134"/>
      </rPr>
      <t>权重</t>
    </r>
    <phoneticPr fontId="128" type="noConversion"/>
  </si>
  <si>
    <r>
      <rPr>
        <sz val="10"/>
        <rFont val="楷体_GB2312"/>
        <family val="3"/>
        <charset val="134"/>
      </rPr>
      <t>合计</t>
    </r>
    <phoneticPr fontId="128" type="noConversion"/>
  </si>
  <si>
    <r>
      <rPr>
        <sz val="10"/>
        <color indexed="8"/>
        <rFont val="宋体"/>
        <family val="3"/>
        <charset val="134"/>
      </rPr>
      <t>修正系数</t>
    </r>
    <phoneticPr fontId="128" type="noConversion"/>
  </si>
  <si>
    <r>
      <rPr>
        <sz val="11"/>
        <color indexed="8"/>
        <rFont val="楷体_GB2312"/>
        <family val="3"/>
        <charset val="134"/>
      </rPr>
      <t>好</t>
    </r>
    <phoneticPr fontId="128" type="noConversion"/>
  </si>
  <si>
    <r>
      <rPr>
        <sz val="11"/>
        <color indexed="8"/>
        <rFont val="楷体_GB2312"/>
        <family val="3"/>
        <charset val="134"/>
      </rPr>
      <t>较好</t>
    </r>
    <phoneticPr fontId="128" type="noConversion"/>
  </si>
  <si>
    <r>
      <rPr>
        <sz val="11"/>
        <color indexed="8"/>
        <rFont val="楷体_GB2312"/>
        <family val="3"/>
        <charset val="134"/>
      </rPr>
      <t>一般</t>
    </r>
    <phoneticPr fontId="128" type="noConversion"/>
  </si>
  <si>
    <r>
      <rPr>
        <sz val="11"/>
        <color indexed="8"/>
        <rFont val="楷体_GB2312"/>
        <family val="3"/>
        <charset val="134"/>
      </rPr>
      <t>较差</t>
    </r>
    <phoneticPr fontId="128" type="noConversion"/>
  </si>
  <si>
    <r>
      <rPr>
        <sz val="11"/>
        <color indexed="8"/>
        <rFont val="楷体_GB2312"/>
        <family val="3"/>
        <charset val="134"/>
      </rPr>
      <t>差</t>
    </r>
    <phoneticPr fontId="128" type="noConversion"/>
  </si>
  <si>
    <t xml:space="preserve"> 商业繁华程度</t>
    <phoneticPr fontId="128" type="noConversion"/>
  </si>
  <si>
    <t>交通便捷度</t>
    <phoneticPr fontId="128" type="noConversion"/>
  </si>
  <si>
    <t>区域土地利用方向</t>
    <phoneticPr fontId="128" type="noConversion"/>
  </si>
  <si>
    <t>临街宽度和深度</t>
    <phoneticPr fontId="128" type="noConversion"/>
  </si>
  <si>
    <t>临街道路状况</t>
    <phoneticPr fontId="128" type="noConversion"/>
  </si>
  <si>
    <t>宗地形状及可利用程度</t>
    <phoneticPr fontId="128" type="noConversion"/>
  </si>
  <si>
    <t>公共服务设施状况</t>
    <phoneticPr fontId="128" type="noConversion"/>
  </si>
  <si>
    <t>基础设施完备状况</t>
    <phoneticPr fontId="128" type="noConversion"/>
  </si>
  <si>
    <t>自然和人文环境状况</t>
    <phoneticPr fontId="128" type="noConversion"/>
  </si>
  <si>
    <t>办公</t>
    <phoneticPr fontId="128" type="noConversion"/>
  </si>
  <si>
    <t>办公集聚程度</t>
    <phoneticPr fontId="128" type="noConversion"/>
  </si>
  <si>
    <t>住宅</t>
    <phoneticPr fontId="128" type="noConversion"/>
  </si>
  <si>
    <t>居住社区成熟度</t>
    <phoneticPr fontId="128" type="noConversion"/>
  </si>
  <si>
    <t>交通便捷度</t>
    <phoneticPr fontId="128" type="noConversion"/>
  </si>
  <si>
    <t>临路状况</t>
    <phoneticPr fontId="128" type="noConversion"/>
  </si>
  <si>
    <t>与区域中心的接近程度</t>
    <phoneticPr fontId="128" type="noConversion"/>
  </si>
  <si>
    <t>工业</t>
    <phoneticPr fontId="128" type="noConversion"/>
  </si>
  <si>
    <t>产业集聚程度</t>
    <phoneticPr fontId="128" type="noConversion"/>
  </si>
  <si>
    <t>环境状况</t>
    <phoneticPr fontId="128" type="noConversion"/>
  </si>
  <si>
    <t>北京市区片基准地价表</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</si>
  <si>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</si>
  <si>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</si>
  <si>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</si>
  <si>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</si>
  <si>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</si>
  <si>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</si>
  <si>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</si>
  <si>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</si>
  <si>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</si>
  <si>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</si>
  <si>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</si>
  <si>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</si>
  <si>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t>基准日期：2014年1月1日                                                    单位：元/建筑平方米</t>
    <phoneticPr fontId="128" type="noConversion"/>
  </si>
  <si>
    <t>Ⅰ—01</t>
    <phoneticPr fontId="128" type="noConversion"/>
  </si>
  <si>
    <t>Ⅱ—01</t>
    <phoneticPr fontId="128" type="noConversion"/>
  </si>
  <si>
    <t>Ⅲ—01</t>
    <phoneticPr fontId="128" type="noConversion"/>
  </si>
  <si>
    <t>Ⅳ-01</t>
    <phoneticPr fontId="128" type="noConversion"/>
  </si>
  <si>
    <t>Ⅴ-01</t>
    <phoneticPr fontId="128" type="noConversion"/>
  </si>
  <si>
    <t>Ⅵ-01</t>
    <phoneticPr fontId="128" type="noConversion"/>
  </si>
  <si>
    <t>Ⅶ-01</t>
    <phoneticPr fontId="128" type="noConversion"/>
  </si>
  <si>
    <t>Ⅷ-01</t>
    <phoneticPr fontId="128" type="noConversion"/>
  </si>
  <si>
    <t>Ⅸ-01</t>
    <phoneticPr fontId="128" type="noConversion"/>
  </si>
  <si>
    <t>Ⅹ-01</t>
    <phoneticPr fontId="128" type="noConversion"/>
  </si>
  <si>
    <t>Ⅺ-门1</t>
    <phoneticPr fontId="128" type="noConversion"/>
  </si>
  <si>
    <t>Ⅻ-门1</t>
    <phoneticPr fontId="128" type="noConversion"/>
  </si>
  <si>
    <t>级别</t>
    <phoneticPr fontId="128" type="noConversion"/>
  </si>
  <si>
    <t>商业</t>
    <phoneticPr fontId="128" type="noConversion"/>
  </si>
  <si>
    <t>办公</t>
    <phoneticPr fontId="128" type="noConversion"/>
  </si>
  <si>
    <t>住宅</t>
    <phoneticPr fontId="128" type="noConversion"/>
  </si>
  <si>
    <t>工业</t>
    <phoneticPr fontId="128" type="noConversion"/>
  </si>
  <si>
    <t>Ⅰ—02</t>
    <phoneticPr fontId="128" type="noConversion"/>
  </si>
  <si>
    <t>Ⅱ—02</t>
  </si>
  <si>
    <t>Ⅲ—02</t>
  </si>
  <si>
    <t>Ⅳ-02</t>
  </si>
  <si>
    <t>Ⅴ-02</t>
  </si>
  <si>
    <t>Ⅵ-02</t>
  </si>
  <si>
    <t>Ⅶ-02</t>
  </si>
  <si>
    <t>Ⅷ-02</t>
  </si>
  <si>
    <t>Ⅸ-02</t>
  </si>
  <si>
    <t>Ⅹ-02</t>
  </si>
  <si>
    <t>Ⅺ-门斋</t>
    <phoneticPr fontId="128" type="noConversion"/>
  </si>
  <si>
    <t>Ⅻ-房1</t>
    <phoneticPr fontId="128" type="noConversion"/>
  </si>
  <si>
    <t>区片编号</t>
    <phoneticPr fontId="128" type="noConversion"/>
  </si>
  <si>
    <t>区片价格</t>
    <phoneticPr fontId="128" type="noConversion"/>
  </si>
  <si>
    <t>Ⅰ—03</t>
  </si>
  <si>
    <t>Ⅱ—03</t>
  </si>
  <si>
    <t>Ⅲ—03</t>
  </si>
  <si>
    <t>Ⅳ-03</t>
  </si>
  <si>
    <t>Ⅴ-03</t>
  </si>
  <si>
    <t>Ⅵ-03</t>
  </si>
  <si>
    <t>Ⅶ-03</t>
  </si>
  <si>
    <t>Ⅷ-03</t>
  </si>
  <si>
    <t>Ⅸ-门1</t>
    <phoneticPr fontId="128" type="noConversion"/>
  </si>
  <si>
    <t>Ⅹ-门1</t>
    <phoneticPr fontId="128" type="noConversion"/>
  </si>
  <si>
    <t>Ⅺ-房1</t>
    <phoneticPr fontId="128" type="noConversion"/>
  </si>
  <si>
    <t>Ⅻ-昌1</t>
    <phoneticPr fontId="128" type="noConversion"/>
  </si>
  <si>
    <t>一级</t>
  </si>
  <si>
    <t>Ⅰ—04</t>
  </si>
  <si>
    <t>Ⅱ—04</t>
  </si>
  <si>
    <t>Ⅲ—04</t>
  </si>
  <si>
    <t>Ⅳ-04</t>
  </si>
  <si>
    <t>Ⅴ-04</t>
  </si>
  <si>
    <t>Ⅵ-04</t>
  </si>
  <si>
    <t>Ⅶ-04</t>
  </si>
  <si>
    <t>Ⅷ-04</t>
  </si>
  <si>
    <t>Ⅸ-门2</t>
    <phoneticPr fontId="128" type="noConversion"/>
  </si>
  <si>
    <t>Ⅹ-房1</t>
    <phoneticPr fontId="128" type="noConversion"/>
  </si>
  <si>
    <t>Ⅺ-房2</t>
  </si>
  <si>
    <t>Ⅻ-平1</t>
    <phoneticPr fontId="128" type="noConversion"/>
  </si>
  <si>
    <t>Ⅰ—02</t>
    <phoneticPr fontId="128" type="noConversion"/>
  </si>
  <si>
    <t>二级</t>
    <phoneticPr fontId="128" type="noConversion"/>
  </si>
  <si>
    <t>Ⅰ—05</t>
  </si>
  <si>
    <t>Ⅱ—05</t>
  </si>
  <si>
    <t>Ⅲ—05</t>
  </si>
  <si>
    <t>Ⅳ-05</t>
  </si>
  <si>
    <t>Ⅴ-05</t>
  </si>
  <si>
    <t>Ⅵ-05</t>
  </si>
  <si>
    <t>Ⅶ-05</t>
  </si>
  <si>
    <t>Ⅷ-门1</t>
    <phoneticPr fontId="128" type="noConversion"/>
  </si>
  <si>
    <t>Ⅸ-门潭</t>
    <phoneticPr fontId="128" type="noConversion"/>
  </si>
  <si>
    <t>Ⅹ-房2</t>
  </si>
  <si>
    <t>Ⅺ-通1</t>
    <phoneticPr fontId="128" type="noConversion"/>
  </si>
  <si>
    <t>Ⅻ-怀1</t>
    <phoneticPr fontId="128" type="noConversion"/>
  </si>
  <si>
    <t>Ⅱ—06</t>
  </si>
  <si>
    <t>Ⅲ—06</t>
  </si>
  <si>
    <t>Ⅳ-06</t>
  </si>
  <si>
    <t>Ⅴ-06</t>
  </si>
  <si>
    <t>Ⅵ-06</t>
  </si>
  <si>
    <t>Ⅶ-06</t>
  </si>
  <si>
    <t>Ⅷ-门军</t>
    <phoneticPr fontId="128" type="noConversion"/>
  </si>
  <si>
    <t>Ⅸ-房1</t>
    <phoneticPr fontId="128" type="noConversion"/>
  </si>
  <si>
    <t>Ⅹ-通1</t>
    <phoneticPr fontId="128" type="noConversion"/>
  </si>
  <si>
    <t>Ⅺ-顺1</t>
    <phoneticPr fontId="128" type="noConversion"/>
  </si>
  <si>
    <t>Ⅻ-密1</t>
    <phoneticPr fontId="128" type="noConversion"/>
  </si>
  <si>
    <t>Ⅱ—07</t>
  </si>
  <si>
    <t>Ⅲ—07</t>
  </si>
  <si>
    <t>Ⅳ-07</t>
  </si>
  <si>
    <t>Ⅴ-07</t>
  </si>
  <si>
    <t>Ⅵ-07</t>
  </si>
  <si>
    <t>Ⅶ-07</t>
  </si>
  <si>
    <t>Ⅷ-房1</t>
    <phoneticPr fontId="128" type="noConversion"/>
  </si>
  <si>
    <t>Ⅸ-房2</t>
  </si>
  <si>
    <t>Ⅹ-顺1</t>
    <phoneticPr fontId="128" type="noConversion"/>
  </si>
  <si>
    <t>Ⅺ-兴1</t>
    <phoneticPr fontId="128" type="noConversion"/>
  </si>
  <si>
    <t>Ⅻ-延1</t>
    <phoneticPr fontId="128" type="noConversion"/>
  </si>
  <si>
    <t>Ⅱ—08</t>
  </si>
  <si>
    <t>Ⅲ—08</t>
  </si>
  <si>
    <t>Ⅳ-08</t>
  </si>
  <si>
    <t>Ⅴ-08</t>
  </si>
  <si>
    <t>Ⅵ-08</t>
  </si>
  <si>
    <t>Ⅶ-08</t>
  </si>
  <si>
    <t>Ⅷ-房2</t>
  </si>
  <si>
    <t>Ⅸ-房3</t>
  </si>
  <si>
    <t>Ⅹ-顺2</t>
  </si>
  <si>
    <t>Ⅺ-兴2</t>
    <phoneticPr fontId="128" type="noConversion"/>
  </si>
  <si>
    <t>二级</t>
  </si>
  <si>
    <t>Ⅱ—01</t>
    <phoneticPr fontId="128" type="noConversion"/>
  </si>
  <si>
    <t>Ⅱ—09</t>
  </si>
  <si>
    <t>Ⅲ—09</t>
  </si>
  <si>
    <t>Ⅳ-09</t>
  </si>
  <si>
    <t>Ⅴ-09</t>
  </si>
  <si>
    <t>Ⅵ-09</t>
  </si>
  <si>
    <t>Ⅶ-09</t>
  </si>
  <si>
    <t>Ⅷ-房3</t>
  </si>
  <si>
    <t>Ⅸ-房4</t>
  </si>
  <si>
    <t>Ⅹ-顺3</t>
  </si>
  <si>
    <t>Ⅺ-昌1</t>
    <phoneticPr fontId="128" type="noConversion"/>
  </si>
  <si>
    <t>Ⅱ—10</t>
  </si>
  <si>
    <t>Ⅲ—10</t>
  </si>
  <si>
    <t>Ⅳ-10</t>
  </si>
  <si>
    <t>Ⅴ-10</t>
  </si>
  <si>
    <t>Ⅵ-10</t>
  </si>
  <si>
    <t>Ⅶ-10</t>
  </si>
  <si>
    <t>Ⅷ-通1</t>
    <phoneticPr fontId="128" type="noConversion"/>
  </si>
  <si>
    <t>Ⅸ-房5</t>
  </si>
  <si>
    <t>Ⅹ-兴1</t>
    <phoneticPr fontId="128" type="noConversion"/>
  </si>
  <si>
    <t>Ⅺ-昌2</t>
  </si>
  <si>
    <t>Ⅱ—11</t>
  </si>
  <si>
    <t>Ⅲ—11</t>
  </si>
  <si>
    <t>Ⅳ-11</t>
  </si>
  <si>
    <t>Ⅴ-11</t>
  </si>
  <si>
    <t>Ⅵ-11</t>
  </si>
  <si>
    <t>Ⅶ-11</t>
  </si>
  <si>
    <t>Ⅷ-通2</t>
  </si>
  <si>
    <t>Ⅸ-房6</t>
  </si>
  <si>
    <t>Ⅹ-兴2</t>
  </si>
  <si>
    <t>Ⅺ-平1</t>
    <phoneticPr fontId="128" type="noConversion"/>
  </si>
  <si>
    <t>Ⅱ—12</t>
  </si>
  <si>
    <t>Ⅲ—12</t>
  </si>
  <si>
    <t>Ⅳ-12</t>
  </si>
  <si>
    <t>Ⅴ-12</t>
  </si>
  <si>
    <t>Ⅵ-12</t>
  </si>
  <si>
    <t>Ⅶ-12</t>
  </si>
  <si>
    <t>Ⅷ-通3</t>
  </si>
  <si>
    <t>Ⅸ-通1</t>
    <phoneticPr fontId="128" type="noConversion"/>
  </si>
  <si>
    <t>Ⅹ-昌1</t>
    <phoneticPr fontId="128" type="noConversion"/>
  </si>
  <si>
    <t>Ⅺ-平2</t>
  </si>
  <si>
    <t>Ⅱ—13</t>
  </si>
  <si>
    <t>Ⅲ—13</t>
  </si>
  <si>
    <t>Ⅳ-13</t>
  </si>
  <si>
    <t>Ⅴ-13</t>
  </si>
  <si>
    <t>Ⅵ-13</t>
  </si>
  <si>
    <t>Ⅶ-13</t>
  </si>
  <si>
    <t>Ⅷ-顺1</t>
    <phoneticPr fontId="128" type="noConversion"/>
  </si>
  <si>
    <t>Ⅸ-通2</t>
  </si>
  <si>
    <t>Ⅹ-昌2</t>
  </si>
  <si>
    <t>Ⅺ-平3</t>
  </si>
  <si>
    <t>Ⅱ—14</t>
  </si>
  <si>
    <t>Ⅲ—14</t>
  </si>
  <si>
    <t>Ⅳ-14</t>
  </si>
  <si>
    <t>Ⅴ-14</t>
  </si>
  <si>
    <t>Ⅵ-14</t>
  </si>
  <si>
    <t>Ⅶ-门1</t>
    <phoneticPr fontId="128" type="noConversion"/>
  </si>
  <si>
    <t>Ⅷ-顺2</t>
  </si>
  <si>
    <t>Ⅸ-通3</t>
  </si>
  <si>
    <t>Ⅹ-昌3</t>
  </si>
  <si>
    <t>Ⅺ-平4</t>
  </si>
  <si>
    <t>Ⅱ—15</t>
  </si>
  <si>
    <t>Ⅲ—15</t>
  </si>
  <si>
    <t>Ⅳ-15</t>
  </si>
  <si>
    <t>Ⅴ-15</t>
  </si>
  <si>
    <t>Ⅵ-15</t>
  </si>
  <si>
    <t>Ⅶ-房1</t>
    <phoneticPr fontId="128" type="noConversion"/>
  </si>
  <si>
    <t>Ⅷ-顺3</t>
    <phoneticPr fontId="128" type="noConversion"/>
  </si>
  <si>
    <t>Ⅸ-顺1</t>
    <phoneticPr fontId="128" type="noConversion"/>
  </si>
  <si>
    <t>Ⅹ-平1</t>
    <phoneticPr fontId="128" type="noConversion"/>
  </si>
  <si>
    <t>Ⅺ-怀1</t>
    <phoneticPr fontId="128" type="noConversion"/>
  </si>
  <si>
    <t>Ⅱ—16</t>
  </si>
  <si>
    <t>Ⅲ—16</t>
  </si>
  <si>
    <t>Ⅳ-16</t>
  </si>
  <si>
    <t>Ⅴ-16</t>
  </si>
  <si>
    <t>Ⅵ-16</t>
  </si>
  <si>
    <t>Ⅶ-房2</t>
  </si>
  <si>
    <t>Ⅷ-顺4</t>
  </si>
  <si>
    <t>Ⅸ-顺2</t>
  </si>
  <si>
    <t>Ⅹ-平2</t>
  </si>
  <si>
    <t>Ⅺ-怀2</t>
  </si>
  <si>
    <t>Ⅱ—17</t>
  </si>
  <si>
    <t>Ⅲ—17</t>
  </si>
  <si>
    <t>Ⅳ-17</t>
  </si>
  <si>
    <t>Ⅴ-17</t>
  </si>
  <si>
    <t>Ⅵ-17</t>
  </si>
  <si>
    <t>Ⅶ-通1</t>
    <phoneticPr fontId="128" type="noConversion"/>
  </si>
  <si>
    <t>Ⅷ-顺5</t>
  </si>
  <si>
    <t>Ⅸ-顺3</t>
  </si>
  <si>
    <t>Ⅹ-怀1</t>
    <phoneticPr fontId="128" type="noConversion"/>
  </si>
  <si>
    <t>Ⅺ-密1</t>
    <phoneticPr fontId="128" type="noConversion"/>
  </si>
  <si>
    <t>Ⅱ—18</t>
  </si>
  <si>
    <t>Ⅲ—18</t>
  </si>
  <si>
    <t>Ⅳ-18</t>
  </si>
  <si>
    <t>Ⅴ-18</t>
  </si>
  <si>
    <t>Ⅵ-18</t>
  </si>
  <si>
    <t>Ⅶ-顺1</t>
    <phoneticPr fontId="128" type="noConversion"/>
  </si>
  <si>
    <t>Ⅷ-顺6</t>
  </si>
  <si>
    <t>Ⅸ-顺4</t>
  </si>
  <si>
    <t>Ⅹ-怀2</t>
  </si>
  <si>
    <t>Ⅺ-密2</t>
  </si>
  <si>
    <t>Ⅱ—19</t>
  </si>
  <si>
    <t>Ⅲ—19</t>
  </si>
  <si>
    <t>Ⅳ-19</t>
  </si>
  <si>
    <t>Ⅴ-19</t>
  </si>
  <si>
    <t>Ⅵ-19</t>
  </si>
  <si>
    <t>Ⅶ-顺2</t>
  </si>
  <si>
    <t>Ⅷ-顺7</t>
  </si>
  <si>
    <t>Ⅸ-兴1</t>
    <phoneticPr fontId="128" type="noConversion"/>
  </si>
  <si>
    <t>Ⅹ-怀3</t>
  </si>
  <si>
    <t>Ⅺ-密3</t>
  </si>
  <si>
    <t>Ⅲ—20</t>
  </si>
  <si>
    <t>Ⅳ-20</t>
  </si>
  <si>
    <t>Ⅴ-20</t>
  </si>
  <si>
    <t>Ⅵ-20</t>
  </si>
  <si>
    <t>Ⅶ-兴1</t>
    <phoneticPr fontId="128" type="noConversion"/>
  </si>
  <si>
    <t>Ⅷ-兴1</t>
    <phoneticPr fontId="128" type="noConversion"/>
  </si>
  <si>
    <t>Ⅸ-兴2</t>
  </si>
  <si>
    <t>Ⅹ-密1</t>
    <phoneticPr fontId="128" type="noConversion"/>
  </si>
  <si>
    <t>Ⅺ-延1</t>
    <phoneticPr fontId="128" type="noConversion"/>
  </si>
  <si>
    <t>Ⅱ—13</t>
    <phoneticPr fontId="128" type="noConversion"/>
  </si>
  <si>
    <t>Ⅳ-21</t>
  </si>
  <si>
    <t>Ⅴ-21</t>
  </si>
  <si>
    <t>Ⅵ-21</t>
  </si>
  <si>
    <t>Ⅶ-兴2</t>
  </si>
  <si>
    <t>Ⅷ-兴2</t>
  </si>
  <si>
    <t>Ⅸ-兴3</t>
  </si>
  <si>
    <t>Ⅹ-延1</t>
    <phoneticPr fontId="128" type="noConversion"/>
  </si>
  <si>
    <t>Ⅺ-延2</t>
  </si>
  <si>
    <t>Ⅳ-22</t>
  </si>
  <si>
    <t>Ⅴ-22</t>
  </si>
  <si>
    <t>Ⅵ-22</t>
  </si>
  <si>
    <t>Ⅶ-兴3</t>
  </si>
  <si>
    <t>Ⅷ-昌1</t>
    <phoneticPr fontId="128" type="noConversion"/>
  </si>
  <si>
    <t>Ⅸ-兴4</t>
  </si>
  <si>
    <t>Ⅹ-延2</t>
  </si>
  <si>
    <t>Ⅳ-23</t>
  </si>
  <si>
    <t>Ⅴ-23</t>
  </si>
  <si>
    <t>Ⅵ-23</t>
  </si>
  <si>
    <t>Ⅶ-昌1</t>
    <phoneticPr fontId="128" type="noConversion"/>
  </si>
  <si>
    <t>Ⅷ-昌2</t>
  </si>
  <si>
    <t>Ⅸ-兴5</t>
  </si>
  <si>
    <t>Ⅹ-亦1</t>
    <phoneticPr fontId="128" type="noConversion"/>
  </si>
  <si>
    <t>Ⅳ-电子城东</t>
    <phoneticPr fontId="128" type="noConversion"/>
  </si>
  <si>
    <t>Ⅴ-24</t>
  </si>
  <si>
    <t>Ⅵ-24</t>
  </si>
  <si>
    <t>Ⅶ-昌2</t>
  </si>
  <si>
    <t>Ⅷ-昌3</t>
  </si>
  <si>
    <t>Ⅸ-昌1</t>
    <phoneticPr fontId="128" type="noConversion"/>
  </si>
  <si>
    <t>Ⅹ-马坊工业园</t>
    <phoneticPr fontId="128" type="noConversion"/>
  </si>
  <si>
    <t>Ⅳ-电子城西</t>
    <phoneticPr fontId="128" type="noConversion"/>
  </si>
  <si>
    <t>Ⅴ-25</t>
  </si>
  <si>
    <t>Ⅵ-通1</t>
    <phoneticPr fontId="128" type="noConversion"/>
  </si>
  <si>
    <t>Ⅶ-昌3</t>
  </si>
  <si>
    <t>Ⅷ-昌4</t>
  </si>
  <si>
    <t>Ⅸ-昌2</t>
  </si>
  <si>
    <t>Ⅹ-延庆开发区</t>
    <phoneticPr fontId="128" type="noConversion"/>
  </si>
  <si>
    <t>Ⅳ-上地核心</t>
    <phoneticPr fontId="128" type="noConversion"/>
  </si>
  <si>
    <t>Ⅴ-26</t>
  </si>
  <si>
    <t>Ⅵ-通2</t>
  </si>
  <si>
    <t>Ⅶ-昌4</t>
  </si>
  <si>
    <t>Ⅷ-平1</t>
    <phoneticPr fontId="128" type="noConversion"/>
  </si>
  <si>
    <t>Ⅸ-昌3</t>
  </si>
  <si>
    <t>Ⅹ-八达岭开发区</t>
    <phoneticPr fontId="128" type="noConversion"/>
  </si>
  <si>
    <t>Ⅳ-丰台园东</t>
    <phoneticPr fontId="128" type="noConversion"/>
  </si>
  <si>
    <t>Ⅴ-电子城北</t>
    <phoneticPr fontId="128" type="noConversion"/>
  </si>
  <si>
    <t>Ⅵ-通3</t>
  </si>
  <si>
    <t>Ⅶ-昌5</t>
  </si>
  <si>
    <t>Ⅷ-怀1</t>
    <phoneticPr fontId="128" type="noConversion"/>
  </si>
  <si>
    <t>Ⅸ-昌4</t>
  </si>
  <si>
    <t>三级</t>
  </si>
  <si>
    <t>Ⅲ—01</t>
    <phoneticPr fontId="128" type="noConversion"/>
  </si>
  <si>
    <t>Ⅴ-永丰产业基地</t>
    <phoneticPr fontId="128" type="noConversion"/>
  </si>
  <si>
    <t>Ⅵ-通4</t>
  </si>
  <si>
    <t>Ⅶ-亦1</t>
    <phoneticPr fontId="128" type="noConversion"/>
  </si>
  <si>
    <t>Ⅷ-密1</t>
    <phoneticPr fontId="128" type="noConversion"/>
  </si>
  <si>
    <t>Ⅸ-昌5</t>
  </si>
  <si>
    <t>Ⅴ-航天城</t>
    <phoneticPr fontId="128" type="noConversion"/>
  </si>
  <si>
    <t>Ⅵ-顺1</t>
    <phoneticPr fontId="128" type="noConversion"/>
  </si>
  <si>
    <t>Ⅶ-国际教育园</t>
    <phoneticPr fontId="128" type="noConversion"/>
  </si>
  <si>
    <t>Ⅸ-昌南</t>
    <phoneticPr fontId="128" type="noConversion"/>
  </si>
  <si>
    <r>
      <t>Ⅴ-西北旺</t>
    </r>
    <r>
      <rPr>
        <sz val="10"/>
        <color indexed="8"/>
        <rFont val="宋体"/>
        <family val="3"/>
        <charset val="134"/>
      </rPr>
      <t>Ⅰ</t>
    </r>
    <phoneticPr fontId="128" type="noConversion"/>
  </si>
  <si>
    <t>Ⅵ-兴1</t>
    <phoneticPr fontId="128" type="noConversion"/>
  </si>
  <si>
    <t>Ⅶ-农林园</t>
    <phoneticPr fontId="128" type="noConversion"/>
  </si>
  <si>
    <t>Ⅷ-亦1</t>
    <phoneticPr fontId="128" type="noConversion"/>
  </si>
  <si>
    <t>Ⅸ-平1</t>
    <phoneticPr fontId="128" type="noConversion"/>
  </si>
  <si>
    <r>
      <t>Ⅴ-西北旺</t>
    </r>
    <r>
      <rPr>
        <sz val="10"/>
        <color indexed="8"/>
        <rFont val="宋体"/>
        <family val="3"/>
        <charset val="134"/>
      </rPr>
      <t>Ⅱ</t>
    </r>
    <phoneticPr fontId="128" type="noConversion"/>
  </si>
  <si>
    <t>Ⅵ-昌1</t>
    <phoneticPr fontId="128" type="noConversion"/>
  </si>
  <si>
    <t>Ⅶ-上庄科技</t>
    <phoneticPr fontId="128" type="noConversion"/>
  </si>
  <si>
    <t>Ⅷ-亦2</t>
  </si>
  <si>
    <t>Ⅸ-怀1</t>
    <phoneticPr fontId="128" type="noConversion"/>
  </si>
  <si>
    <t>Ⅴ-石景山园南区</t>
    <phoneticPr fontId="128" type="noConversion"/>
  </si>
  <si>
    <t>Ⅵ-昌2</t>
  </si>
  <si>
    <t>Ⅶ-文化教育基地</t>
    <phoneticPr fontId="128" type="noConversion"/>
  </si>
  <si>
    <t>Ⅷ-良乡开发区A</t>
    <phoneticPr fontId="128" type="noConversion"/>
  </si>
  <si>
    <t>Ⅸ-密1</t>
    <phoneticPr fontId="128" type="noConversion"/>
  </si>
  <si>
    <r>
      <t>Ⅴ-石景山园北</t>
    </r>
    <r>
      <rPr>
        <sz val="10"/>
        <color indexed="8"/>
        <rFont val="宋体"/>
        <family val="3"/>
        <charset val="134"/>
      </rPr>
      <t>Ⅰ</t>
    </r>
    <phoneticPr fontId="128" type="noConversion"/>
  </si>
  <si>
    <t>Ⅵ-昌3</t>
  </si>
  <si>
    <r>
      <t>Ⅶ-苏家坨科技</t>
    </r>
    <r>
      <rPr>
        <sz val="10"/>
        <color indexed="8"/>
        <rFont val="宋体"/>
        <family val="3"/>
        <charset val="134"/>
      </rPr>
      <t>Ⅰ</t>
    </r>
    <phoneticPr fontId="128" type="noConversion"/>
  </si>
  <si>
    <t>Ⅷ-良乡开发区B</t>
    <phoneticPr fontId="128" type="noConversion"/>
  </si>
  <si>
    <t>Ⅸ-延1</t>
    <phoneticPr fontId="128" type="noConversion"/>
  </si>
  <si>
    <r>
      <t>Ⅴ-石景山园北</t>
    </r>
    <r>
      <rPr>
        <sz val="10"/>
        <color indexed="8"/>
        <rFont val="宋体"/>
        <family val="3"/>
        <charset val="134"/>
      </rPr>
      <t>Ⅱ</t>
    </r>
    <phoneticPr fontId="128" type="noConversion"/>
  </si>
  <si>
    <t>Ⅵ-昌4</t>
  </si>
  <si>
    <r>
      <t>Ⅶ-苏家坨科技</t>
    </r>
    <r>
      <rPr>
        <sz val="10"/>
        <color indexed="8"/>
        <rFont val="宋体"/>
        <family val="3"/>
        <charset val="134"/>
      </rPr>
      <t>Ⅱ</t>
    </r>
    <phoneticPr fontId="128" type="noConversion"/>
  </si>
  <si>
    <t>Ⅷ-良乡开发区C</t>
    <phoneticPr fontId="128" type="noConversion"/>
  </si>
  <si>
    <t>Ⅸ-亦1</t>
    <phoneticPr fontId="128" type="noConversion"/>
  </si>
  <si>
    <t>Ⅵ-亦1</t>
    <phoneticPr fontId="128" type="noConversion"/>
  </si>
  <si>
    <r>
      <t>Ⅶ-丰台园西</t>
    </r>
    <r>
      <rPr>
        <sz val="10"/>
        <color indexed="8"/>
        <rFont val="宋体"/>
        <family val="3"/>
        <charset val="134"/>
      </rPr>
      <t>Ⅰ</t>
    </r>
    <phoneticPr fontId="128" type="noConversion"/>
  </si>
  <si>
    <t>Ⅷ-通州环保园</t>
    <phoneticPr fontId="128" type="noConversion"/>
  </si>
  <si>
    <t>Ⅸ-房山工业园东</t>
    <phoneticPr fontId="128" type="noConversion"/>
  </si>
  <si>
    <t>Ⅵ-创新园</t>
    <phoneticPr fontId="128" type="noConversion"/>
  </si>
  <si>
    <r>
      <t>Ⅶ-丰台园西</t>
    </r>
    <r>
      <rPr>
        <sz val="10"/>
        <color indexed="8"/>
        <rFont val="宋体"/>
        <family val="3"/>
        <charset val="134"/>
      </rPr>
      <t>Ⅱ</t>
    </r>
    <phoneticPr fontId="128" type="noConversion"/>
  </si>
  <si>
    <t>Ⅷ-空港北区A</t>
    <phoneticPr fontId="128" type="noConversion"/>
  </si>
  <si>
    <t>Ⅸ-房山工业园西</t>
    <phoneticPr fontId="128" type="noConversion"/>
  </si>
  <si>
    <t>Ⅵ-海淀环保园</t>
    <phoneticPr fontId="128" type="noConversion"/>
  </si>
  <si>
    <t>Ⅶ-石龙开发区</t>
    <phoneticPr fontId="128" type="noConversion"/>
  </si>
  <si>
    <t>Ⅷ-空港北区B</t>
    <phoneticPr fontId="128" type="noConversion"/>
  </si>
  <si>
    <t>Ⅸ-通州开发区东</t>
    <phoneticPr fontId="128" type="noConversion"/>
  </si>
  <si>
    <r>
      <t>Ⅵ-温泉科技</t>
    </r>
    <r>
      <rPr>
        <sz val="10"/>
        <color indexed="8"/>
        <rFont val="宋体"/>
        <family val="3"/>
        <charset val="134"/>
      </rPr>
      <t>Ⅰ</t>
    </r>
    <phoneticPr fontId="128" type="noConversion"/>
  </si>
  <si>
    <t>Ⅶ-光机电</t>
    <phoneticPr fontId="128" type="noConversion"/>
  </si>
  <si>
    <t>Ⅷ-生物医药基地</t>
    <phoneticPr fontId="128" type="noConversion"/>
  </si>
  <si>
    <t>Ⅸ-永乐开发区</t>
    <phoneticPr fontId="128" type="noConversion"/>
  </si>
  <si>
    <r>
      <t>Ⅵ-温泉科技</t>
    </r>
    <r>
      <rPr>
        <sz val="10"/>
        <color indexed="8"/>
        <rFont val="宋体"/>
        <family val="3"/>
        <charset val="134"/>
      </rPr>
      <t>Ⅱ</t>
    </r>
    <phoneticPr fontId="128" type="noConversion"/>
  </si>
  <si>
    <t>Ⅶ-通州开发区西</t>
    <phoneticPr fontId="128" type="noConversion"/>
  </si>
  <si>
    <t>Ⅷ-小汤山工业园</t>
    <phoneticPr fontId="128" type="noConversion"/>
  </si>
  <si>
    <t>Ⅸ-采育开发区</t>
    <phoneticPr fontId="128" type="noConversion"/>
  </si>
  <si>
    <r>
      <t>Ⅵ-温泉科技</t>
    </r>
    <r>
      <rPr>
        <sz val="10"/>
        <color indexed="8"/>
        <rFont val="宋体"/>
        <family val="3"/>
        <charset val="134"/>
      </rPr>
      <t>Ⅲ</t>
    </r>
    <phoneticPr fontId="128" type="noConversion"/>
  </si>
  <si>
    <t>Ⅶ-林河开发区</t>
    <phoneticPr fontId="128" type="noConversion"/>
  </si>
  <si>
    <t>Ⅸ-兴谷开发区A</t>
    <phoneticPr fontId="128" type="noConversion"/>
  </si>
  <si>
    <t>Ⅵ-天竺保税区南</t>
    <phoneticPr fontId="128" type="noConversion"/>
  </si>
  <si>
    <t>Ⅶ-大兴开发区</t>
    <phoneticPr fontId="128" type="noConversion"/>
  </si>
  <si>
    <t>Ⅸ-兴谷开发区B</t>
    <phoneticPr fontId="128" type="noConversion"/>
  </si>
  <si>
    <t>Ⅵ-天竺保税区北1</t>
    <phoneticPr fontId="128" type="noConversion"/>
  </si>
  <si>
    <r>
      <t>Ⅶ-昌平园南</t>
    </r>
    <r>
      <rPr>
        <sz val="10"/>
        <color indexed="8"/>
        <rFont val="宋体"/>
        <family val="3"/>
        <charset val="134"/>
      </rPr>
      <t>Ⅰ</t>
    </r>
    <phoneticPr fontId="128" type="noConversion"/>
  </si>
  <si>
    <t>Ⅸ-雁栖开发区A</t>
    <phoneticPr fontId="128" type="noConversion"/>
  </si>
  <si>
    <t>Ⅵ-天竺保税区北2</t>
  </si>
  <si>
    <r>
      <t>Ⅶ-昌平园南</t>
    </r>
    <r>
      <rPr>
        <sz val="10"/>
        <color indexed="8"/>
        <rFont val="宋体"/>
        <family val="3"/>
        <charset val="134"/>
      </rPr>
      <t>Ⅱ</t>
    </r>
    <phoneticPr fontId="128" type="noConversion"/>
  </si>
  <si>
    <t>Ⅸ-雁栖开发区B</t>
    <phoneticPr fontId="128" type="noConversion"/>
  </si>
  <si>
    <t>Ⅵ-空港A</t>
    <phoneticPr fontId="128" type="noConversion"/>
  </si>
  <si>
    <r>
      <t>Ⅶ-昌平园北</t>
    </r>
    <r>
      <rPr>
        <sz val="10"/>
        <color indexed="8"/>
        <rFont val="宋体"/>
        <family val="3"/>
        <charset val="134"/>
      </rPr>
      <t>Ⅰ</t>
    </r>
    <phoneticPr fontId="128" type="noConversion"/>
  </si>
  <si>
    <t>Ⅸ-雁栖开发区C</t>
    <phoneticPr fontId="128" type="noConversion"/>
  </si>
  <si>
    <t>Ⅵ-空港B</t>
    <phoneticPr fontId="128" type="noConversion"/>
  </si>
  <si>
    <r>
      <t>Ⅶ-昌平园北</t>
    </r>
    <r>
      <rPr>
        <sz val="10"/>
        <color indexed="8"/>
        <rFont val="宋体"/>
        <family val="3"/>
        <charset val="134"/>
      </rPr>
      <t>Ⅱ</t>
    </r>
    <phoneticPr fontId="128" type="noConversion"/>
  </si>
  <si>
    <t>Ⅸ-密云开发区</t>
    <phoneticPr fontId="128" type="noConversion"/>
  </si>
  <si>
    <t>Ⅵ-生命科学园</t>
    <phoneticPr fontId="128" type="noConversion"/>
  </si>
  <si>
    <r>
      <t>Ⅶ-昌平园北</t>
    </r>
    <r>
      <rPr>
        <sz val="10"/>
        <color indexed="8"/>
        <rFont val="宋体"/>
        <family val="3"/>
        <charset val="134"/>
      </rPr>
      <t>Ⅲ</t>
    </r>
    <phoneticPr fontId="128" type="noConversion"/>
  </si>
  <si>
    <t>Ⅵ-昌三一光电</t>
    <phoneticPr fontId="128" type="noConversion"/>
  </si>
  <si>
    <t>Ⅶ-BDA东</t>
    <phoneticPr fontId="128" type="noConversion"/>
  </si>
  <si>
    <t>Ⅳ-01</t>
    <phoneticPr fontId="128" type="noConversion"/>
  </si>
  <si>
    <t>Ⅵ-BDA核心</t>
    <phoneticPr fontId="128" type="noConversion"/>
  </si>
  <si>
    <t>Ⅶ-BDA西</t>
    <phoneticPr fontId="128" type="noConversion"/>
  </si>
  <si>
    <t>五级</t>
  </si>
  <si>
    <t>Ⅴ-01</t>
    <phoneticPr fontId="128" type="noConversion"/>
  </si>
  <si>
    <t>六级</t>
  </si>
  <si>
    <t>Ⅵ-01</t>
    <phoneticPr fontId="128" type="noConversion"/>
  </si>
  <si>
    <t>七级</t>
  </si>
  <si>
    <t>Ⅶ-01</t>
    <phoneticPr fontId="128" type="noConversion"/>
  </si>
  <si>
    <t>八级</t>
  </si>
  <si>
    <t>Ⅷ-01</t>
    <phoneticPr fontId="128" type="noConversion"/>
  </si>
  <si>
    <t>九级</t>
  </si>
  <si>
    <t>Ⅸ-01</t>
    <phoneticPr fontId="128" type="noConversion"/>
  </si>
  <si>
    <t>Ⅸ-门1</t>
    <phoneticPr fontId="128" type="noConversion"/>
  </si>
  <si>
    <t>Ⅸ-门2</t>
    <phoneticPr fontId="128" type="noConversion"/>
  </si>
  <si>
    <t>十级</t>
  </si>
  <si>
    <t>Ⅹ-01</t>
    <phoneticPr fontId="128" type="noConversion"/>
  </si>
  <si>
    <t>Ⅹ-门1</t>
    <phoneticPr fontId="128" type="noConversion"/>
  </si>
  <si>
    <t>Ⅹ-门斋</t>
    <phoneticPr fontId="128" type="noConversion"/>
  </si>
  <si>
    <t>Ⅹ-房1</t>
    <phoneticPr fontId="128" type="noConversion"/>
  </si>
  <si>
    <t>Ⅺ-门1</t>
    <phoneticPr fontId="128" type="noConversion"/>
  </si>
  <si>
    <t>Ⅺ-门斋</t>
    <phoneticPr fontId="128" type="noConversion"/>
  </si>
  <si>
    <t>Ⅺ-房1</t>
    <phoneticPr fontId="128" type="noConversion"/>
  </si>
  <si>
    <t>Ⅻ-门1</t>
    <phoneticPr fontId="128" type="noConversion"/>
  </si>
  <si>
    <t>Ⅻ-房1</t>
    <phoneticPr fontId="128" type="noConversion"/>
  </si>
  <si>
    <t>Ⅻ-昌1</t>
    <phoneticPr fontId="128" type="noConversion"/>
  </si>
  <si>
    <t>Ⅻ-平1</t>
    <phoneticPr fontId="128" type="noConversion"/>
  </si>
  <si>
    <t>土地级别</t>
    <phoneticPr fontId="128" type="noConversion"/>
  </si>
  <si>
    <t>工业</t>
    <phoneticPr fontId="128" type="noConversion"/>
  </si>
  <si>
    <t>通路</t>
    <phoneticPr fontId="128" type="noConversion"/>
  </si>
  <si>
    <t>通电</t>
    <phoneticPr fontId="128" type="noConversion"/>
  </si>
  <si>
    <t>通讯</t>
    <phoneticPr fontId="128" type="noConversion"/>
  </si>
  <si>
    <t>通上水</t>
    <phoneticPr fontId="128" type="noConversion"/>
  </si>
  <si>
    <t>通下水</t>
    <phoneticPr fontId="128" type="noConversion"/>
  </si>
  <si>
    <t>通热</t>
    <phoneticPr fontId="128" type="noConversion"/>
  </si>
  <si>
    <t>燃气</t>
    <phoneticPr fontId="128" type="noConversion"/>
  </si>
  <si>
    <t>平整</t>
    <phoneticPr fontId="128" type="noConversion"/>
  </si>
  <si>
    <t>——</t>
    <phoneticPr fontId="128" type="noConversion"/>
  </si>
  <si>
    <t>北京市基准地价用途修正系数表</t>
    <phoneticPr fontId="128" type="noConversion"/>
  </si>
  <si>
    <t>用途</t>
    <phoneticPr fontId="128" type="noConversion"/>
  </si>
  <si>
    <t>用途类别划分</t>
    <phoneticPr fontId="128" type="noConversion"/>
  </si>
  <si>
    <t>用途修正  系数</t>
    <phoneticPr fontId="128" type="noConversion"/>
  </si>
  <si>
    <t>比准类别</t>
    <phoneticPr fontId="128" type="noConversion"/>
  </si>
  <si>
    <t>批发零售用地</t>
    <phoneticPr fontId="128" type="noConversion"/>
  </si>
  <si>
    <t>（指主要用于商品批发、零售的用地，包括商场、商店、超市、各类批发（零售）市场、加油站等及其附属的小型仓库、车间、工场等）</t>
    <phoneticPr fontId="128" type="noConversion"/>
  </si>
  <si>
    <t>其他类别</t>
    <phoneticPr fontId="128" type="noConversion"/>
  </si>
  <si>
    <t>住宿餐饮用地</t>
    <phoneticPr fontId="128" type="noConversion"/>
  </si>
  <si>
    <t>（指主要用于提供住宿、餐饮服务的用地，包括宾馆、酒店、饭店、旅馆、招待所、度假村、餐厅、酒吧等）</t>
    <phoneticPr fontId="128" type="noConversion"/>
  </si>
  <si>
    <t>商务金融用地（商业类）</t>
    <phoneticPr fontId="128" type="noConversion"/>
  </si>
  <si>
    <t>（指金融、证券、通讯、保险等营业网点用地）</t>
    <phoneticPr fontId="128" type="noConversion"/>
  </si>
  <si>
    <t>其他商服用地</t>
    <phoneticPr fontId="128" type="noConversion"/>
  </si>
  <si>
    <t>（指上述用地以外的其他商业、服务业用地，包括洗车场、洗染店、废旧物资回收站、维修网点、照相馆、理发美容店、洗浴场所、俱乐部、康乐中心、歌舞厅、赛车场、影视基地、影剧院、邮政、电信营业网点等）</t>
    <phoneticPr fontId="128" type="noConversion"/>
  </si>
  <si>
    <t>殡葬用地等特殊用地</t>
    <phoneticPr fontId="128" type="noConversion"/>
  </si>
  <si>
    <t>商务金融用地（办公类）</t>
    <phoneticPr fontId="128" type="noConversion"/>
  </si>
  <si>
    <t>（指企业、服务业等办公用地，以及经营性的办公场所用地，包括写字楼、商业性办公楼和企业厂区外独立的办公楼）</t>
    <phoneticPr fontId="128" type="noConversion"/>
  </si>
  <si>
    <t>其他商服用地（停车场、停车楼等用地）</t>
    <phoneticPr fontId="128" type="noConversion"/>
  </si>
  <si>
    <t>其他商服用地（指展览馆、会展中心等用地）</t>
    <phoneticPr fontId="128" type="noConversion"/>
  </si>
  <si>
    <t>机场航站楼用地</t>
    <phoneticPr fontId="128" type="noConversion"/>
  </si>
  <si>
    <t>科教用地</t>
    <phoneticPr fontId="128" type="noConversion"/>
  </si>
  <si>
    <t>（指用于各类教育，独立的科研、勘测、设计、技术推广、科普等的用地）</t>
    <phoneticPr fontId="128" type="noConversion"/>
  </si>
  <si>
    <t>新闻出版用地</t>
    <phoneticPr fontId="128" type="noConversion"/>
  </si>
  <si>
    <t>（指用于广播电台、电视台、电影厂、报社、杂志社、通讯社、出版社等的用地）、</t>
    <phoneticPr fontId="128" type="noConversion"/>
  </si>
  <si>
    <t>机关团体用地</t>
    <phoneticPr fontId="128" type="noConversion"/>
  </si>
  <si>
    <t>（指用于党政机关、社会团体、群众自治组织等的用地）</t>
    <phoneticPr fontId="128" type="noConversion"/>
  </si>
  <si>
    <t>医卫慈善用地</t>
    <phoneticPr fontId="128" type="noConversion"/>
  </si>
  <si>
    <t>（指用于医疗保健、卫生防疫、急救康复、医检药检、福利救助、养老设施等的用地）</t>
    <phoneticPr fontId="128" type="noConversion"/>
  </si>
  <si>
    <t>文体娱乐用地</t>
    <phoneticPr fontId="128" type="noConversion"/>
  </si>
  <si>
    <t>（指各类文化、体育及公共广场用地）</t>
    <phoneticPr fontId="128" type="noConversion"/>
  </si>
  <si>
    <t>产业用地</t>
    <phoneticPr fontId="128" type="noConversion"/>
  </si>
  <si>
    <t>（指高新技术产业研发与展示中心等产业用地）</t>
    <phoneticPr fontId="128" type="noConversion"/>
  </si>
  <si>
    <t>居住</t>
    <phoneticPr fontId="128" type="noConversion"/>
  </si>
  <si>
    <t>居住用地（指二类居住用地）</t>
    <phoneticPr fontId="128" type="noConversion"/>
  </si>
  <si>
    <t>（指二类居住用地（地上容积率≥１。）</t>
    <phoneticPr fontId="128" type="noConversion"/>
  </si>
  <si>
    <t>居住用地（指一类居住用地）</t>
    <phoneticPr fontId="128" type="noConversion"/>
  </si>
  <si>
    <t>（指一类居住用地（地上容积率＜１。）</t>
    <phoneticPr fontId="128" type="noConversion"/>
  </si>
  <si>
    <t>工业用地</t>
    <phoneticPr fontId="128" type="noConversion"/>
  </si>
  <si>
    <t>（指工业生产及直接为工业生产服务的附属设施用地）</t>
    <phoneticPr fontId="128" type="noConversion"/>
  </si>
  <si>
    <t>采矿用地</t>
    <phoneticPr fontId="128" type="noConversion"/>
  </si>
  <si>
    <t>（指采矿、采石、采砂（沙）场，盐田，砖瓦窑等地面生产设施及尾矿堆放地）</t>
    <phoneticPr fontId="128" type="noConversion"/>
  </si>
  <si>
    <t>仓储用地</t>
    <phoneticPr fontId="128" type="noConversion"/>
  </si>
  <si>
    <t>（指用于物资储备、中转的物流仓储场所等用地）</t>
    <phoneticPr fontId="128" type="noConversion"/>
  </si>
  <si>
    <t>公共设施用地</t>
    <phoneticPr fontId="128" type="noConversion"/>
  </si>
  <si>
    <t>（指用于城乡基础设施的用地，包括给排水、供电、供热、供气、邮政、电信、消防、环卫、公用设施维修等用地。）</t>
    <phoneticPr fontId="128" type="noConversion"/>
  </si>
  <si>
    <t>交通用地</t>
    <phoneticPr fontId="128" type="noConversion"/>
  </si>
  <si>
    <t>（指铁路用地、公路用地、机场用地、管道运输用地等，包括铁路、公路、机场、管道运输的地面线路、站场等用地以及城市道路、车站及其相应附属设施用地）</t>
    <phoneticPr fontId="128" type="noConversion"/>
  </si>
  <si>
    <t>备注：本用途修正系数仅适用于地上部分各类用途的修正，地下空间部分不适用上表中的用途修正，直接使用地下空间修正</t>
    <phoneticPr fontId="128" type="noConversion"/>
  </si>
  <si>
    <t>地下</t>
    <phoneticPr fontId="128" type="noConversion"/>
  </si>
  <si>
    <t>地下仓储</t>
    <phoneticPr fontId="128" type="noConversion"/>
  </si>
  <si>
    <t>车库</t>
    <phoneticPr fontId="128" type="noConversion"/>
  </si>
  <si>
    <t>—</t>
    <phoneticPr fontId="128" type="noConversion"/>
  </si>
  <si>
    <t>北京市商业路线价加价幅度表</t>
    <phoneticPr fontId="128" type="noConversion"/>
  </si>
  <si>
    <t>序号</t>
    <phoneticPr fontId="128" type="noConversion"/>
  </si>
  <si>
    <t>区县</t>
    <phoneticPr fontId="128" type="noConversion"/>
  </si>
  <si>
    <t>商业街名称</t>
    <phoneticPr fontId="128" type="noConversion"/>
  </si>
  <si>
    <t>起止点</t>
    <phoneticPr fontId="128" type="noConversion"/>
  </si>
  <si>
    <t>加价幅度</t>
    <phoneticPr fontId="128" type="noConversion"/>
  </si>
  <si>
    <t>标准深度（m）</t>
    <phoneticPr fontId="128" type="noConversion"/>
  </si>
  <si>
    <t>东城区</t>
    <phoneticPr fontId="128" type="noConversion"/>
  </si>
  <si>
    <t>东长安街</t>
    <phoneticPr fontId="128" type="noConversion"/>
  </si>
  <si>
    <t>天安门——东单</t>
    <phoneticPr fontId="128" type="noConversion"/>
  </si>
  <si>
    <t>建国门内大街</t>
    <phoneticPr fontId="128" type="noConversion"/>
  </si>
  <si>
    <t>建国门——东单</t>
    <phoneticPr fontId="128" type="noConversion"/>
  </si>
  <si>
    <t>王府井商业街</t>
    <phoneticPr fontId="128" type="noConversion"/>
  </si>
  <si>
    <t>东长安街——五四大街</t>
    <phoneticPr fontId="128" type="noConversion"/>
  </si>
  <si>
    <t>东单北大街</t>
    <phoneticPr fontId="128" type="noConversion"/>
  </si>
  <si>
    <t>金鱼胡同——东单路口</t>
    <phoneticPr fontId="128" type="noConversion"/>
  </si>
  <si>
    <t>东四南大街</t>
    <phoneticPr fontId="128" type="noConversion"/>
  </si>
  <si>
    <t>东四路口——金鱼胡同</t>
    <phoneticPr fontId="128" type="noConversion"/>
  </si>
  <si>
    <t>东直门内大街      （簋街）</t>
    <phoneticPr fontId="128" type="noConversion"/>
  </si>
  <si>
    <t>东直门桥——北新桥</t>
    <phoneticPr fontId="128" type="noConversion"/>
  </si>
  <si>
    <t>北京站东街</t>
    <phoneticPr fontId="128" type="noConversion"/>
  </si>
  <si>
    <t>建国门南大街——北京站</t>
    <phoneticPr fontId="128" type="noConversion"/>
  </si>
  <si>
    <t>北京站街</t>
    <phoneticPr fontId="128" type="noConversion"/>
  </si>
  <si>
    <t>建国门内大街——北京站</t>
    <phoneticPr fontId="128" type="noConversion"/>
  </si>
  <si>
    <t>东四十条</t>
    <phoneticPr fontId="128" type="noConversion"/>
  </si>
  <si>
    <t>东四十条桥——东四北大街</t>
    <phoneticPr fontId="128" type="noConversion"/>
  </si>
  <si>
    <t>张自忠路</t>
    <phoneticPr fontId="128" type="noConversion"/>
  </si>
  <si>
    <t>东四北大街——交道口南大街</t>
    <phoneticPr fontId="128" type="noConversion"/>
  </si>
  <si>
    <t>地安门东大街</t>
    <phoneticPr fontId="128" type="noConversion"/>
  </si>
  <si>
    <t>交道口南大街——地安门外大街</t>
    <phoneticPr fontId="128" type="noConversion"/>
  </si>
  <si>
    <t>前门商业街</t>
    <phoneticPr fontId="128" type="noConversion"/>
  </si>
  <si>
    <t>前门箭楼——珠市口</t>
    <phoneticPr fontId="128" type="noConversion"/>
  </si>
  <si>
    <t>崇外商业街</t>
    <phoneticPr fontId="128" type="noConversion"/>
  </si>
  <si>
    <t>崇文门——磁器口</t>
    <phoneticPr fontId="128" type="noConversion"/>
  </si>
  <si>
    <t>广渠门内大街</t>
    <phoneticPr fontId="128" type="noConversion"/>
  </si>
  <si>
    <t>广渠门——磁器口</t>
    <phoneticPr fontId="128" type="noConversion"/>
  </si>
  <si>
    <t>珠市口东大街</t>
    <phoneticPr fontId="128" type="noConversion"/>
  </si>
  <si>
    <t>磁器口——珠市口</t>
    <phoneticPr fontId="128" type="noConversion"/>
  </si>
  <si>
    <t>西城区</t>
    <phoneticPr fontId="128" type="noConversion"/>
  </si>
  <si>
    <t>西长安街</t>
    <phoneticPr fontId="128" type="noConversion"/>
  </si>
  <si>
    <t>天安门——西单</t>
    <phoneticPr fontId="128" type="noConversion"/>
  </si>
  <si>
    <t>复兴门内大街</t>
    <phoneticPr fontId="128" type="noConversion"/>
  </si>
  <si>
    <t>西单——复兴门</t>
    <phoneticPr fontId="128" type="noConversion"/>
  </si>
  <si>
    <t>复兴门外大街</t>
    <phoneticPr fontId="128" type="noConversion"/>
  </si>
  <si>
    <t>复兴门——木樨地</t>
    <phoneticPr fontId="128" type="noConversion"/>
  </si>
  <si>
    <t>西单商业街</t>
    <phoneticPr fontId="128" type="noConversion"/>
  </si>
  <si>
    <t>西单——辟才胡同</t>
    <phoneticPr fontId="128" type="noConversion"/>
  </si>
  <si>
    <t>西四商业街</t>
    <phoneticPr fontId="128" type="noConversion"/>
  </si>
  <si>
    <t>辟才胡同——平安里</t>
    <phoneticPr fontId="128" type="noConversion"/>
  </si>
  <si>
    <t>新街口商业街</t>
    <phoneticPr fontId="128" type="noConversion"/>
  </si>
  <si>
    <t>平安里——积水潭桥</t>
    <phoneticPr fontId="128" type="noConversion"/>
  </si>
  <si>
    <t>双旗杆西街       （福利特商业街）</t>
    <phoneticPr fontId="128" type="noConversion"/>
  </si>
  <si>
    <t>北三环中路——黄寺大街</t>
    <phoneticPr fontId="128" type="noConversion"/>
  </si>
  <si>
    <t>地安门西大街</t>
    <phoneticPr fontId="128" type="noConversion"/>
  </si>
  <si>
    <t>地安门外大街——新街口南大街</t>
    <phoneticPr fontId="128" type="noConversion"/>
  </si>
  <si>
    <t>平安里西大街</t>
    <phoneticPr fontId="128" type="noConversion"/>
  </si>
  <si>
    <t>新街口南大街——车公庄</t>
    <phoneticPr fontId="128" type="noConversion"/>
  </si>
  <si>
    <t>大栅栏商业街</t>
    <phoneticPr fontId="128" type="noConversion"/>
  </si>
  <si>
    <t>前门大街——煤市街</t>
    <phoneticPr fontId="128" type="noConversion"/>
  </si>
  <si>
    <t>珠市口西大街</t>
    <phoneticPr fontId="128" type="noConversion"/>
  </si>
  <si>
    <t>珠市口——南新华街</t>
    <phoneticPr fontId="128" type="noConversion"/>
  </si>
  <si>
    <t>骡马市大街</t>
    <phoneticPr fontId="128" type="noConversion"/>
  </si>
  <si>
    <t>南新华街——菜市口</t>
    <phoneticPr fontId="128" type="noConversion"/>
  </si>
  <si>
    <t>广安门内大街</t>
    <phoneticPr fontId="128" type="noConversion"/>
  </si>
  <si>
    <t>菜市口——广安门桥</t>
    <phoneticPr fontId="128" type="noConversion"/>
  </si>
  <si>
    <t>宣武门外大街</t>
    <phoneticPr fontId="128" type="noConversion"/>
  </si>
  <si>
    <t>宣武门——菜市口</t>
    <phoneticPr fontId="128" type="noConversion"/>
  </si>
  <si>
    <t>菜市口大街</t>
    <phoneticPr fontId="128" type="noConversion"/>
  </si>
  <si>
    <t>菜市口——开阳桥</t>
    <phoneticPr fontId="128" type="noConversion"/>
  </si>
  <si>
    <t>马连道路</t>
    <phoneticPr fontId="128" type="noConversion"/>
  </si>
  <si>
    <t>广安门外大街——红莲南路</t>
    <phoneticPr fontId="128" type="noConversion"/>
  </si>
  <si>
    <t>朝阳区</t>
    <phoneticPr fontId="128" type="noConversion"/>
  </si>
  <si>
    <t>朝外商业街</t>
    <phoneticPr fontId="128" type="noConversion"/>
  </si>
  <si>
    <t>朝阳门——东大桥</t>
    <phoneticPr fontId="128" type="noConversion"/>
  </si>
  <si>
    <t>安立路</t>
    <phoneticPr fontId="128" type="noConversion"/>
  </si>
  <si>
    <t>安慧桥——慧忠北路</t>
    <phoneticPr fontId="128" type="noConversion"/>
  </si>
  <si>
    <t>三里屯路</t>
    <phoneticPr fontId="128" type="noConversion"/>
  </si>
  <si>
    <t>工人体育场北路——东直门外大街</t>
    <phoneticPr fontId="128" type="noConversion"/>
  </si>
  <si>
    <t>秀水街</t>
    <phoneticPr fontId="128" type="noConversion"/>
  </si>
  <si>
    <t>建国门外大街——光华路</t>
    <phoneticPr fontId="128" type="noConversion"/>
  </si>
  <si>
    <t>大羊坊路         （十里河建材商业街）</t>
    <phoneticPr fontId="128" type="noConversion"/>
  </si>
  <si>
    <t>十里河桥——小武基路</t>
    <phoneticPr fontId="128" type="noConversion"/>
  </si>
  <si>
    <t>建国门外大街</t>
    <phoneticPr fontId="128" type="noConversion"/>
  </si>
  <si>
    <t>建国门桥——国贸桥</t>
    <phoneticPr fontId="128" type="noConversion"/>
  </si>
  <si>
    <t>建国路</t>
    <phoneticPr fontId="128" type="noConversion"/>
  </si>
  <si>
    <t>国贸桥——西大望路</t>
    <phoneticPr fontId="128" type="noConversion"/>
  </si>
  <si>
    <t>海淀区</t>
    <phoneticPr fontId="128" type="noConversion"/>
  </si>
  <si>
    <t>中关村大街</t>
    <phoneticPr fontId="128" type="noConversion"/>
  </si>
  <si>
    <t>海淀南路——北四环</t>
    <phoneticPr fontId="128" type="noConversion"/>
  </si>
  <si>
    <t>复兴路</t>
    <phoneticPr fontId="128" type="noConversion"/>
  </si>
  <si>
    <t>木樨地——万寿路</t>
    <phoneticPr fontId="128" type="noConversion"/>
  </si>
  <si>
    <t>海淀中路</t>
    <phoneticPr fontId="128" type="noConversion"/>
  </si>
  <si>
    <t>丰台区</t>
    <phoneticPr fontId="128" type="noConversion"/>
  </si>
  <si>
    <t>蒲芳路、紫芳路    （方庄商业街）</t>
    <phoneticPr fontId="128" type="noConversion"/>
  </si>
  <si>
    <t>蒲黄榆路——方庄东路</t>
    <phoneticPr fontId="128" type="noConversion"/>
  </si>
  <si>
    <t>石景山区</t>
    <phoneticPr fontId="128" type="noConversion"/>
  </si>
  <si>
    <t>石景山路</t>
    <phoneticPr fontId="128" type="noConversion"/>
  </si>
  <si>
    <t>八宝山——八角桥</t>
    <phoneticPr fontId="128" type="noConversion"/>
  </si>
  <si>
    <t>门头沟区</t>
    <phoneticPr fontId="128" type="noConversion"/>
  </si>
  <si>
    <t>新桥大街</t>
    <phoneticPr fontId="128" type="noConversion"/>
  </si>
  <si>
    <t>门头沟路——双峪路</t>
    <phoneticPr fontId="128" type="noConversion"/>
  </si>
  <si>
    <t>房山区</t>
    <phoneticPr fontId="128" type="noConversion"/>
  </si>
  <si>
    <t>南关大街</t>
    <phoneticPr fontId="128" type="noConversion"/>
  </si>
  <si>
    <t>房山东大街——南关立交桥</t>
    <phoneticPr fontId="128" type="noConversion"/>
  </si>
  <si>
    <t>拱辰大街</t>
    <phoneticPr fontId="128" type="noConversion"/>
  </si>
  <si>
    <t>良乡中路——月华大街</t>
    <phoneticPr fontId="128" type="noConversion"/>
  </si>
  <si>
    <t>通州区</t>
    <phoneticPr fontId="128" type="noConversion"/>
  </si>
  <si>
    <t>新华大街</t>
    <phoneticPr fontId="128" type="noConversion"/>
  </si>
  <si>
    <t>车站路——通惠南路</t>
    <phoneticPr fontId="128" type="noConversion"/>
  </si>
  <si>
    <t>云景东路</t>
    <phoneticPr fontId="128" type="noConversion"/>
  </si>
  <si>
    <t>地铁八通线——云景南大街</t>
    <phoneticPr fontId="128" type="noConversion"/>
  </si>
  <si>
    <t>顺义区</t>
    <phoneticPr fontId="128" type="noConversion"/>
  </si>
  <si>
    <t>新顺大街</t>
    <phoneticPr fontId="128" type="noConversion"/>
  </si>
  <si>
    <t>幸福西街——站前街</t>
    <phoneticPr fontId="128" type="noConversion"/>
  </si>
  <si>
    <t>大兴区</t>
    <phoneticPr fontId="128" type="noConversion"/>
  </si>
  <si>
    <t>兴华大街</t>
    <phoneticPr fontId="128" type="noConversion"/>
  </si>
  <si>
    <t>金星西路——黄村火车站</t>
    <phoneticPr fontId="128" type="noConversion"/>
  </si>
  <si>
    <t>昌平区</t>
    <phoneticPr fontId="128" type="noConversion"/>
  </si>
  <si>
    <t>回龙观西大街</t>
    <phoneticPr fontId="128" type="noConversion"/>
  </si>
  <si>
    <t>京藏高速公路——文华西路</t>
    <phoneticPr fontId="128" type="noConversion"/>
  </si>
  <si>
    <t>鼓楼东、西街</t>
    <phoneticPr fontId="128" type="noConversion"/>
  </si>
  <si>
    <t>东环路——西环路</t>
    <phoneticPr fontId="128" type="noConversion"/>
  </si>
  <si>
    <t>鼓楼南、北街</t>
    <phoneticPr fontId="128" type="noConversion"/>
  </si>
  <si>
    <t>北环路——府学路</t>
    <phoneticPr fontId="128" type="noConversion"/>
  </si>
  <si>
    <t>平谷区</t>
    <phoneticPr fontId="128" type="noConversion"/>
  </si>
  <si>
    <t>步行街</t>
    <phoneticPr fontId="128" type="noConversion"/>
  </si>
  <si>
    <t>文化北街——向阳北街</t>
    <phoneticPr fontId="128" type="noConversion"/>
  </si>
  <si>
    <t>怀柔区</t>
    <phoneticPr fontId="128" type="noConversion"/>
  </si>
  <si>
    <t>商业街</t>
    <phoneticPr fontId="128" type="noConversion"/>
  </si>
  <si>
    <t>迎宾路——青春路</t>
    <phoneticPr fontId="128" type="noConversion"/>
  </si>
  <si>
    <t>密云县</t>
    <phoneticPr fontId="128" type="noConversion"/>
  </si>
  <si>
    <t>鼓楼东、西大街</t>
    <phoneticPr fontId="128" type="noConversion"/>
  </si>
  <si>
    <t>新中街——南更道</t>
    <phoneticPr fontId="128" type="noConversion"/>
  </si>
  <si>
    <t>鼓楼大街</t>
    <phoneticPr fontId="128" type="noConversion"/>
  </si>
  <si>
    <t>西大桥路——康复路</t>
    <phoneticPr fontId="128" type="noConversion"/>
  </si>
  <si>
    <t>延庆县</t>
    <phoneticPr fontId="128" type="noConversion"/>
  </si>
  <si>
    <t>东外大街</t>
    <phoneticPr fontId="128" type="noConversion"/>
  </si>
  <si>
    <t>香苑街——东顺城街</t>
    <phoneticPr fontId="128" type="noConversion"/>
  </si>
  <si>
    <t>不临58条商业街</t>
    <phoneticPr fontId="128" type="noConversion"/>
  </si>
  <si>
    <t>北京市基准地价商业用途楼层修正系数表</t>
    <phoneticPr fontId="128" type="noConversion"/>
  </si>
  <si>
    <t>所在楼层</t>
    <phoneticPr fontId="128" type="noConversion"/>
  </si>
  <si>
    <t>楼层修正系数</t>
    <phoneticPr fontId="128" type="noConversion"/>
  </si>
  <si>
    <t>7层及以上</t>
    <phoneticPr fontId="128" type="noConversion"/>
  </si>
  <si>
    <r>
      <t>商业R</t>
    </r>
    <r>
      <rPr>
        <sz val="10"/>
        <color indexed="8"/>
        <rFont val="宋体"/>
        <family val="3"/>
        <charset val="134"/>
      </rPr>
      <t>&lt;1</t>
    </r>
    <phoneticPr fontId="128" type="noConversion"/>
  </si>
  <si>
    <t>地上第7层及以上各层</t>
    <phoneticPr fontId="128" type="noConversion"/>
  </si>
  <si>
    <t>说明：R为宗地地上容积率</t>
    <phoneticPr fontId="128" type="noConversion"/>
  </si>
  <si>
    <t>基准地价</t>
    <phoneticPr fontId="17" type="noConversion"/>
  </si>
  <si>
    <t>*</t>
    <phoneticPr fontId="17" type="noConversion"/>
  </si>
  <si>
    <t>无</t>
    <phoneticPr fontId="127" type="noConversion"/>
  </si>
  <si>
    <t>二级分类</t>
    <phoneticPr fontId="128" type="noConversion"/>
  </si>
  <si>
    <t>办公</t>
    <phoneticPr fontId="6" type="noConversion"/>
  </si>
  <si>
    <t>自定义容积率</t>
    <phoneticPr fontId="6" type="noConversion"/>
  </si>
  <si>
    <t>典型户型修正</t>
    <phoneticPr fontId="32" type="noConversion"/>
  </si>
  <si>
    <t>基准地价</t>
    <phoneticPr fontId="32"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</si>
  <si>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2" type="noConversion"/>
  </si>
  <si>
    <t>区片价</t>
    <phoneticPr fontId="32" type="noConversion"/>
  </si>
  <si>
    <t>容积率修正</t>
    <phoneticPr fontId="32" type="noConversion"/>
  </si>
  <si>
    <t>修正</t>
    <phoneticPr fontId="32" type="noConversion"/>
  </si>
  <si>
    <t>基准地价系数修正法</t>
    <phoneticPr fontId="32" type="noConversion"/>
  </si>
  <si>
    <t>居住社区成熟度</t>
  </si>
  <si>
    <t>产业集聚程度</t>
  </si>
  <si>
    <t>交通便捷度</t>
  </si>
  <si>
    <t>自然及人文环境</t>
  </si>
  <si>
    <t>区位状况</t>
    <phoneticPr fontId="28" type="noConversion"/>
  </si>
  <si>
    <t>区位状况</t>
    <phoneticPr fontId="24" type="noConversion"/>
  </si>
  <si>
    <t>区域土地利用方向</t>
  </si>
  <si>
    <t>自然及人文环境状况</t>
  </si>
  <si>
    <t>临街状况</t>
  </si>
  <si>
    <t>毗邻道路的类型与等级</t>
  </si>
  <si>
    <t>房地产修正因素</t>
    <phoneticPr fontId="6" type="noConversion"/>
  </si>
  <si>
    <t>住宅、办公及商业</t>
    <phoneticPr fontId="27" type="noConversion"/>
  </si>
  <si>
    <t>工业</t>
    <phoneticPr fontId="27" type="noConversion"/>
  </si>
  <si>
    <t>区位状况</t>
    <phoneticPr fontId="24" type="noConversion"/>
  </si>
  <si>
    <t>商业繁华度</t>
    <phoneticPr fontId="28" type="noConversion"/>
  </si>
  <si>
    <t>交通便捷度</t>
    <phoneticPr fontId="28" type="noConversion"/>
  </si>
  <si>
    <t>办公集聚程度</t>
    <phoneticPr fontId="28" type="noConversion"/>
  </si>
  <si>
    <t>环境状况</t>
    <phoneticPr fontId="28" type="noConversion"/>
  </si>
  <si>
    <t>毗邻道路的类型与等级</t>
    <phoneticPr fontId="28" type="noConversion"/>
  </si>
  <si>
    <t>土地修正因素</t>
    <phoneticPr fontId="6" type="noConversion"/>
  </si>
  <si>
    <t>产业集聚程度</t>
    <phoneticPr fontId="28" type="noConversion"/>
  </si>
  <si>
    <t>区域土地利用方向</t>
    <phoneticPr fontId="28" type="noConversion"/>
  </si>
  <si>
    <t>土地级别</t>
    <phoneticPr fontId="28" type="noConversion"/>
  </si>
  <si>
    <t>相差季度数</t>
    <phoneticPr fontId="127"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</si>
  <si>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</si>
  <si>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</si>
  <si>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</si>
  <si>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</si>
  <si>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7"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</si>
  <si>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7"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</si>
  <si>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7" type="noConversion"/>
  </si>
  <si>
    <t>楼面地价</t>
    <phoneticPr fontId="18" type="noConversion"/>
  </si>
  <si>
    <t>楼面地价</t>
    <phoneticPr fontId="18" type="noConversion"/>
  </si>
  <si>
    <t>楼面地价</t>
    <phoneticPr fontId="18" type="noConversion"/>
  </si>
  <si>
    <t>楼面地价</t>
    <phoneticPr fontId="128" type="noConversion"/>
  </si>
  <si>
    <r>
      <rPr>
        <b/>
        <sz val="11"/>
        <color indexed="8"/>
        <rFont val="仿宋_GB2312"/>
        <family val="3"/>
        <charset val="134"/>
      </rPr>
      <t>总价</t>
    </r>
    <phoneticPr fontId="12" type="noConversion"/>
  </si>
  <si>
    <r>
      <rPr>
        <b/>
        <sz val="10"/>
        <color indexed="8"/>
        <rFont val="仿宋_GB2312"/>
        <family val="3"/>
        <charset val="134"/>
      </rPr>
      <t>万元</t>
    </r>
    <phoneticPr fontId="12" type="noConversion"/>
  </si>
  <si>
    <r>
      <rPr>
        <b/>
        <sz val="11"/>
        <color indexed="8"/>
        <rFont val="仿宋_GB2312"/>
        <family val="3"/>
        <charset val="134"/>
      </rPr>
      <t>楼面地价</t>
    </r>
    <phoneticPr fontId="12"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</si>
  <si>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2" type="noConversion"/>
  </si>
  <si>
    <r>
      <rPr>
        <b/>
        <sz val="11"/>
        <color indexed="8"/>
        <rFont val="仿宋_GB2312"/>
        <family val="3"/>
        <charset val="134"/>
      </rPr>
      <t>单位面积地价</t>
    </r>
    <phoneticPr fontId="12"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</si>
  <si>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1" type="noConversion"/>
  </si>
  <si>
    <r>
      <rPr>
        <b/>
        <sz val="16"/>
        <color indexed="10"/>
        <rFont val="仿宋_GB2312"/>
        <family val="3"/>
        <charset val="134"/>
      </rPr>
      <t>基准地价系数修正法</t>
    </r>
    <phoneticPr fontId="128" type="noConversion"/>
  </si>
  <si>
    <r>
      <rPr>
        <sz val="10"/>
        <color indexed="10"/>
        <rFont val="仿宋_GB2312"/>
        <family val="3"/>
        <charset val="134"/>
      </rPr>
      <t>依据《北京市区片基准地价表》，能否通过用途和级别筛选？</t>
    </r>
    <phoneticPr fontId="128" type="noConversion"/>
  </si>
  <si>
    <r>
      <rPr>
        <sz val="10"/>
        <color indexed="8"/>
        <rFont val="仿宋_GB2312"/>
        <family val="3"/>
        <charset val="134"/>
      </rPr>
      <t>特殊情况</t>
    </r>
    <phoneticPr fontId="128" type="noConversion"/>
  </si>
  <si>
    <r>
      <rPr>
        <sz val="10"/>
        <color indexed="8"/>
        <rFont val="仿宋_GB2312"/>
        <family val="3"/>
        <charset val="134"/>
      </rPr>
      <t>公园</t>
    </r>
    <phoneticPr fontId="128" type="noConversion"/>
  </si>
  <si>
    <r>
      <rPr>
        <sz val="10"/>
        <color indexed="8"/>
        <rFont val="仿宋_GB2312"/>
        <family val="3"/>
        <charset val="134"/>
      </rPr>
      <t>水系</t>
    </r>
    <phoneticPr fontId="128" type="noConversion"/>
  </si>
  <si>
    <r>
      <rPr>
        <sz val="10"/>
        <color indexed="8"/>
        <rFont val="仿宋_GB2312"/>
        <family val="3"/>
        <charset val="134"/>
      </rPr>
      <t>中小学名校</t>
    </r>
    <phoneticPr fontId="128" type="noConversion"/>
  </si>
  <si>
    <r>
      <rPr>
        <sz val="10"/>
        <color indexed="8"/>
        <rFont val="仿宋_GB2312"/>
        <family val="3"/>
        <charset val="134"/>
      </rPr>
      <t>修正系数</t>
    </r>
    <phoneticPr fontId="128"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</si>
  <si>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8" type="noConversion"/>
  </si>
  <si>
    <r>
      <t>R</t>
    </r>
    <r>
      <rPr>
        <sz val="11"/>
        <rFont val="仿宋_GB2312"/>
        <family val="3"/>
        <charset val="134"/>
      </rPr>
      <t>≤</t>
    </r>
    <r>
      <rPr>
        <sz val="11"/>
        <rFont val="Arial"/>
        <family val="2"/>
      </rPr>
      <t>10</t>
    </r>
    <phoneticPr fontId="128" type="noConversion"/>
  </si>
  <si>
    <r>
      <rPr>
        <sz val="10"/>
        <rFont val="仿宋_GB2312"/>
        <family val="3"/>
        <charset val="134"/>
      </rPr>
      <t>政府土地出让收益比例</t>
    </r>
    <phoneticPr fontId="128" type="noConversion"/>
  </si>
  <si>
    <r>
      <rPr>
        <sz val="10"/>
        <rFont val="仿宋_GB2312"/>
        <family val="3"/>
        <charset val="134"/>
      </rPr>
      <t>工业</t>
    </r>
    <phoneticPr fontId="128"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</si>
  <si>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8" type="noConversion"/>
  </si>
  <si>
    <t>土地级别</t>
    <phoneticPr fontId="9" type="noConversion"/>
  </si>
  <si>
    <t>区片编号</t>
    <phoneticPr fontId="9" type="noConversion"/>
  </si>
  <si>
    <t>土地级别</t>
    <phoneticPr fontId="17" type="noConversion"/>
  </si>
  <si>
    <t>一级</t>
    <phoneticPr fontId="17" type="noConversion"/>
  </si>
  <si>
    <t>二级</t>
    <phoneticPr fontId="17" type="noConversion"/>
  </si>
  <si>
    <t>三级</t>
    <phoneticPr fontId="17" type="noConversion"/>
  </si>
  <si>
    <t>四级</t>
    <phoneticPr fontId="17" type="noConversion"/>
  </si>
  <si>
    <t>五级</t>
    <phoneticPr fontId="17" type="noConversion"/>
  </si>
  <si>
    <t>六级</t>
    <phoneticPr fontId="17" type="noConversion"/>
  </si>
  <si>
    <t>七级</t>
    <phoneticPr fontId="17" type="noConversion"/>
  </si>
  <si>
    <t>八级</t>
    <phoneticPr fontId="17" type="noConversion"/>
  </si>
  <si>
    <t>九级</t>
    <phoneticPr fontId="17" type="noConversion"/>
  </si>
  <si>
    <t>十级</t>
    <phoneticPr fontId="17" type="noConversion"/>
  </si>
  <si>
    <t>十一级</t>
    <phoneticPr fontId="17" type="noConversion"/>
  </si>
  <si>
    <t>十二级</t>
    <phoneticPr fontId="17" type="noConversion"/>
  </si>
  <si>
    <t>北京市</t>
    <phoneticPr fontId="9" type="noConversion"/>
  </si>
  <si>
    <t>北京市</t>
    <phoneticPr fontId="134" type="noConversion"/>
  </si>
  <si>
    <t>外省市地下修正系数请自行录入</t>
    <phoneticPr fontId="134" type="noConversion"/>
  </si>
  <si>
    <t>北京市系数</t>
  </si>
  <si>
    <r>
      <rPr>
        <b/>
        <sz val="16"/>
        <color indexed="10"/>
        <rFont val="仿宋_GB2312"/>
        <family val="3"/>
        <charset val="134"/>
      </rPr>
      <t>收益法</t>
    </r>
    <r>
      <rPr>
        <b/>
        <sz val="12"/>
        <rFont val="仿宋_GB2312"/>
        <family val="3"/>
        <charset val="134"/>
      </rPr>
      <t>（无租约及租期内）</t>
    </r>
    <phoneticPr fontId="6" type="noConversion"/>
  </si>
  <si>
    <r>
      <rPr>
        <b/>
        <sz val="12"/>
        <rFont val="仿宋_GB2312"/>
        <family val="3"/>
        <charset val="134"/>
      </rPr>
      <t>总价</t>
    </r>
    <phoneticPr fontId="18" type="noConversion"/>
  </si>
  <si>
    <r>
      <rPr>
        <b/>
        <sz val="12"/>
        <rFont val="仿宋_GB2312"/>
        <family val="3"/>
        <charset val="134"/>
      </rPr>
      <t>楼面单价</t>
    </r>
    <phoneticPr fontId="18"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</si>
  <si>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</si>
  <si>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</si>
  <si>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</si>
  <si>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取费标准</t>
    </r>
    <phoneticPr fontId="6"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</si>
  <si>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</si>
  <si>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</si>
  <si>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</si>
  <si>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计算公式</t>
    </r>
    <phoneticPr fontId="6" type="noConversion"/>
  </si>
  <si>
    <r>
      <rPr>
        <sz val="10"/>
        <color indexed="8"/>
        <rFont val="仿宋_GB2312"/>
        <family val="3"/>
        <charset val="134"/>
      </rPr>
      <t>取费标准</t>
    </r>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</si>
  <si>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</si>
  <si>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租金</t>
    </r>
    <phoneticPr fontId="6"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</si>
  <si>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6"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</si>
  <si>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6"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</si>
  <si>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</si>
  <si>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建筑物现值</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</si>
  <si>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</si>
  <si>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</si>
  <si>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</si>
  <si>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</si>
  <si>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</si>
  <si>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t>3</t>
    <phoneticPr fontId="6" type="noConversion"/>
  </si>
  <si>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</si>
  <si>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</si>
  <si>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</si>
  <si>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</si>
  <si>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</si>
  <si>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6" type="noConversion"/>
  </si>
  <si>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</si>
  <si>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</si>
  <si>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6" type="noConversion"/>
  </si>
  <si>
    <r>
      <rPr>
        <sz val="10"/>
        <color indexed="8"/>
        <rFont val="仿宋_GB2312"/>
        <family val="3"/>
        <charset val="134"/>
      </rPr>
      <t>房产税</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</si>
  <si>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</si>
  <si>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</si>
  <si>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</si>
  <si>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</si>
  <si>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销售费用</t>
    </r>
    <phoneticPr fontId="6" type="noConversion"/>
  </si>
  <si>
    <t>——</t>
    <phoneticPr fontId="6"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</si>
  <si>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</si>
  <si>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</si>
  <si>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贷款利息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</si>
  <si>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</si>
  <si>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</si>
  <si>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建设周期（年）</t>
    </r>
    <phoneticPr fontId="6"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</si>
  <si>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</si>
  <si>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销售费用产生的利息</t>
    </r>
    <phoneticPr fontId="6"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</si>
  <si>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</si>
  <si>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</si>
  <si>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</si>
  <si>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t>4</t>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</si>
  <si>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</si>
  <si>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</si>
  <si>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6" type="noConversion"/>
  </si>
  <si>
    <t>5</t>
    <phoneticPr fontId="6" type="noConversion"/>
  </si>
  <si>
    <r>
      <rPr>
        <sz val="10"/>
        <color indexed="8"/>
        <rFont val="仿宋_GB2312"/>
        <family val="3"/>
        <charset val="134"/>
      </rPr>
      <t>房地产未来第一年净收益</t>
    </r>
    <r>
      <rPr>
        <sz val="10"/>
        <color indexed="8"/>
        <rFont val="Arial"/>
        <family val="2"/>
      </rPr>
      <t>×</t>
    </r>
    <phoneticPr fontId="6"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</si>
  <si>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</si>
  <si>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6" type="noConversion"/>
  </si>
  <si>
    <r>
      <rPr>
        <sz val="10"/>
        <color indexed="8"/>
        <rFont val="仿宋_GB2312"/>
        <family val="3"/>
        <charset val="134"/>
      </rPr>
      <t>收益年期</t>
    </r>
    <r>
      <rPr>
        <sz val="10"/>
        <color indexed="8"/>
        <rFont val="Arial"/>
        <family val="2"/>
      </rPr>
      <t>(n)</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</si>
  <si>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</si>
  <si>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年增长比率</t>
    </r>
    <r>
      <rPr>
        <sz val="10"/>
        <color indexed="8"/>
        <rFont val="Arial"/>
        <family val="2"/>
      </rPr>
      <t>(g)</t>
    </r>
    <phoneticPr fontId="6" type="noConversion"/>
  </si>
  <si>
    <t>6</t>
    <phoneticPr fontId="6" type="noConversion"/>
  </si>
  <si>
    <r>
      <rPr>
        <b/>
        <sz val="10"/>
        <color indexed="8"/>
        <rFont val="仿宋_GB2312"/>
        <family val="3"/>
        <charset val="134"/>
      </rPr>
      <t>折现价值</t>
    </r>
    <phoneticPr fontId="6"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</si>
  <si>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6" type="noConversion"/>
  </si>
  <si>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</si>
  <si>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</si>
  <si>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</si>
  <si>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19" type="noConversion"/>
  </si>
  <si>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</si>
  <si>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</si>
  <si>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</si>
  <si>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房产税</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</si>
  <si>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</si>
  <si>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</si>
  <si>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</si>
  <si>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</si>
  <si>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</si>
  <si>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</si>
  <si>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</si>
  <si>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</si>
  <si>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</si>
  <si>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房地产未来第一年净收益</t>
    </r>
    <r>
      <rPr>
        <sz val="10"/>
        <color indexed="8"/>
        <rFont val="Arial"/>
        <family val="2"/>
      </rPr>
      <t>×</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</si>
  <si>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9" type="noConversion"/>
  </si>
  <si>
    <r>
      <rPr>
        <sz val="10"/>
        <color indexed="8"/>
        <rFont val="仿宋_GB2312"/>
        <family val="3"/>
        <charset val="134"/>
      </rPr>
      <t>年增长比率</t>
    </r>
    <r>
      <rPr>
        <sz val="10"/>
        <color indexed="8"/>
        <rFont val="Arial"/>
        <family val="2"/>
      </rPr>
      <t>(g)</t>
    </r>
    <phoneticPr fontId="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</si>
  <si>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6"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</si>
  <si>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</si>
  <si>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建筑面积（㎡）</t>
    </r>
    <phoneticPr fontId="6"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</si>
  <si>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6" type="noConversion"/>
  </si>
  <si>
    <r>
      <rPr>
        <sz val="10"/>
        <rFont val="仿宋_GB2312"/>
        <family val="3"/>
        <charset val="134"/>
      </rPr>
      <t>房屋年纯收益</t>
    </r>
    <phoneticPr fontId="6" type="noConversion"/>
  </si>
  <si>
    <r>
      <rPr>
        <sz val="10"/>
        <rFont val="仿宋_GB2312"/>
        <family val="3"/>
        <charset val="134"/>
      </rPr>
      <t>建筑物资本化率</t>
    </r>
    <phoneticPr fontId="6" type="noConversion"/>
  </si>
  <si>
    <r>
      <rPr>
        <b/>
        <sz val="10"/>
        <color indexed="8"/>
        <rFont val="仿宋_GB2312"/>
        <family val="3"/>
        <charset val="134"/>
      </rPr>
      <t>确定合理的建筑物与土地价值比例</t>
    </r>
    <phoneticPr fontId="6" type="noConversion"/>
  </si>
  <si>
    <r>
      <t>1.</t>
    </r>
    <r>
      <rPr>
        <b/>
        <sz val="10"/>
        <color indexed="10"/>
        <rFont val="仿宋_GB2312"/>
        <family val="3"/>
        <charset val="134"/>
      </rPr>
      <t>收益比率</t>
    </r>
    <phoneticPr fontId="6" type="noConversion"/>
  </si>
  <si>
    <r>
      <rPr>
        <sz val="10"/>
        <rFont val="仿宋_GB2312"/>
        <family val="3"/>
        <charset val="134"/>
      </rPr>
      <t>建筑物年收益比率</t>
    </r>
    <phoneticPr fontId="6" type="noConversion"/>
  </si>
  <si>
    <r>
      <rPr>
        <sz val="10"/>
        <rFont val="仿宋_GB2312"/>
        <family val="3"/>
        <charset val="134"/>
      </rPr>
      <t>土地年收益比率</t>
    </r>
    <phoneticPr fontId="6" type="noConversion"/>
  </si>
  <si>
    <r>
      <t>2.</t>
    </r>
    <r>
      <rPr>
        <b/>
        <sz val="10"/>
        <color indexed="10"/>
        <rFont val="仿宋_GB2312"/>
        <family val="3"/>
        <charset val="134"/>
      </rPr>
      <t>成本比率</t>
    </r>
    <phoneticPr fontId="6" type="noConversion"/>
  </si>
  <si>
    <r>
      <rPr>
        <sz val="10"/>
        <color indexed="8"/>
        <rFont val="仿宋_GB2312"/>
        <family val="3"/>
        <charset val="134"/>
      </rPr>
      <t>建筑物价值比率</t>
    </r>
    <phoneticPr fontId="6" type="noConversion"/>
  </si>
  <si>
    <r>
      <rPr>
        <sz val="10"/>
        <color indexed="8"/>
        <rFont val="仿宋_GB2312"/>
        <family val="3"/>
        <charset val="134"/>
      </rPr>
      <t>土地价值比率</t>
    </r>
    <phoneticPr fontId="6" type="noConversion"/>
  </si>
  <si>
    <t>1.</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</si>
  <si>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</si>
  <si>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</si>
  <si>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2.</t>
    <phoneticPr fontId="6" type="noConversion"/>
  </si>
  <si>
    <t>3.</t>
    <phoneticPr fontId="6" type="noConversion"/>
  </si>
  <si>
    <t>4.</t>
    <phoneticPr fontId="6" type="noConversion"/>
  </si>
  <si>
    <t>2.</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</si>
  <si>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</si>
  <si>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1</t>
    </r>
    <r>
      <rPr>
        <sz val="10"/>
        <color indexed="8"/>
        <rFont val="宋体"/>
        <family val="3"/>
        <charset val="134"/>
      </rPr>
      <t>）</t>
    </r>
    <phoneticPr fontId="6" type="noConversion"/>
  </si>
  <si>
    <r>
      <t>2</t>
    </r>
    <r>
      <rPr>
        <sz val="10"/>
        <color indexed="8"/>
        <rFont val="宋体"/>
        <family val="3"/>
        <charset val="134"/>
      </rPr>
      <t>）</t>
    </r>
    <phoneticPr fontId="6" type="noConversion"/>
  </si>
  <si>
    <r>
      <t>3</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</si>
  <si>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</si>
  <si>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3.</t>
    <phoneticPr fontId="6" type="noConversion"/>
  </si>
  <si>
    <t>4.</t>
    <phoneticPr fontId="6" type="noConversion"/>
  </si>
  <si>
    <t>5.</t>
    <phoneticPr fontId="6" type="noConversion"/>
  </si>
  <si>
    <t>（3）</t>
    <phoneticPr fontId="6" type="noConversion"/>
  </si>
  <si>
    <t>（4）</t>
    <phoneticPr fontId="6" type="noConversion"/>
  </si>
  <si>
    <t>（5）</t>
    <phoneticPr fontId="6" type="noConversion"/>
  </si>
  <si>
    <t>（6）</t>
    <phoneticPr fontId="6" type="noConversion"/>
  </si>
  <si>
    <r>
      <t>1 .</t>
    </r>
    <r>
      <rPr>
        <b/>
        <sz val="12"/>
        <color indexed="8"/>
        <rFont val="仿宋_GB2312"/>
        <family val="3"/>
        <charset val="134"/>
      </rPr>
      <t>开发完成后不动产总价</t>
    </r>
    <phoneticPr fontId="17" type="noConversion"/>
  </si>
  <si>
    <r>
      <t>2 .</t>
    </r>
    <r>
      <rPr>
        <b/>
        <sz val="12"/>
        <color indexed="8"/>
        <rFont val="仿宋_GB2312"/>
        <family val="3"/>
        <charset val="134"/>
      </rPr>
      <t>扣减项</t>
    </r>
    <phoneticPr fontId="17" type="noConversion"/>
  </si>
  <si>
    <r>
      <t>3 .</t>
    </r>
    <r>
      <rPr>
        <b/>
        <sz val="11"/>
        <color indexed="8"/>
        <rFont val="仿宋_GB2312"/>
        <family val="3"/>
        <charset val="134"/>
      </rPr>
      <t>土地价格</t>
    </r>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</si>
  <si>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</si>
  <si>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</si>
  <si>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</si>
  <si>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t>1</t>
    </r>
    <r>
      <rPr>
        <sz val="10"/>
        <color indexed="8"/>
        <rFont val="宋体"/>
        <family val="3"/>
        <charset val="134"/>
      </rPr>
      <t>）</t>
    </r>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</si>
  <si>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</si>
  <si>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</si>
  <si>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</si>
  <si>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</si>
  <si>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8"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</si>
  <si>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</si>
  <si>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</si>
  <si>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8" type="noConversion"/>
  </si>
  <si>
    <r>
      <t>2</t>
    </r>
    <r>
      <rPr>
        <sz val="10"/>
        <color indexed="8"/>
        <rFont val="宋体"/>
        <family val="3"/>
        <charset val="134"/>
      </rPr>
      <t>）</t>
    </r>
    <phoneticPr fontId="18" type="noConversion"/>
  </si>
  <si>
    <r>
      <rPr>
        <b/>
        <sz val="11"/>
        <color indexed="8"/>
        <rFont val="宋体"/>
        <family val="3"/>
        <charset val="134"/>
      </rPr>
      <t>（</t>
    </r>
    <r>
      <rPr>
        <b/>
        <sz val="11"/>
        <color indexed="8"/>
        <rFont val="Arial"/>
        <family val="2"/>
      </rPr>
      <t>4</t>
    </r>
    <r>
      <rPr>
        <b/>
        <sz val="11"/>
        <color indexed="8"/>
        <rFont val="宋体"/>
        <family val="3"/>
        <charset val="134"/>
      </rPr>
      <t>）</t>
    </r>
    <phoneticPr fontId="18"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</si>
  <si>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</si>
  <si>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</si>
  <si>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8" type="noConversion"/>
  </si>
  <si>
    <r>
      <rPr>
        <b/>
        <sz val="11"/>
        <color indexed="8"/>
        <rFont val="宋体"/>
        <family val="3"/>
        <charset val="134"/>
      </rPr>
      <t>（</t>
    </r>
    <r>
      <rPr>
        <b/>
        <sz val="11"/>
        <color indexed="8"/>
        <rFont val="Arial"/>
        <family val="2"/>
      </rPr>
      <t>8</t>
    </r>
    <r>
      <rPr>
        <b/>
        <sz val="11"/>
        <color indexed="8"/>
        <rFont val="宋体"/>
        <family val="3"/>
        <charset val="134"/>
      </rPr>
      <t>）</t>
    </r>
    <phoneticPr fontId="18" type="noConversion"/>
  </si>
  <si>
    <r>
      <rPr>
        <b/>
        <sz val="11"/>
        <color indexed="8"/>
        <rFont val="宋体"/>
        <family val="3"/>
        <charset val="134"/>
      </rPr>
      <t>（</t>
    </r>
    <r>
      <rPr>
        <b/>
        <sz val="11"/>
        <color indexed="8"/>
        <rFont val="Arial"/>
        <family val="2"/>
      </rPr>
      <t>9</t>
    </r>
    <r>
      <rPr>
        <b/>
        <sz val="11"/>
        <color indexed="8"/>
        <rFont val="宋体"/>
        <family val="3"/>
        <charset val="134"/>
      </rPr>
      <t>）</t>
    </r>
    <phoneticPr fontId="18" type="noConversion"/>
  </si>
  <si>
    <r>
      <t xml:space="preserve">2. </t>
    </r>
    <r>
      <rPr>
        <b/>
        <sz val="12"/>
        <color indexed="8"/>
        <rFont val="仿宋_GB2312"/>
        <family val="3"/>
        <charset val="134"/>
      </rPr>
      <t>房屋现值</t>
    </r>
    <phoneticPr fontId="17" type="noConversion"/>
  </si>
  <si>
    <r>
      <t>3 .</t>
    </r>
    <r>
      <rPr>
        <b/>
        <sz val="11"/>
        <color indexed="8"/>
        <rFont val="仿宋_GB2312"/>
        <family val="3"/>
        <charset val="134"/>
      </rPr>
      <t>交易税费</t>
    </r>
    <phoneticPr fontId="44" type="noConversion"/>
  </si>
  <si>
    <r>
      <t xml:space="preserve">4. </t>
    </r>
    <r>
      <rPr>
        <b/>
        <sz val="11"/>
        <color indexed="8"/>
        <rFont val="仿宋_GB2312"/>
        <family val="3"/>
        <charset val="134"/>
      </rPr>
      <t>土地价格</t>
    </r>
    <phoneticPr fontId="18" type="noConversion"/>
  </si>
  <si>
    <t>（6）</t>
    <phoneticPr fontId="44" type="noConversion"/>
  </si>
  <si>
    <t>（7）</t>
  </si>
  <si>
    <t>（8）</t>
  </si>
  <si>
    <t>（1）</t>
    <phoneticPr fontId="6" type="noConversion"/>
  </si>
  <si>
    <t>（2）</t>
    <phoneticPr fontId="6" type="noConversion"/>
  </si>
  <si>
    <t>6.</t>
    <phoneticPr fontId="6" type="noConversion"/>
  </si>
  <si>
    <t>7.</t>
    <phoneticPr fontId="6" type="noConversion"/>
  </si>
  <si>
    <t>2.</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</si>
  <si>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</si>
  <si>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</si>
  <si>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</si>
  <si>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</si>
  <si>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</si>
  <si>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</si>
  <si>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</si>
  <si>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</si>
  <si>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</si>
  <si>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t>1</t>
    </r>
    <r>
      <rPr>
        <sz val="10"/>
        <color indexed="8"/>
        <rFont val="宋体"/>
        <family val="3"/>
        <charset val="134"/>
      </rPr>
      <t>）</t>
    </r>
    <phoneticPr fontId="6" type="noConversion"/>
  </si>
  <si>
    <r>
      <t>2</t>
    </r>
    <r>
      <rPr>
        <sz val="10"/>
        <color indexed="8"/>
        <rFont val="宋体"/>
        <family val="3"/>
        <charset val="134"/>
      </rPr>
      <t>）</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</si>
  <si>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</si>
  <si>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</si>
  <si>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</si>
  <si>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6"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</si>
  <si>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6"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</si>
  <si>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6" type="noConversion"/>
  </si>
  <si>
    <t>（7）</t>
    <phoneticPr fontId="6" type="noConversion"/>
  </si>
  <si>
    <t>3</t>
    <phoneticPr fontId="6" type="noConversion"/>
  </si>
  <si>
    <t>4</t>
    <phoneticPr fontId="6" type="noConversion"/>
  </si>
  <si>
    <t>5</t>
    <phoneticPr fontId="6" type="noConversion"/>
  </si>
  <si>
    <t>——</t>
    <phoneticPr fontId="17" type="noConversion"/>
  </si>
  <si>
    <t>商业</t>
    <phoneticPr fontId="9" type="noConversion"/>
  </si>
  <si>
    <t>办公</t>
    <phoneticPr fontId="9" type="noConversion"/>
  </si>
  <si>
    <t>住宅</t>
    <phoneticPr fontId="9" type="noConversion"/>
  </si>
  <si>
    <t>工业</t>
    <phoneticPr fontId="9" type="noConversion"/>
  </si>
  <si>
    <t xml:space="preserve">— </t>
    <phoneticPr fontId="6" type="noConversion"/>
  </si>
  <si>
    <t>估价项目名称：</t>
    <phoneticPr fontId="6" type="noConversion"/>
  </si>
  <si>
    <t>北京康正宏基房地产评估有限公司</t>
    <phoneticPr fontId="6" type="noConversion"/>
  </si>
  <si>
    <t>评估意见函</t>
    <phoneticPr fontId="6" type="noConversion"/>
  </si>
  <si>
    <t>估价对象：</t>
    <phoneticPr fontId="6" type="noConversion"/>
  </si>
  <si>
    <t>估价目的：</t>
    <phoneticPr fontId="6" type="noConversion"/>
  </si>
  <si>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</si>
  <si>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</si>
  <si>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</si>
  <si>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</si>
  <si>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</si>
  <si>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土地估价师</t>
    <phoneticPr fontId="6" type="noConversion"/>
  </si>
  <si>
    <t>证号</t>
    <phoneticPr fontId="6" type="noConversion"/>
  </si>
  <si>
    <t>梁津</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</si>
  <si>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</si>
  <si>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</si>
  <si>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</si>
  <si>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</si>
  <si>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</si>
  <si>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</si>
  <si>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</si>
  <si>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赵雯</t>
    <phoneticPr fontId="6" type="noConversion"/>
  </si>
  <si>
    <t>刘敬东</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</si>
  <si>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</si>
  <si>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</si>
  <si>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</si>
  <si>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</si>
  <si>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</si>
  <si>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资质有效期</t>
    <phoneticPr fontId="6" type="noConversion"/>
  </si>
  <si>
    <t>资质证书：一级</t>
    <phoneticPr fontId="6" type="noConversion"/>
  </si>
  <si>
    <t>建房估证字[2013]081号</t>
    <phoneticPr fontId="6" type="noConversion"/>
  </si>
  <si>
    <t>注册证书</t>
    <phoneticPr fontId="6" type="noConversion"/>
  </si>
  <si>
    <t>A201111009</t>
    <phoneticPr fontId="6" type="noConversion"/>
  </si>
  <si>
    <t>资信等级：A级</t>
    <phoneticPr fontId="6" type="noConversion"/>
  </si>
  <si>
    <t>估价项目名称</t>
    <phoneticPr fontId="6" type="noConversion"/>
  </si>
  <si>
    <t>报告编号</t>
    <phoneticPr fontId="6" type="noConversion"/>
  </si>
  <si>
    <t>现场勘查日</t>
    <phoneticPr fontId="6" type="noConversion"/>
  </si>
  <si>
    <t>签字估价师</t>
    <phoneticPr fontId="6" type="noConversion"/>
  </si>
  <si>
    <t xml:space="preserve">估价委托人  </t>
    <phoneticPr fontId="6" type="noConversion"/>
  </si>
  <si>
    <t>估价目的</t>
    <phoneticPr fontId="6" type="noConversion"/>
  </si>
  <si>
    <t>价值类型</t>
    <phoneticPr fontId="6" type="noConversion"/>
  </si>
  <si>
    <t>抵押结果包含：</t>
    <phoneticPr fontId="6" type="noConversion"/>
  </si>
  <si>
    <t>北京市</t>
  </si>
  <si>
    <t>坐落</t>
    <phoneticPr fontId="6" type="noConversion"/>
  </si>
  <si>
    <t>土地性质</t>
    <phoneticPr fontId="6" type="noConversion"/>
  </si>
  <si>
    <t>用途</t>
    <phoneticPr fontId="6" type="noConversion"/>
  </si>
  <si>
    <t>住宅</t>
    <phoneticPr fontId="6"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</si>
  <si>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</si>
  <si>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</si>
  <si>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</si>
  <si>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</si>
  <si>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</si>
  <si>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终止日期</t>
    <phoneticPr fontId="6" type="noConversion"/>
  </si>
  <si>
    <t>出让年限</t>
    <phoneticPr fontId="6" type="noConversion"/>
  </si>
  <si>
    <t>剩余年限</t>
    <phoneticPr fontId="6" type="noConversion"/>
  </si>
  <si>
    <t>面积指标</t>
    <phoneticPr fontId="6" type="noConversion"/>
  </si>
  <si>
    <t>建筑面积</t>
    <phoneticPr fontId="6" type="noConversion"/>
  </si>
  <si>
    <t>面积依据</t>
    <phoneticPr fontId="6" type="noConversion"/>
  </si>
  <si>
    <t>土地面积</t>
    <phoneticPr fontId="6" type="noConversion"/>
  </si>
  <si>
    <t>权利状况（抵押）</t>
    <phoneticPr fontId="6" type="noConversion"/>
  </si>
  <si>
    <t>是否抵押</t>
    <phoneticPr fontId="6" type="noConversion"/>
  </si>
  <si>
    <t>权属证件是否登记权利价值</t>
    <phoneticPr fontId="6" type="noConversion"/>
  </si>
  <si>
    <t>依据</t>
    <phoneticPr fontId="6" type="noConversion"/>
  </si>
  <si>
    <t>权属文件</t>
    <phoneticPr fontId="6" type="noConversion"/>
  </si>
  <si>
    <t>他项权证</t>
    <phoneticPr fontId="6" type="noConversion"/>
  </si>
  <si>
    <t>其他资料</t>
    <phoneticPr fontId="6" type="noConversion"/>
  </si>
  <si>
    <t>抵押情况描述</t>
    <phoneticPr fontId="6" type="noConversion"/>
  </si>
  <si>
    <t>原件</t>
  </si>
  <si>
    <t>《国有土地使用权》</t>
  </si>
  <si>
    <t>抵押信息</t>
    <phoneticPr fontId="6" type="noConversion"/>
  </si>
  <si>
    <t>设定日期</t>
    <phoneticPr fontId="6" type="noConversion"/>
  </si>
  <si>
    <t>权利人</t>
    <phoneticPr fontId="6" type="noConversion"/>
  </si>
  <si>
    <t>权利范围</t>
    <phoneticPr fontId="6" type="noConversion"/>
  </si>
  <si>
    <t>权利价值</t>
    <phoneticPr fontId="6" type="noConversion"/>
  </si>
  <si>
    <t>红线外市政</t>
    <phoneticPr fontId="6" type="noConversion"/>
  </si>
  <si>
    <t>一通</t>
    <phoneticPr fontId="6" type="noConversion"/>
  </si>
  <si>
    <t>二通</t>
    <phoneticPr fontId="6" type="noConversion"/>
  </si>
  <si>
    <t>三通</t>
    <phoneticPr fontId="6" type="noConversion"/>
  </si>
  <si>
    <t>四通</t>
    <phoneticPr fontId="6" type="noConversion"/>
  </si>
  <si>
    <t>五通</t>
    <phoneticPr fontId="6" type="noConversion"/>
  </si>
  <si>
    <t>六通</t>
    <phoneticPr fontId="6" type="noConversion"/>
  </si>
  <si>
    <t>七通</t>
    <phoneticPr fontId="6" type="noConversion"/>
  </si>
  <si>
    <t>估价对象</t>
    <phoneticPr fontId="6" type="noConversion"/>
  </si>
  <si>
    <t>优先受偿</t>
    <phoneticPr fontId="6" type="noConversion"/>
  </si>
  <si>
    <t>抵押</t>
    <phoneticPr fontId="6" type="noConversion"/>
  </si>
  <si>
    <t>2.估价师所知悉的法定优先受偿款</t>
    <phoneticPr fontId="6" type="noConversion"/>
  </si>
  <si>
    <t>2.估价师所知悉的除抵押担保权以外的法定优先受偿款</t>
    <phoneticPr fontId="6" type="noConversion"/>
  </si>
  <si>
    <t>价值类型及定义</t>
    <phoneticPr fontId="6" type="noConversion"/>
  </si>
  <si>
    <t>已注销</t>
    <phoneticPr fontId="6" type="noConversion"/>
  </si>
  <si>
    <t>已注销及未注销</t>
    <phoneticPr fontId="6" type="noConversion"/>
  </si>
  <si>
    <t>抵押净值</t>
    <phoneticPr fontId="6" type="noConversion"/>
  </si>
  <si>
    <t>——</t>
    <phoneticPr fontId="17" type="noConversion"/>
  </si>
  <si>
    <t>估价期日</t>
    <phoneticPr fontId="6" type="noConversion"/>
  </si>
  <si>
    <t>市场价格</t>
    <phoneticPr fontId="6" type="noConversion"/>
  </si>
  <si>
    <t>抵押价格</t>
    <phoneticPr fontId="6" type="noConversion"/>
  </si>
  <si>
    <t>《建设工程规划许可证》[]、《出让合同》[]</t>
    <phoneticPr fontId="6" type="noConversion"/>
  </si>
  <si>
    <t>项目所在城市</t>
    <phoneticPr fontId="9" type="noConversion"/>
  </si>
  <si>
    <t>不动产权利人</t>
    <phoneticPr fontId="9" type="noConversion"/>
  </si>
  <si>
    <t>项目类型</t>
    <phoneticPr fontId="9" type="noConversion"/>
  </si>
  <si>
    <t>按主用途</t>
    <phoneticPr fontId="9" type="noConversion"/>
  </si>
  <si>
    <t>特殊细项</t>
    <phoneticPr fontId="9" type="noConversion"/>
  </si>
  <si>
    <t>是否配建</t>
    <phoneticPr fontId="9" type="noConversion"/>
  </si>
  <si>
    <t>配建类型</t>
    <phoneticPr fontId="9" type="noConversion"/>
  </si>
  <si>
    <t>证件取得及他项权利状况</t>
    <phoneticPr fontId="9" type="noConversion"/>
  </si>
  <si>
    <t>地块编号</t>
    <phoneticPr fontId="6" type="noConversion"/>
  </si>
  <si>
    <t>建设内容/楼号</t>
    <phoneticPr fontId="6" type="noConversion"/>
  </si>
  <si>
    <t>出让合同</t>
    <phoneticPr fontId="6" type="noConversion"/>
  </si>
  <si>
    <t>用地规划</t>
    <phoneticPr fontId="6" type="noConversion"/>
  </si>
  <si>
    <t>规划意见复函</t>
    <phoneticPr fontId="6" type="noConversion"/>
  </si>
  <si>
    <t>工程规划</t>
    <phoneticPr fontId="6" type="noConversion"/>
  </si>
  <si>
    <t>施工证</t>
    <phoneticPr fontId="6" type="noConversion"/>
  </si>
  <si>
    <t>预售证</t>
    <phoneticPr fontId="6" type="noConversion"/>
  </si>
  <si>
    <t>竣工备案</t>
    <phoneticPr fontId="6" type="noConversion"/>
  </si>
  <si>
    <t>测绘报告</t>
    <phoneticPr fontId="6" type="noConversion"/>
  </si>
  <si>
    <t>现状</t>
    <phoneticPr fontId="9" type="noConversion"/>
  </si>
  <si>
    <t>用地性质/土地用途</t>
    <phoneticPr fontId="9" type="noConversion"/>
  </si>
  <si>
    <t>不动产权证书</t>
    <phoneticPr fontId="9" type="noConversion"/>
  </si>
  <si>
    <t>国土证</t>
    <phoneticPr fontId="6" type="noConversion"/>
  </si>
  <si>
    <t>房产证</t>
    <phoneticPr fontId="6" type="noConversion"/>
  </si>
  <si>
    <t>他项权利——抵押</t>
    <phoneticPr fontId="6" type="noConversion"/>
  </si>
  <si>
    <t>他项权利——租赁</t>
    <phoneticPr fontId="9" type="noConversion"/>
  </si>
  <si>
    <t>他项权利——其他</t>
    <phoneticPr fontId="9" type="noConversion"/>
  </si>
  <si>
    <t>地价定义：</t>
    <phoneticPr fontId="6" type="noConversion"/>
  </si>
  <si>
    <t>估价期日：</t>
    <phoneticPr fontId="6" type="noConversion"/>
  </si>
  <si>
    <t>估价结果：</t>
    <phoneticPr fontId="6" type="noConversion"/>
  </si>
  <si>
    <t>（转下页）</t>
    <phoneticPr fontId="140"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</si>
  <si>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</si>
  <si>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</si>
  <si>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</si>
  <si>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</si>
  <si>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</si>
  <si>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</si>
  <si>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</si>
  <si>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</si>
  <si>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</si>
  <si>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40" type="noConversion"/>
  </si>
  <si>
    <t>估价机构：北京康正宏基房地产评估有限公司</t>
  </si>
  <si>
    <t>估价机构：北京康正宏基房地产评估有限公司</t>
    <phoneticPr fontId="140" type="noConversion"/>
  </si>
  <si>
    <t>币种：人民币</t>
    <phoneticPr fontId="140" type="noConversion"/>
  </si>
  <si>
    <t>证载（或批准）</t>
    <phoneticPr fontId="140" type="noConversion"/>
  </si>
  <si>
    <t>单位面积地价/元/㎡</t>
    <phoneticPr fontId="140" type="noConversion"/>
  </si>
  <si>
    <t>二、其他需要说明的事项：</t>
    <phoneticPr fontId="140" type="noConversion"/>
  </si>
  <si>
    <t>土地估价师：</t>
    <phoneticPr fontId="6" type="noConversion"/>
  </si>
  <si>
    <t>委托估价方：</t>
    <phoneticPr fontId="6" type="noConversion"/>
  </si>
  <si>
    <t>受托估价单位：</t>
    <phoneticPr fontId="6" type="noConversion"/>
  </si>
  <si>
    <t>土地估价报告编号：</t>
    <phoneticPr fontId="6" type="noConversion"/>
  </si>
  <si>
    <t>地价定义</t>
    <phoneticPr fontId="17" type="noConversion"/>
  </si>
  <si>
    <t>用途</t>
    <phoneticPr fontId="17"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</si>
  <si>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7"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</si>
  <si>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7" type="noConversion"/>
  </si>
  <si>
    <t>——</t>
    <phoneticPr fontId="140" type="noConversion"/>
  </si>
  <si>
    <t>宗地内平整情况设定为：</t>
    <phoneticPr fontId="9" type="noConversion"/>
  </si>
  <si>
    <t>估价结果（过程）</t>
    <phoneticPr fontId="145" type="noConversion"/>
  </si>
  <si>
    <t>估价对象范围</t>
    <phoneticPr fontId="145" type="noConversion"/>
  </si>
  <si>
    <t>估价对象状态</t>
    <phoneticPr fontId="145" type="noConversion"/>
  </si>
  <si>
    <t>证载土地用途</t>
    <phoneticPr fontId="9" type="noConversion"/>
  </si>
  <si>
    <t>设定用途</t>
    <phoneticPr fontId="9" type="noConversion"/>
  </si>
  <si>
    <t>设定估价对象土地年限</t>
    <phoneticPr fontId="9" type="noConversion"/>
  </si>
  <si>
    <t>依据</t>
    <phoneticPr fontId="9" type="noConversion"/>
  </si>
  <si>
    <t>设定用途与证载土地用途</t>
    <phoneticPr fontId="9" type="noConversion"/>
  </si>
  <si>
    <t>规划建筑面积/㎡</t>
  </si>
  <si>
    <t>楼面地价/元/㎡</t>
  </si>
  <si>
    <t>一、上述估价结果的限定条件</t>
    <phoneticPr fontId="140" type="noConversion"/>
  </si>
  <si>
    <t>4.影响价格的其他限定条件：无。</t>
    <phoneticPr fontId="140" type="noConversion"/>
  </si>
  <si>
    <r>
      <t>1.</t>
    </r>
    <r>
      <rPr>
        <b/>
        <sz val="11"/>
        <color indexed="8"/>
        <rFont val="仿宋_GB2312"/>
        <family val="3"/>
        <charset val="134"/>
      </rPr>
      <t>土地价格</t>
    </r>
    <phoneticPr fontId="11"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</si>
  <si>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40"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</si>
  <si>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</si>
  <si>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</si>
  <si>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1.用途：</t>
    <phoneticPr fontId="6" type="noConversion"/>
  </si>
  <si>
    <t>2.土地开发程度</t>
    <phoneticPr fontId="140" type="noConversion"/>
  </si>
  <si>
    <t>3.规划利用条件</t>
    <phoneticPr fontId="140" type="noConversion"/>
  </si>
  <si>
    <t>4.土地使用年限</t>
    <phoneticPr fontId="140" type="noConversion"/>
  </si>
  <si>
    <t>5.地价定义</t>
    <phoneticPr fontId="140" type="noConversion"/>
  </si>
  <si>
    <t>车位数</t>
    <phoneticPr fontId="30" type="noConversion"/>
  </si>
  <si>
    <t>成交单价</t>
    <phoneticPr fontId="6" type="noConversion"/>
  </si>
  <si>
    <t>元/平方米</t>
  </si>
  <si>
    <t>北京市区片基准地价因素总修正幅度表</t>
    <phoneticPr fontId="6" type="noConversion"/>
  </si>
  <si>
    <t>商业</t>
    <phoneticPr fontId="6" type="noConversion"/>
  </si>
  <si>
    <t>办公</t>
    <phoneticPr fontId="6" type="noConversion"/>
  </si>
  <si>
    <t>住宅</t>
    <phoneticPr fontId="6" type="noConversion"/>
  </si>
  <si>
    <t>工业</t>
    <phoneticPr fontId="6" type="noConversion"/>
  </si>
  <si>
    <t>级别</t>
    <phoneticPr fontId="6" type="noConversion"/>
  </si>
  <si>
    <t>区片编号</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</si>
  <si>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</si>
  <si>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</si>
  <si>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</si>
  <si>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</si>
  <si>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</si>
  <si>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</si>
  <si>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</si>
  <si>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</si>
  <si>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</si>
  <si>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</si>
  <si>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</si>
  <si>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</si>
  <si>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</si>
  <si>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</si>
  <si>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</si>
  <si>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</si>
  <si>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</si>
  <si>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</si>
  <si>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</si>
  <si>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</si>
  <si>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</si>
  <si>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</si>
  <si>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</si>
  <si>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</si>
  <si>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</si>
  <si>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</si>
  <si>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</si>
  <si>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</si>
  <si>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</si>
  <si>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</si>
  <si>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</si>
  <si>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</si>
  <si>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</si>
  <si>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</si>
  <si>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</si>
  <si>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</si>
  <si>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</si>
  <si>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</si>
  <si>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</si>
  <si>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</si>
  <si>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</si>
  <si>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</si>
  <si>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</si>
  <si>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</si>
  <si>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</si>
  <si>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</si>
  <si>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</si>
  <si>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</si>
  <si>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</si>
  <si>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</si>
  <si>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</si>
  <si>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</si>
  <si>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</si>
  <si>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</si>
  <si>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</si>
  <si>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</si>
  <si>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</si>
  <si>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</si>
  <si>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</si>
  <si>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</si>
  <si>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</si>
  <si>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</si>
  <si>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</si>
  <si>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</si>
  <si>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</si>
  <si>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</si>
  <si>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</si>
  <si>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</si>
  <si>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</si>
  <si>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</si>
  <si>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</si>
  <si>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</si>
  <si>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</si>
  <si>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</si>
  <si>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</si>
  <si>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</si>
  <si>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</si>
  <si>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</si>
  <si>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</si>
  <si>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</si>
  <si>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</si>
  <si>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</si>
  <si>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</si>
  <si>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</si>
  <si>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</si>
  <si>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</si>
  <si>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</si>
  <si>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</si>
  <si>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</si>
  <si>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</si>
  <si>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</si>
  <si>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</si>
  <si>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</si>
  <si>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</si>
  <si>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</si>
  <si>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</si>
  <si>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</si>
  <si>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</si>
  <si>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</si>
  <si>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</si>
  <si>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</si>
  <si>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</si>
  <si>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</si>
  <si>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</si>
  <si>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</si>
  <si>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</si>
  <si>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</si>
  <si>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</si>
  <si>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</si>
  <si>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</si>
  <si>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</si>
  <si>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</si>
  <si>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</si>
  <si>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</si>
  <si>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</si>
  <si>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</si>
  <si>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</si>
  <si>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</si>
  <si>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</si>
  <si>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</si>
  <si>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</si>
  <si>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</si>
  <si>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</si>
  <si>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</si>
  <si>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</si>
  <si>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</si>
  <si>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</si>
  <si>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</si>
  <si>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</si>
  <si>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</si>
  <si>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</si>
  <si>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</si>
  <si>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</si>
  <si>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</si>
  <si>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</si>
  <si>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</si>
  <si>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</si>
  <si>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</si>
  <si>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</si>
  <si>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</si>
  <si>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</si>
  <si>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</si>
  <si>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</si>
  <si>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</si>
  <si>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</si>
  <si>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</si>
  <si>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</si>
  <si>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十二级</t>
    <phoneticPr fontId="6" type="noConversion"/>
  </si>
  <si>
    <t>Ⅻ-平1</t>
    <phoneticPr fontId="6" type="noConversion"/>
  </si>
  <si>
    <t>Ⅻ-怀1</t>
    <phoneticPr fontId="6" type="noConversion"/>
  </si>
  <si>
    <t>Ⅻ-密1</t>
    <phoneticPr fontId="6" type="noConversion"/>
  </si>
  <si>
    <t>Ⅻ-延1</t>
    <phoneticPr fontId="6"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</si>
  <si>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</si>
  <si>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</si>
  <si>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</si>
  <si>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</si>
  <si>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</si>
  <si>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</si>
  <si>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</si>
  <si>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</si>
  <si>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</si>
  <si>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</si>
  <si>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</si>
  <si>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</si>
  <si>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6" type="noConversion"/>
  </si>
  <si>
    <t>幅度控制(±)</t>
    <phoneticPr fontId="6" type="noConversion"/>
  </si>
  <si>
    <t>幅度控制(±)</t>
    <phoneticPr fontId="6" type="noConversion"/>
  </si>
  <si>
    <t>幅度控制(±)</t>
    <phoneticPr fontId="6" type="noConversion"/>
  </si>
  <si>
    <t>元/平方米</t>
    <phoneticPr fontId="127" type="noConversion"/>
  </si>
  <si>
    <t>万元/亩</t>
    <phoneticPr fontId="127" type="noConversion"/>
  </si>
  <si>
    <t>楼层-1</t>
    <phoneticPr fontId="24" type="noConversion"/>
  </si>
  <si>
    <t>楼层-1</t>
    <phoneticPr fontId="6" type="noConversion"/>
  </si>
  <si>
    <t>楼层修正-2：多层及高层同时修正时的处理，以普通无电梯多层为基准</t>
    <phoneticPr fontId="6" type="noConversion"/>
  </si>
  <si>
    <t>多层</t>
    <phoneticPr fontId="6" type="noConversion"/>
  </si>
  <si>
    <t>高层</t>
    <phoneticPr fontId="6" type="noConversion"/>
  </si>
  <si>
    <t>无电梯</t>
    <phoneticPr fontId="6" type="noConversion"/>
  </si>
  <si>
    <t>增值项</t>
    <phoneticPr fontId="6" type="noConversion"/>
  </si>
  <si>
    <t>系数</t>
    <phoneticPr fontId="6" type="noConversion"/>
  </si>
  <si>
    <t>有电梯</t>
    <phoneticPr fontId="6" type="noConversion"/>
  </si>
  <si>
    <t>增值项</t>
    <phoneticPr fontId="6" type="noConversion"/>
  </si>
  <si>
    <t>系数</t>
    <phoneticPr fontId="6" type="noConversion"/>
  </si>
  <si>
    <t>楼层数/位置</t>
    <phoneticPr fontId="6" type="noConversion"/>
  </si>
  <si>
    <t>层差/系数</t>
    <phoneticPr fontId="6" type="noConversion"/>
  </si>
  <si>
    <t>露台</t>
    <phoneticPr fontId="6" type="noConversion"/>
  </si>
  <si>
    <t>露台</t>
    <phoneticPr fontId="6" type="noConversion"/>
  </si>
  <si>
    <t>总层数</t>
    <phoneticPr fontId="6" type="noConversion"/>
  </si>
  <si>
    <t>中间层</t>
    <phoneticPr fontId="6" type="noConversion"/>
  </si>
  <si>
    <t>首层</t>
    <phoneticPr fontId="6" type="noConversion"/>
  </si>
  <si>
    <t>顶层</t>
    <phoneticPr fontId="6" type="noConversion"/>
  </si>
  <si>
    <t>所在楼层</t>
    <phoneticPr fontId="6" type="noConversion"/>
  </si>
  <si>
    <t>花园</t>
    <phoneticPr fontId="6" type="noConversion"/>
  </si>
  <si>
    <t>最高最低差</t>
    <phoneticPr fontId="6" type="noConversion"/>
  </si>
  <si>
    <t>注意于无电梯多层的价值匹配</t>
    <phoneticPr fontId="6" type="noConversion"/>
  </si>
  <si>
    <t>企业提供(在右侧录入)</t>
  </si>
  <si>
    <t>单位面积地价</t>
    <phoneticPr fontId="127" type="noConversion"/>
  </si>
  <si>
    <t>对应的地上用途及土地级别（北京市）</t>
    <phoneticPr fontId="6" type="noConversion"/>
  </si>
  <si>
    <t>对应商业级别</t>
    <phoneticPr fontId="6" type="noConversion"/>
  </si>
  <si>
    <t>对应办公级别</t>
    <phoneticPr fontId="6" type="noConversion"/>
  </si>
  <si>
    <t>对应的地上用途及土地级别（北京市）</t>
  </si>
  <si>
    <t>对应商业级别</t>
  </si>
  <si>
    <t>对应办公级别</t>
  </si>
  <si>
    <t>修正体系描述方式：</t>
    <phoneticPr fontId="6"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</si>
  <si>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</si>
  <si>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7" type="noConversion"/>
  </si>
  <si>
    <t>按在建建筑物或建筑物价值(1+5%)的一定比率</t>
    <phoneticPr fontId="4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</si>
  <si>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6" type="noConversion"/>
  </si>
  <si>
    <t>政府土地出让收益比例</t>
    <phoneticPr fontId="6" type="noConversion"/>
  </si>
  <si>
    <t>-</t>
    <phoneticPr fontId="6" type="noConversion"/>
  </si>
  <si>
    <t>承租人权益价值</t>
    <phoneticPr fontId="6" type="noConversion"/>
  </si>
  <si>
    <t>市场租金</t>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</si>
  <si>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</si>
  <si>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</si>
  <si>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</si>
  <si>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6" type="noConversion"/>
  </si>
  <si>
    <t>不动产总价</t>
    <phoneticPr fontId="6"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</si>
  <si>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6" type="noConversion"/>
  </si>
  <si>
    <r>
      <rPr>
        <sz val="10"/>
        <color indexed="8"/>
        <rFont val="楷体_GB2312"/>
        <family val="3"/>
        <charset val="134"/>
      </rPr>
      <t>修正项</t>
    </r>
    <phoneticPr fontId="6" type="noConversion"/>
  </si>
  <si>
    <r>
      <rPr>
        <sz val="10"/>
        <color indexed="8"/>
        <rFont val="楷体_GB2312"/>
        <family val="3"/>
        <charset val="134"/>
      </rPr>
      <t>说明</t>
    </r>
    <phoneticPr fontId="6" type="noConversion"/>
  </si>
  <si>
    <r>
      <rPr>
        <sz val="10"/>
        <color indexed="8"/>
        <rFont val="楷体_GB2312"/>
        <family val="3"/>
        <charset val="134"/>
      </rPr>
      <t>修正系数</t>
    </r>
    <phoneticPr fontId="6" type="noConversion"/>
  </si>
  <si>
    <r>
      <rPr>
        <sz val="10"/>
        <color indexed="8"/>
        <rFont val="楷体_GB2312"/>
        <family val="3"/>
        <charset val="134"/>
      </rPr>
      <t>建筑面积</t>
    </r>
    <phoneticPr fontId="6" type="noConversion"/>
  </si>
  <si>
    <t>修正系数</t>
    <phoneticPr fontId="6" type="noConversion"/>
  </si>
  <si>
    <t>楼层</t>
    <phoneticPr fontId="6" type="noConversion"/>
  </si>
  <si>
    <t>土地面积</t>
    <phoneticPr fontId="10" type="noConversion"/>
  </si>
  <si>
    <t>建筑面积</t>
    <phoneticPr fontId="10" type="noConversion"/>
  </si>
  <si>
    <t>面积加总（含分摊非经营）</t>
    <phoneticPr fontId="10" type="noConversion"/>
  </si>
  <si>
    <t>按面积比例</t>
  </si>
  <si>
    <t>项目类型</t>
    <phoneticPr fontId="10" type="noConversion"/>
  </si>
  <si>
    <t>设备及其他</t>
  </si>
  <si>
    <t>公共配套</t>
  </si>
  <si>
    <t>公共配套及物业（住宅）</t>
    <phoneticPr fontId="6" type="noConversion"/>
  </si>
  <si>
    <t>公共配套设施</t>
    <phoneticPr fontId="6" type="noConversion"/>
  </si>
  <si>
    <t>物业管理用房</t>
    <phoneticPr fontId="6" type="noConversion"/>
  </si>
  <si>
    <t>设备及其他</t>
    <phoneticPr fontId="6" type="noConversion"/>
  </si>
  <si>
    <t>公共配套及物业（住宅）</t>
    <phoneticPr fontId="10" type="noConversion"/>
  </si>
  <si>
    <t>住宅用房合计</t>
    <phoneticPr fontId="10" type="noConversion"/>
  </si>
  <si>
    <t>总计</t>
    <phoneticPr fontId="10" type="noConversion"/>
  </si>
  <si>
    <t>车位数/套数/收益面积</t>
    <phoneticPr fontId="6" type="noConversion"/>
  </si>
  <si>
    <t>项目类型</t>
    <phoneticPr fontId="7" type="noConversion"/>
  </si>
  <si>
    <t>《不动产权证书》</t>
  </si>
  <si>
    <t>复印件</t>
  </si>
  <si>
    <t>地下办公（含物业）</t>
    <phoneticPr fontId="10" type="noConversion"/>
  </si>
  <si>
    <t>地下办公（含物业）</t>
    <phoneticPr fontId="17" type="noConversion"/>
  </si>
  <si>
    <t>（住宅、计出让金）</t>
    <phoneticPr fontId="6" type="noConversion"/>
  </si>
  <si>
    <t>（住宅）</t>
    <phoneticPr fontId="6" type="noConversion"/>
  </si>
  <si>
    <r>
      <rPr>
        <sz val="10"/>
        <color indexed="8"/>
        <rFont val="仿宋_GB2312"/>
        <family val="3"/>
        <charset val="134"/>
      </rPr>
      <t>物业管理用房</t>
    </r>
    <phoneticPr fontId="6" type="noConversion"/>
  </si>
  <si>
    <t>计容部位</t>
    <phoneticPr fontId="6" type="noConversion"/>
  </si>
  <si>
    <r>
      <rPr>
        <sz val="10"/>
        <color theme="1"/>
        <rFont val="仿宋_GB2312"/>
        <family val="3"/>
        <charset val="134"/>
      </rPr>
      <t>计容建筑面积</t>
    </r>
    <phoneticPr fontId="6" type="noConversion"/>
  </si>
  <si>
    <r>
      <t>地下车库</t>
    </r>
    <r>
      <rPr>
        <sz val="9"/>
        <color indexed="8"/>
        <rFont val="仿宋_GB2312"/>
        <family val="3"/>
        <charset val="134"/>
      </rPr>
      <t>（除商业、办公）</t>
    </r>
    <phoneticPr fontId="10" type="noConversion"/>
  </si>
  <si>
    <t>包含未完成的红线外市政工程时间（如现状三通，开发完成后七通）</t>
    <phoneticPr fontId="6" type="noConversion"/>
  </si>
  <si>
    <t>默认为已完成的土地开发期</t>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</si>
  <si>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</si>
  <si>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</si>
  <si>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6" type="noConversion"/>
  </si>
  <si>
    <t>总额</t>
    <phoneticPr fontId="6"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</si>
  <si>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6" type="noConversion"/>
  </si>
  <si>
    <r>
      <rPr>
        <sz val="11"/>
        <color theme="1"/>
        <rFont val="楷体_GB2312"/>
        <family val="3"/>
        <charset val="134"/>
      </rPr>
      <t>请录依据文件名称：</t>
    </r>
    <phoneticPr fontId="6" type="noConversion"/>
  </si>
  <si>
    <t>超出收益期的土地使用年限或建筑物价值折现计算</t>
    <phoneticPr fontId="6" type="noConversion"/>
  </si>
  <si>
    <t>建筑物结构</t>
    <phoneticPr fontId="6" type="noConversion"/>
  </si>
  <si>
    <t>建筑使用方向</t>
    <phoneticPr fontId="6" type="noConversion"/>
  </si>
  <si>
    <t>建成年代</t>
    <phoneticPr fontId="6" type="noConversion"/>
  </si>
  <si>
    <t>建筑物耐用年限</t>
    <phoneticPr fontId="6" type="noConversion"/>
  </si>
  <si>
    <t>建筑物剩余耐用年限</t>
    <phoneticPr fontId="6" type="noConversion"/>
  </si>
  <si>
    <t>土地使用年限</t>
    <phoneticPr fontId="6" type="noConversion"/>
  </si>
  <si>
    <t>非生产用房</t>
  </si>
  <si>
    <t>剩余土地使用年限</t>
    <phoneticPr fontId="6" type="noConversion"/>
  </si>
  <si>
    <t>比较法土地结果</t>
    <phoneticPr fontId="6" type="noConversion"/>
  </si>
  <si>
    <t>基准地价土地结果</t>
    <phoneticPr fontId="6" type="noConversion"/>
  </si>
  <si>
    <t>收益还原法土地结果</t>
    <phoneticPr fontId="6" type="noConversion"/>
  </si>
  <si>
    <t>建筑物计算</t>
    <phoneticPr fontId="6" type="noConversion"/>
  </si>
  <si>
    <t>土地使用权计算</t>
    <phoneticPr fontId="6" type="noConversion"/>
  </si>
  <si>
    <t>是否约定土地使用期结束后无偿收回房地产（非住宅）</t>
    <phoneticPr fontId="6" type="noConversion"/>
  </si>
  <si>
    <t>土地使用年限结束后建筑物耐用年期</t>
    <phoneticPr fontId="6" type="noConversion"/>
  </si>
  <si>
    <t>土地使用年限结束后建筑物成新度</t>
    <phoneticPr fontId="6" type="noConversion"/>
  </si>
  <si>
    <t>土地使用年限结束后建筑物现值</t>
    <phoneticPr fontId="6" type="noConversion"/>
  </si>
  <si>
    <t>建筑物剩余价值折现值</t>
    <phoneticPr fontId="6" type="noConversion"/>
  </si>
  <si>
    <t>建筑物耐用年限结束后剩余土地使用年限</t>
    <phoneticPr fontId="6" type="noConversion"/>
  </si>
  <si>
    <t>价值时点下的土地价值（土地购买价格）</t>
    <phoneticPr fontId="6" type="noConversion"/>
  </si>
  <si>
    <t>剩余土地使用年期下的土地年期修正系数</t>
    <phoneticPr fontId="6" type="noConversion"/>
  </si>
  <si>
    <t>建筑物剩余耐用年限下的土地年期修正系数</t>
    <phoneticPr fontId="6" type="noConversion"/>
  </si>
  <si>
    <t>剩余土地价值折现值</t>
    <phoneticPr fontId="6" type="noConversion"/>
  </si>
  <si>
    <t>结构类型</t>
  </si>
  <si>
    <t>生产用房</t>
  </si>
  <si>
    <t>受腐蚀的生产用房</t>
  </si>
  <si>
    <t>钢</t>
    <phoneticPr fontId="6" type="noConversion"/>
  </si>
  <si>
    <t>钢混</t>
    <phoneticPr fontId="6" type="noConversion"/>
  </si>
  <si>
    <t>砖混</t>
    <phoneticPr fontId="6" type="noConversion"/>
  </si>
  <si>
    <t>请选择所对应的收益法</t>
    <phoneticPr fontId="6" type="noConversion"/>
  </si>
  <si>
    <t>收益年期(总)</t>
    <phoneticPr fontId="6"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</si>
  <si>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</si>
  <si>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</si>
  <si>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</si>
  <si>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</si>
  <si>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</si>
  <si>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</si>
  <si>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</si>
  <si>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</si>
  <si>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</si>
  <si>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</si>
  <si>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6" type="noConversion"/>
  </si>
  <si>
    <t>(C)</t>
  </si>
  <si>
    <t>建筑物报酬率（%）</t>
    <phoneticPr fontId="6"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</si>
  <si>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</si>
  <si>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</si>
  <si>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</si>
  <si>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</si>
  <si>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</si>
  <si>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6"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</si>
  <si>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</si>
  <si>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</si>
  <si>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</si>
  <si>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</si>
  <si>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6" type="noConversion"/>
  </si>
  <si>
    <t>a</t>
  </si>
  <si>
    <t>房地纯收益（万元）</t>
    <phoneticPr fontId="6" type="noConversion"/>
  </si>
  <si>
    <t>b</t>
  </si>
  <si>
    <t>建筑物现值（万元）</t>
    <phoneticPr fontId="6"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</si>
  <si>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</si>
  <si>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6" type="noConversion"/>
  </si>
  <si>
    <t>收益期内收益价格（万元）</t>
    <phoneticPr fontId="6" type="noConversion"/>
  </si>
  <si>
    <t>建筑物在收益期结束时的价格折现到估价期日的价格（万元）</t>
    <phoneticPr fontId="6" type="noConversion"/>
  </si>
  <si>
    <t>建筑物重置价格（万元）</t>
    <phoneticPr fontId="6" type="noConversion"/>
  </si>
  <si>
    <t>收益价格（万元）</t>
    <phoneticPr fontId="6" type="noConversion"/>
  </si>
  <si>
    <t>收益期内收益价格（万元）</t>
    <phoneticPr fontId="6" type="noConversion"/>
  </si>
  <si>
    <t>计算建筑物剩余价格折现</t>
    <phoneticPr fontId="6"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</si>
  <si>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6" type="noConversion"/>
  </si>
  <si>
    <t>剩余土地价格折现到估价期日的价格（万元）</t>
    <phoneticPr fontId="6"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</si>
  <si>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6"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</si>
  <si>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6"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</si>
  <si>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6"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</si>
  <si>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6" type="noConversion"/>
  </si>
  <si>
    <t>(E)</t>
    <phoneticPr fontId="6" type="noConversion"/>
  </si>
  <si>
    <t>各因素幅度控制(±)</t>
    <phoneticPr fontId="6"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</si>
  <si>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6" type="noConversion"/>
  </si>
  <si>
    <t>土地还原率</t>
    <phoneticPr fontId="6" type="noConversion"/>
  </si>
  <si>
    <t>建筑物还原率</t>
    <phoneticPr fontId="6" type="noConversion"/>
  </si>
  <si>
    <t>Ⅷ-延1</t>
    <phoneticPr fontId="128" type="noConversion"/>
  </si>
  <si>
    <t>Ⅷ-延1</t>
    <phoneticPr fontId="128" type="noConversion"/>
  </si>
  <si>
    <t>宗地开发程度</t>
    <phoneticPr fontId="29" type="noConversion"/>
  </si>
  <si>
    <t>宗地开发程度</t>
    <phoneticPr fontId="6" type="noConversion"/>
  </si>
  <si>
    <t>建筑面积</t>
    <phoneticPr fontId="128" type="noConversion"/>
  </si>
  <si>
    <t>土地面积</t>
    <phoneticPr fontId="128" type="noConversion"/>
  </si>
  <si>
    <t>不含增值税，仅附加税</t>
    <phoneticPr fontId="32"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</si>
  <si>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</si>
  <si>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8"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</si>
  <si>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7" type="noConversion"/>
  </si>
  <si>
    <r>
      <rPr>
        <b/>
        <sz val="10"/>
        <rFont val="仿宋_GB2312"/>
        <family val="3"/>
        <charset val="134"/>
      </rPr>
      <t>前述</t>
    </r>
    <r>
      <rPr>
        <b/>
        <sz val="10"/>
        <rFont val="Arial"/>
        <family val="2"/>
      </rPr>
      <t>5</t>
    </r>
    <r>
      <rPr>
        <b/>
        <sz val="10"/>
        <rFont val="仿宋_GB2312"/>
        <family val="3"/>
        <charset val="134"/>
      </rPr>
      <t>项之和</t>
    </r>
    <phoneticPr fontId="44"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</si>
  <si>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6" type="noConversion"/>
  </si>
  <si>
    <r>
      <rPr>
        <b/>
        <sz val="10"/>
        <rFont val="仿宋_GB2312"/>
        <family val="3"/>
        <charset val="134"/>
      </rPr>
      <t>前述</t>
    </r>
    <r>
      <rPr>
        <b/>
        <sz val="10"/>
        <rFont val="Arial"/>
        <family val="2"/>
      </rPr>
      <t>6</t>
    </r>
    <r>
      <rPr>
        <b/>
        <sz val="10"/>
        <rFont val="仿宋_GB2312"/>
        <family val="3"/>
        <charset val="134"/>
      </rPr>
      <t>项之和</t>
    </r>
    <phoneticPr fontId="4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</si>
  <si>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6"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</si>
  <si>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</si>
  <si>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</si>
  <si>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6" type="noConversion"/>
  </si>
  <si>
    <t>出让金+开发费</t>
  </si>
  <si>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</si>
  <si>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</si>
  <si>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t>补偿费</t>
    <phoneticPr fontId="6" type="noConversion"/>
  </si>
  <si>
    <t>安置补助费</t>
    <phoneticPr fontId="6" type="noConversion"/>
  </si>
  <si>
    <t>土地平整费</t>
    <phoneticPr fontId="6" type="noConversion"/>
  </si>
  <si>
    <t>其他费用</t>
    <phoneticPr fontId="6" type="noConversion"/>
  </si>
  <si>
    <r>
      <rPr>
        <b/>
        <sz val="10"/>
        <rFont val="宋体"/>
        <family val="3"/>
        <charset val="134"/>
      </rPr>
      <t>（</t>
    </r>
    <r>
      <rPr>
        <b/>
        <sz val="10"/>
        <rFont val="Arial"/>
        <family val="2"/>
      </rPr>
      <t>3）</t>
    </r>
    <r>
      <rPr>
        <b/>
        <sz val="10"/>
        <rFont val="宋体"/>
        <family val="3"/>
        <charset val="134"/>
      </rPr>
      <t/>
    </r>
  </si>
  <si>
    <t>2）</t>
    <phoneticPr fontId="18" type="noConversion"/>
  </si>
  <si>
    <t>1）</t>
    <phoneticPr fontId="18" type="noConversion"/>
  </si>
  <si>
    <t>红线内土地开发费</t>
    <phoneticPr fontId="6" type="noConversion"/>
  </si>
  <si>
    <t>其他可计入土地开发费的费用</t>
    <phoneticPr fontId="6" type="noConversion"/>
  </si>
  <si>
    <t>红线外土地开发费</t>
    <phoneticPr fontId="6"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</si>
  <si>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6"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</si>
  <si>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2"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</si>
  <si>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8" type="noConversion"/>
  </si>
  <si>
    <t>个人住宅</t>
  </si>
  <si>
    <t>一年期存款利率</t>
    <phoneticPr fontId="6" type="noConversion"/>
  </si>
  <si>
    <t>贷款利息</t>
    <phoneticPr fontId="6" type="noConversion"/>
  </si>
  <si>
    <r>
      <rPr>
        <b/>
        <sz val="10"/>
        <color indexed="8"/>
        <rFont val="楷体_GB2312"/>
        <family val="3"/>
        <charset val="134"/>
      </rPr>
      <t>未来第一年年总收益</t>
    </r>
    <phoneticPr fontId="6" type="noConversion"/>
  </si>
  <si>
    <t>押金利息收入</t>
    <phoneticPr fontId="6" type="noConversion"/>
  </si>
  <si>
    <t>其他收入</t>
    <phoneticPr fontId="6" type="noConversion"/>
  </si>
  <si>
    <t>年租金收入+押金利息收入+其他收入</t>
    <phoneticPr fontId="6" type="noConversion"/>
  </si>
  <si>
    <t>租金×月数×（1-空置率）</t>
    <phoneticPr fontId="6" type="noConversion"/>
  </si>
  <si>
    <t>年租金收入（年经营收入）</t>
    <phoneticPr fontId="6" type="noConversion"/>
  </si>
  <si>
    <t>押金方式</t>
    <phoneticPr fontId="6" type="noConversion"/>
  </si>
  <si>
    <t>一年期存款利率</t>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</si>
  <si>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</si>
  <si>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</si>
  <si>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</si>
  <si>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</si>
  <si>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</si>
  <si>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</si>
  <si>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</si>
  <si>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</si>
  <si>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</si>
  <si>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</si>
  <si>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</si>
  <si>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</si>
  <si>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</si>
  <si>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</si>
  <si>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</si>
  <si>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</si>
  <si>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</si>
  <si>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</si>
  <si>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</si>
  <si>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</si>
  <si>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</si>
  <si>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</si>
  <si>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</si>
  <si>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</si>
  <si>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</si>
  <si>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</si>
  <si>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</si>
  <si>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天数</t>
    <phoneticPr fontId="6" type="noConversion"/>
  </si>
  <si>
    <t>——</t>
    <phoneticPr fontId="6" type="noConversion"/>
  </si>
  <si>
    <t>年收入</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</si>
  <si>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</si>
  <si>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</si>
  <si>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</si>
  <si>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</si>
  <si>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</si>
  <si>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间数</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</si>
  <si>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</si>
  <si>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</si>
  <si>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</si>
  <si>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</si>
  <si>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</si>
  <si>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</si>
  <si>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</si>
  <si>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</si>
  <si>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</si>
  <si>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</si>
  <si>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</si>
  <si>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</si>
  <si>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</si>
  <si>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</si>
  <si>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</si>
  <si>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</si>
  <si>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</si>
  <si>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</si>
  <si>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</si>
  <si>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</si>
  <si>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</si>
  <si>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</si>
  <si>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</si>
  <si>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</si>
  <si>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</si>
  <si>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</si>
  <si>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</si>
  <si>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</si>
  <si>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</si>
  <si>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</si>
  <si>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交易时间（按季度修正）</t>
    <phoneticPr fontId="6" type="noConversion"/>
  </si>
  <si>
    <t>交易时间（按季度调整）</t>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</si>
  <si>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</si>
  <si>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</si>
  <si>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</si>
  <si>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（1）</t>
    <phoneticPr fontId="6" type="noConversion"/>
  </si>
  <si>
    <t>租金收入</t>
    <phoneticPr fontId="6" type="noConversion"/>
  </si>
  <si>
    <t>基础设施水平</t>
    <phoneticPr fontId="17" type="noConversion"/>
  </si>
  <si>
    <t>七通</t>
    <phoneticPr fontId="17" type="noConversion"/>
  </si>
  <si>
    <t>六通</t>
    <phoneticPr fontId="17" type="noConversion"/>
  </si>
  <si>
    <t>五通</t>
    <phoneticPr fontId="17" type="noConversion"/>
  </si>
  <si>
    <t>四通</t>
    <phoneticPr fontId="17" type="noConversion"/>
  </si>
  <si>
    <t>三通</t>
    <phoneticPr fontId="17" type="noConversion"/>
  </si>
  <si>
    <t>公共配套设施</t>
    <phoneticPr fontId="17" type="noConversion"/>
  </si>
  <si>
    <t>公共配套设施</t>
    <phoneticPr fontId="24" type="noConversion"/>
  </si>
  <si>
    <t>基础设施水平</t>
    <phoneticPr fontId="24" type="noConversion"/>
  </si>
  <si>
    <t>公共配套设施</t>
    <phoneticPr fontId="29" type="noConversion"/>
  </si>
  <si>
    <t>基础设施水平</t>
    <phoneticPr fontId="29" type="noConversion"/>
  </si>
  <si>
    <t>基础设施水平</t>
    <phoneticPr fontId="29" type="noConversion"/>
  </si>
  <si>
    <t>七通</t>
    <phoneticPr fontId="29" type="noConversion"/>
  </si>
  <si>
    <t>六通</t>
    <phoneticPr fontId="29" type="noConversion"/>
  </si>
  <si>
    <t>五通</t>
    <phoneticPr fontId="29" type="noConversion"/>
  </si>
  <si>
    <t>四通</t>
    <phoneticPr fontId="29" type="noConversion"/>
  </si>
  <si>
    <t>三通</t>
    <phoneticPr fontId="29" type="noConversion"/>
  </si>
  <si>
    <t>市政基础设施</t>
    <phoneticPr fontId="6" type="noConversion"/>
  </si>
  <si>
    <t>公共配套设施</t>
    <phoneticPr fontId="6" type="noConversion"/>
  </si>
  <si>
    <t>基础设施水平</t>
    <phoneticPr fontId="24" type="noConversion"/>
  </si>
  <si>
    <t>七通</t>
    <phoneticPr fontId="24" type="noConversion"/>
  </si>
  <si>
    <t>六通</t>
    <phoneticPr fontId="24" type="noConversion"/>
  </si>
  <si>
    <t>五通</t>
    <phoneticPr fontId="24" type="noConversion"/>
  </si>
  <si>
    <t>四通</t>
    <phoneticPr fontId="24" type="noConversion"/>
  </si>
  <si>
    <t>三通</t>
    <phoneticPr fontId="24" type="noConversion"/>
  </si>
  <si>
    <t>市政基础设施</t>
    <phoneticPr fontId="24" type="noConversion"/>
  </si>
  <si>
    <t>市政基础设施</t>
    <phoneticPr fontId="29" type="noConversion"/>
  </si>
  <si>
    <t>分摊非经营性用途用房</t>
    <phoneticPr fontId="6" type="noConversion"/>
  </si>
  <si>
    <t>按面积比例分摊</t>
    <phoneticPr fontId="6" type="noConversion"/>
  </si>
  <si>
    <t>自定义分摊</t>
    <phoneticPr fontId="6" type="noConversion"/>
  </si>
  <si>
    <t>设备</t>
    <phoneticPr fontId="6" type="noConversion"/>
  </si>
  <si>
    <t>公共配套(住宅)</t>
    <phoneticPr fontId="6" type="noConversion"/>
  </si>
  <si>
    <t>合</t>
    <phoneticPr fontId="6" type="noConversion"/>
  </si>
  <si>
    <t>建筑面积（分摊设备）</t>
    <phoneticPr fontId="6" type="noConversion"/>
  </si>
  <si>
    <r>
      <t>（自定义押金）</t>
    </r>
    <r>
      <rPr>
        <b/>
        <i/>
        <sz val="10"/>
        <color rgb="FFFF0000"/>
        <rFont val="宋体"/>
        <family val="3"/>
        <charset val="134"/>
      </rPr>
      <t>单位：元</t>
    </r>
    <phoneticPr fontId="6" type="noConversion"/>
  </si>
  <si>
    <r>
      <t>1</t>
    </r>
    <r>
      <rPr>
        <sz val="12"/>
        <color indexed="8"/>
        <rFont val="仿宋_GB2312"/>
        <family val="3"/>
        <charset val="134"/>
      </rPr>
      <t>.本《评估意见函》中所列估价结果为初评结果，准确金额以本公司出具的正式《土地估价报告》为准。</t>
    </r>
    <phoneticPr fontId="140"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</si>
  <si>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</si>
  <si>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</si>
  <si>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</si>
  <si>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</si>
  <si>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6" type="noConversion"/>
  </si>
  <si>
    <t>2017-2</t>
    <phoneticPr fontId="6" type="noConversion"/>
  </si>
  <si>
    <t>2017-1</t>
    <phoneticPr fontId="6"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</si>
  <si>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</si>
  <si>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</si>
  <si>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</si>
  <si>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</si>
  <si>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</si>
  <si>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</si>
  <si>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</si>
  <si>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</si>
  <si>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</si>
  <si>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</si>
  <si>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</si>
  <si>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</si>
  <si>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</si>
  <si>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</si>
  <si>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</si>
  <si>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</si>
  <si>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</si>
  <si>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</si>
  <si>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</si>
  <si>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</si>
  <si>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</si>
  <si>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</si>
  <si>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</si>
  <si>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</si>
  <si>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</si>
  <si>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</si>
  <si>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</si>
  <si>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</si>
  <si>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</si>
  <si>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</si>
  <si>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</si>
  <si>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</si>
  <si>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</si>
  <si>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</si>
  <si>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</si>
  <si>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</si>
  <si>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</si>
  <si>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</si>
  <si>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</si>
  <si>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</si>
  <si>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</si>
  <si>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</si>
  <si>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</si>
  <si>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</si>
  <si>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</si>
  <si>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</si>
  <si>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</si>
  <si>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</si>
  <si>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</si>
  <si>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</si>
  <si>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</si>
  <si>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</si>
  <si>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</si>
  <si>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</si>
  <si>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</si>
  <si>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</si>
  <si>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</si>
  <si>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基准季度</t>
    <phoneticPr fontId="231" type="noConversion"/>
  </si>
  <si>
    <r>
      <rPr>
        <sz val="11"/>
        <color indexed="8"/>
        <rFont val="楷体_GB2312"/>
        <family val="3"/>
        <charset val="134"/>
      </rPr>
      <t>商业</t>
    </r>
    <phoneticPr fontId="6" type="noConversion"/>
  </si>
  <si>
    <r>
      <rPr>
        <sz val="11"/>
        <color indexed="8"/>
        <rFont val="楷体_GB2312"/>
        <family val="3"/>
        <charset val="134"/>
      </rPr>
      <t>工业</t>
    </r>
    <phoneticPr fontId="6" type="noConversion"/>
  </si>
  <si>
    <t>平均增幅</t>
    <phoneticPr fontId="231" type="noConversion"/>
  </si>
  <si>
    <t>自定义涨幅</t>
    <phoneticPr fontId="128" type="noConversion"/>
  </si>
  <si>
    <t>季度增幅</t>
    <phoneticPr fontId="128"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</si>
  <si>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9" type="noConversion"/>
  </si>
  <si>
    <t>综合</t>
  </si>
  <si>
    <t>综合</t>
    <phoneticPr fontId="128" type="noConversion"/>
  </si>
  <si>
    <t>工业</t>
    <phoneticPr fontId="31" type="noConversion"/>
  </si>
  <si>
    <t>平均季度涨幅（公示）</t>
    <phoneticPr fontId="128" type="noConversion"/>
  </si>
  <si>
    <t>万元</t>
    <phoneticPr fontId="6" type="noConversion"/>
  </si>
  <si>
    <r>
      <t>1 .</t>
    </r>
    <r>
      <rPr>
        <b/>
        <sz val="12"/>
        <color indexed="8"/>
        <rFont val="仿宋_GB2312"/>
        <family val="3"/>
        <charset val="134"/>
      </rPr>
      <t>不动产总价</t>
    </r>
    <phoneticPr fontId="17" type="noConversion"/>
  </si>
  <si>
    <t>11111111111</t>
    <phoneticPr fontId="140" type="noConversion"/>
  </si>
  <si>
    <t>京国土字第111号</t>
    <phoneticPr fontId="140" type="noConversion"/>
  </si>
  <si>
    <t>中信开发</t>
    <phoneticPr fontId="140"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</si>
  <si>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</si>
  <si>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</si>
  <si>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</si>
  <si>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</si>
  <si>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2" type="noConversion"/>
  </si>
  <si>
    <t>封皮-委托估价方</t>
    <phoneticPr fontId="242" type="noConversion"/>
  </si>
  <si>
    <t>封皮-土地估价师</t>
    <phoneticPr fontId="242" type="noConversion"/>
  </si>
  <si>
    <t>封皮-土地估价报告编号</t>
    <phoneticPr fontId="242"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</si>
  <si>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</si>
  <si>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</si>
  <si>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</si>
  <si>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</si>
  <si>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</si>
  <si>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</si>
  <si>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</si>
  <si>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</si>
  <si>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</si>
  <si>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</si>
  <si>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</si>
  <si>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</si>
  <si>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</si>
  <si>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</si>
  <si>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2"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</si>
  <si>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</si>
  <si>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</si>
  <si>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</si>
  <si>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</si>
  <si>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</si>
  <si>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</si>
  <si>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</si>
  <si>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</si>
  <si>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</si>
  <si>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</si>
  <si>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</si>
  <si>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</si>
  <si>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</si>
  <si>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</si>
  <si>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</si>
  <si>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</si>
  <si>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</si>
  <si>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</si>
  <si>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</si>
  <si>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</si>
  <si>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</si>
  <si>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</si>
  <si>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</si>
  <si>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40" type="noConversion"/>
  </si>
  <si>
    <t xml:space="preserve">  年   月   日</t>
    <phoneticPr fontId="140" type="noConversion"/>
  </si>
  <si>
    <t xml:space="preserve">  年   月   日</t>
    <phoneticPr fontId="140" type="noConversion"/>
  </si>
  <si>
    <t>致函-委托事项</t>
    <phoneticPr fontId="242" type="noConversion"/>
  </si>
  <si>
    <r>
      <t>金融机构</t>
    </r>
    <r>
      <rPr>
        <sz val="10"/>
        <color indexed="8"/>
        <rFont val="仿宋_GB2312"/>
        <family val="3"/>
        <charset val="134"/>
      </rPr>
      <t>(贷款方)</t>
    </r>
    <phoneticPr fontId="6" type="noConversion"/>
  </si>
  <si>
    <t>借款方</t>
    <phoneticPr fontId="9" type="noConversion"/>
  </si>
  <si>
    <t>致函-估价目的</t>
    <phoneticPr fontId="231" type="noConversion"/>
  </si>
  <si>
    <t>致函-估价结果-表-使用者</t>
    <phoneticPr fontId="242" type="noConversion"/>
  </si>
  <si>
    <t>致函-估价结果-表-地号</t>
    <phoneticPr fontId="242" type="noConversion"/>
  </si>
  <si>
    <t>致函-估价结果-表-权属证号</t>
    <phoneticPr fontId="242" type="noConversion"/>
  </si>
  <si>
    <t>致函-估价结果-表-用途-1</t>
    <phoneticPr fontId="242" type="noConversion"/>
  </si>
  <si>
    <t>致函-估价结果-表-用途-2</t>
  </si>
  <si>
    <t>致函-估价结果-表-用途-3</t>
  </si>
  <si>
    <t>致函-估价结果-表-容积率-1</t>
    <phoneticPr fontId="242" type="noConversion"/>
  </si>
  <si>
    <t>致函-估价结果-表-容积率-2</t>
  </si>
  <si>
    <t>致函-估价结果-表-容积率-3</t>
  </si>
  <si>
    <t>致函-估价结果-表-开发程度-1</t>
    <phoneticPr fontId="242" type="noConversion"/>
  </si>
  <si>
    <t>致函-估价结果-表-开发程度-2</t>
  </si>
  <si>
    <t>致函-估价结果-表-年限</t>
    <phoneticPr fontId="242" type="noConversion"/>
  </si>
  <si>
    <t>致函-估价结果-表-土地</t>
    <phoneticPr fontId="242" type="noConversion"/>
  </si>
  <si>
    <t>致函-估价结果-表-建筑</t>
    <phoneticPr fontId="242" type="noConversion"/>
  </si>
  <si>
    <t>致函-估价结果-表-地面价</t>
    <phoneticPr fontId="242" type="noConversion"/>
  </si>
  <si>
    <t>致函-估价结果-表-楼面价</t>
    <phoneticPr fontId="242" type="noConversion"/>
  </si>
  <si>
    <t>致函-估价结果-表-总额</t>
    <phoneticPr fontId="242" type="noConversion"/>
  </si>
  <si>
    <t>致函-估价结果-表-抵押</t>
    <phoneticPr fontId="242" type="noConversion"/>
  </si>
  <si>
    <t>致函-估价结果-表-已注</t>
    <phoneticPr fontId="242" type="noConversion"/>
  </si>
  <si>
    <t>致函-估价结果-表-净值</t>
    <phoneticPr fontId="242" type="noConversion"/>
  </si>
  <si>
    <t>致函-限定条件-4</t>
  </si>
  <si>
    <t>2.估价师知悉的法定优先受偿款</t>
  </si>
  <si>
    <r>
      <t>宗地编号</t>
    </r>
    <r>
      <rPr>
        <i/>
        <sz val="10.5"/>
        <color theme="9" tint="-0.249977111117893"/>
        <rFont val="仿宋_GB2312"/>
        <family val="3"/>
        <charset val="134"/>
      </rPr>
      <t>/不动产单元号</t>
    </r>
    <phoneticPr fontId="140" type="noConversion"/>
  </si>
  <si>
    <t>（剩余）土地使用年限/年</t>
    <phoneticPr fontId="140" type="noConversion"/>
  </si>
  <si>
    <t>致函-估价结果-表-使用者(标题）</t>
    <phoneticPr fontId="242" type="noConversion"/>
  </si>
  <si>
    <t>致函-估价结果-表-地号(标题）</t>
    <phoneticPr fontId="242" type="noConversion"/>
  </si>
  <si>
    <t>土地使用证编号/不动产权证书编号</t>
    <phoneticPr fontId="140" type="noConversion"/>
  </si>
  <si>
    <t>致函-估价结果-表-宗地名称</t>
    <phoneticPr fontId="242" type="noConversion"/>
  </si>
  <si>
    <t>致函-估价结果-表-权属证号(标题）</t>
    <phoneticPr fontId="242" type="noConversion"/>
  </si>
  <si>
    <t>致函-估价结果-表-年限(标题）</t>
    <phoneticPr fontId="242" type="noConversion"/>
  </si>
  <si>
    <t>致函-估价结果-表-土地(标题）</t>
    <phoneticPr fontId="242" type="noConversion"/>
  </si>
  <si>
    <t>致函-估价结果-表-建筑(标题）</t>
    <phoneticPr fontId="242" type="noConversion"/>
  </si>
  <si>
    <t>致函-估价结果-表-抵押（名称）</t>
    <phoneticPr fontId="242" type="noConversion"/>
  </si>
  <si>
    <t>致函-估价结果-表-已注（名称）</t>
    <phoneticPr fontId="242" type="noConversion"/>
  </si>
  <si>
    <t>致函-估价结果-表-净值（名称）</t>
    <phoneticPr fontId="242" type="noConversion"/>
  </si>
  <si>
    <r>
      <t>实际</t>
    </r>
    <r>
      <rPr>
        <i/>
        <sz val="10.5"/>
        <color theme="3" tint="0.39997558519241921"/>
        <rFont val="仿宋_GB2312"/>
        <family val="3"/>
        <charset val="134"/>
      </rPr>
      <t>（证载）</t>
    </r>
    <phoneticPr fontId="140" type="noConversion"/>
  </si>
  <si>
    <r>
      <t>实际</t>
    </r>
    <r>
      <rPr>
        <i/>
        <sz val="10.5"/>
        <color theme="3" tint="0.39997558519241921"/>
        <rFont val="仿宋_GB2312"/>
        <family val="3"/>
        <charset val="134"/>
      </rPr>
      <t>（工程规划）</t>
    </r>
    <phoneticPr fontId="140" type="noConversion"/>
  </si>
  <si>
    <t>（3）。</t>
    <phoneticPr fontId="140" type="noConversion"/>
  </si>
  <si>
    <t xml:space="preserve">简述项目推广名，项目类型（用途），估价对象分布，各用途面积明细情况：XX用途建筑面积XX平方米，XX用途建筑面积XX平方米，……。复杂面积清单需设‘附表’列示：抵押物清单详见附表。        </t>
    <phoneticPr fontId="6"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</si>
  <si>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40" type="noConversion"/>
  </si>
  <si>
    <t>本次估价对象国有建设用地使用权类型为储备，无土地使用年限限制。</t>
  </si>
  <si>
    <t>储备-补1</t>
    <phoneticPr fontId="242"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</si>
  <si>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</si>
  <si>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</si>
  <si>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</si>
  <si>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9" type="noConversion"/>
  </si>
  <si>
    <t>个别因素</t>
    <phoneticPr fontId="29" type="noConversion"/>
  </si>
  <si>
    <r>
      <rPr>
        <b/>
        <sz val="11"/>
        <color indexed="8"/>
        <rFont val="仿宋_GB2312"/>
        <family val="3"/>
        <charset val="134"/>
      </rPr>
      <t>用途</t>
    </r>
    <phoneticPr fontId="6" type="noConversion"/>
  </si>
  <si>
    <r>
      <rPr>
        <b/>
        <sz val="11"/>
        <color indexed="8"/>
        <rFont val="仿宋_GB2312"/>
        <family val="3"/>
        <charset val="134"/>
      </rPr>
      <t>土地使用年限（年）</t>
    </r>
    <phoneticPr fontId="6" type="noConversion"/>
  </si>
  <si>
    <r>
      <rPr>
        <b/>
        <sz val="11"/>
        <color indexed="8"/>
        <rFont val="仿宋_GB2312"/>
        <family val="3"/>
        <charset val="134"/>
      </rPr>
      <t>容积率</t>
    </r>
    <phoneticPr fontId="6" type="noConversion"/>
  </si>
  <si>
    <r>
      <rPr>
        <b/>
        <sz val="11"/>
        <color indexed="8"/>
        <rFont val="仿宋_GB2312"/>
        <family val="3"/>
        <charset val="134"/>
      </rPr>
      <t>配建</t>
    </r>
    <phoneticPr fontId="29"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</si>
  <si>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</si>
  <si>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t>楼层修正</t>
  </si>
  <si>
    <t>商业多楼层</t>
    <phoneticPr fontId="128" type="noConversion"/>
  </si>
  <si>
    <t>楼层修正系数</t>
    <phoneticPr fontId="128" type="noConversion"/>
  </si>
  <si>
    <r>
      <t>商业R</t>
    </r>
    <r>
      <rPr>
        <sz val="10"/>
        <color indexed="8"/>
        <rFont val="仿宋_GB2312"/>
        <family val="3"/>
        <charset val="134"/>
      </rPr>
      <t>≥</t>
    </r>
    <r>
      <rPr>
        <sz val="10"/>
        <color indexed="8"/>
        <rFont val="宋体"/>
        <family val="3"/>
        <charset val="134"/>
      </rPr>
      <t>1</t>
    </r>
    <phoneticPr fontId="128" type="noConversion"/>
  </si>
  <si>
    <r>
      <rPr>
        <sz val="10"/>
        <rFont val="仿宋_GB2312"/>
        <family val="3"/>
        <charset val="134"/>
      </rPr>
      <t>估价对象级别</t>
    </r>
    <phoneticPr fontId="128" type="noConversion"/>
  </si>
  <si>
    <r>
      <rPr>
        <sz val="10"/>
        <rFont val="仿宋_GB2312"/>
        <family val="3"/>
        <charset val="134"/>
      </rPr>
      <t>容积率</t>
    </r>
    <phoneticPr fontId="128" type="noConversion"/>
  </si>
  <si>
    <r>
      <rPr>
        <sz val="10"/>
        <color theme="1"/>
        <rFont val="宋体"/>
        <family val="3"/>
        <charset val="134"/>
      </rPr>
      <t>一级</t>
    </r>
    <phoneticPr fontId="128" type="noConversion"/>
  </si>
  <si>
    <r>
      <rPr>
        <sz val="10"/>
        <color theme="1"/>
        <rFont val="宋体"/>
        <family val="3"/>
        <charset val="134"/>
      </rPr>
      <t>二级</t>
    </r>
    <phoneticPr fontId="128" type="noConversion"/>
  </si>
  <si>
    <r>
      <rPr>
        <sz val="10"/>
        <color theme="1"/>
        <rFont val="宋体"/>
        <family val="3"/>
        <charset val="134"/>
      </rPr>
      <t>三级</t>
    </r>
    <phoneticPr fontId="128" type="noConversion"/>
  </si>
  <si>
    <r>
      <rPr>
        <sz val="10"/>
        <color theme="1"/>
        <rFont val="宋体"/>
        <family val="3"/>
        <charset val="134"/>
      </rPr>
      <t>四级</t>
    </r>
    <phoneticPr fontId="128" type="noConversion"/>
  </si>
  <si>
    <r>
      <rPr>
        <sz val="10"/>
        <color theme="1"/>
        <rFont val="宋体"/>
        <family val="3"/>
        <charset val="134"/>
      </rPr>
      <t>五级</t>
    </r>
    <phoneticPr fontId="128" type="noConversion"/>
  </si>
  <si>
    <r>
      <rPr>
        <sz val="10"/>
        <color theme="1"/>
        <rFont val="宋体"/>
        <family val="3"/>
        <charset val="134"/>
      </rPr>
      <t>六级</t>
    </r>
    <phoneticPr fontId="128" type="noConversion"/>
  </si>
  <si>
    <r>
      <rPr>
        <sz val="10"/>
        <color theme="1"/>
        <rFont val="宋体"/>
        <family val="3"/>
        <charset val="134"/>
      </rPr>
      <t>七级</t>
    </r>
    <phoneticPr fontId="128" type="noConversion"/>
  </si>
  <si>
    <r>
      <rPr>
        <sz val="10"/>
        <color theme="1"/>
        <rFont val="宋体"/>
        <family val="3"/>
        <charset val="134"/>
      </rPr>
      <t>八级</t>
    </r>
    <phoneticPr fontId="128" type="noConversion"/>
  </si>
  <si>
    <r>
      <rPr>
        <sz val="10"/>
        <color theme="1"/>
        <rFont val="宋体"/>
        <family val="3"/>
        <charset val="134"/>
      </rPr>
      <t>九级</t>
    </r>
    <phoneticPr fontId="128" type="noConversion"/>
  </si>
  <si>
    <r>
      <rPr>
        <sz val="10"/>
        <color theme="1"/>
        <rFont val="宋体"/>
        <family val="3"/>
        <charset val="134"/>
      </rPr>
      <t>十级</t>
    </r>
    <phoneticPr fontId="128" type="noConversion"/>
  </si>
  <si>
    <r>
      <rPr>
        <sz val="10"/>
        <color theme="1"/>
        <rFont val="宋体"/>
        <family val="3"/>
        <charset val="134"/>
      </rPr>
      <t>十一级</t>
    </r>
    <phoneticPr fontId="128" type="noConversion"/>
  </si>
  <si>
    <r>
      <rPr>
        <sz val="10"/>
        <color theme="1"/>
        <rFont val="宋体"/>
        <family val="3"/>
        <charset val="134"/>
      </rPr>
      <t>十二级</t>
    </r>
    <phoneticPr fontId="128"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</si>
  <si>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8" type="noConversion"/>
  </si>
  <si>
    <r>
      <t>7</t>
    </r>
    <r>
      <rPr>
        <sz val="10"/>
        <color theme="1"/>
        <rFont val="宋体"/>
        <family val="3"/>
        <charset val="134"/>
      </rPr>
      <t>层及以上</t>
    </r>
    <phoneticPr fontId="128" type="noConversion"/>
  </si>
  <si>
    <r>
      <rPr>
        <sz val="10"/>
        <rFont val="仿宋_GB2312"/>
        <family val="3"/>
        <charset val="134"/>
      </rPr>
      <t>商业</t>
    </r>
    <r>
      <rPr>
        <sz val="10"/>
        <rFont val="Arial"/>
        <family val="2"/>
      </rPr>
      <t>R&lt;1</t>
    </r>
    <phoneticPr fontId="128"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</si>
  <si>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8" type="noConversion"/>
  </si>
  <si>
    <t>容积率             级别</t>
    <phoneticPr fontId="128" type="noConversion"/>
  </si>
  <si>
    <t>楼面熟地单价</t>
    <phoneticPr fontId="128" type="noConversion"/>
  </si>
  <si>
    <t>层面积</t>
    <phoneticPr fontId="128" type="noConversion"/>
  </si>
  <si>
    <t>总额</t>
    <phoneticPr fontId="128" type="noConversion"/>
  </si>
  <si>
    <t>致函-其他专业人员</t>
    <phoneticPr fontId="242" type="noConversion"/>
  </si>
  <si>
    <t>价值时点</t>
    <phoneticPr fontId="6" type="noConversion"/>
  </si>
  <si>
    <t>贷款利率</t>
    <phoneticPr fontId="6" type="noConversion"/>
  </si>
  <si>
    <t>贷款利率</t>
    <phoneticPr fontId="231" type="noConversion"/>
  </si>
  <si>
    <t>存款利率</t>
    <phoneticPr fontId="231"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</si>
  <si>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</si>
  <si>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</si>
  <si>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</si>
  <si>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</si>
  <si>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</si>
  <si>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</si>
  <si>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</si>
  <si>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</si>
  <si>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</si>
  <si>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</si>
  <si>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</si>
  <si>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</si>
  <si>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</si>
  <si>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</si>
  <si>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</si>
  <si>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</si>
  <si>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</si>
  <si>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</si>
  <si>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</si>
  <si>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</si>
  <si>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</si>
  <si>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</si>
  <si>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</si>
  <si>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</si>
  <si>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</si>
  <si>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</si>
  <si>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</si>
  <si>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项目开发期</t>
    <phoneticPr fontId="231" type="noConversion"/>
  </si>
  <si>
    <t>1年期存款利率</t>
    <phoneticPr fontId="6" type="noConversion"/>
  </si>
  <si>
    <t>土地开发期</t>
    <phoneticPr fontId="231" type="noConversion"/>
  </si>
  <si>
    <t>不动产未来第一年净收益</t>
    <phoneticPr fontId="6" type="noConversion"/>
  </si>
  <si>
    <r>
      <t>建筑物重置价格（P</t>
    </r>
    <r>
      <rPr>
        <vertAlign val="subscript"/>
        <sz val="10"/>
        <color indexed="8"/>
        <rFont val="仿宋_GB2312"/>
        <family val="3"/>
        <charset val="134"/>
      </rPr>
      <t>建</t>
    </r>
    <r>
      <rPr>
        <sz val="10"/>
        <color indexed="8"/>
        <rFont val="仿宋_GB2312"/>
        <family val="3"/>
        <charset val="134"/>
      </rPr>
      <t>）</t>
    </r>
    <phoneticPr fontId="6" type="noConversion"/>
  </si>
  <si>
    <t>折现价格</t>
    <phoneticPr fontId="6" type="noConversion"/>
  </si>
  <si>
    <t>建筑物重置价格</t>
    <phoneticPr fontId="6" type="noConversion"/>
  </si>
  <si>
    <t>建筑物重置价格</t>
    <phoneticPr fontId="6" type="noConversion"/>
  </si>
  <si>
    <t>租约外不动产总价</t>
    <phoneticPr fontId="6" type="noConversion"/>
  </si>
  <si>
    <t>工程进度</t>
  </si>
  <si>
    <r>
      <t>P</t>
    </r>
    <r>
      <rPr>
        <b/>
        <vertAlign val="subscript"/>
        <sz val="11"/>
        <color indexed="8"/>
        <rFont val="仿宋_GB2312"/>
        <family val="3"/>
        <charset val="134"/>
      </rPr>
      <t>土</t>
    </r>
    <phoneticPr fontId="17" type="noConversion"/>
  </si>
  <si>
    <r>
      <t>P</t>
    </r>
    <r>
      <rPr>
        <b/>
        <vertAlign val="subscript"/>
        <sz val="11"/>
        <color indexed="8"/>
        <rFont val="仿宋_GB2312"/>
        <family val="3"/>
        <charset val="134"/>
      </rPr>
      <t>建</t>
    </r>
    <phoneticPr fontId="44" type="noConversion"/>
  </si>
  <si>
    <t>投资利润</t>
    <phoneticPr fontId="17" type="noConversion"/>
  </si>
  <si>
    <t>投资利润</t>
    <phoneticPr fontId="17" type="noConversion"/>
  </si>
  <si>
    <t>（10）</t>
    <phoneticPr fontId="18" type="noConversion"/>
  </si>
  <si>
    <t>管理费用</t>
    <phoneticPr fontId="17" type="noConversion"/>
  </si>
  <si>
    <t>购地税费</t>
    <phoneticPr fontId="17" type="noConversion"/>
  </si>
  <si>
    <t>投资利息</t>
    <phoneticPr fontId="17" type="noConversion"/>
  </si>
  <si>
    <r>
      <rPr>
        <b/>
        <sz val="10"/>
        <color indexed="8"/>
        <rFont val="楷体_GB2312"/>
        <family val="3"/>
        <charset val="134"/>
      </rPr>
      <t>销售费用</t>
    </r>
    <phoneticPr fontId="17"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</si>
  <si>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7" type="noConversion"/>
  </si>
  <si>
    <t>（1）-（5）项及销售费用产生的利息</t>
    <phoneticPr fontId="6"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</si>
  <si>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7" type="noConversion"/>
  </si>
  <si>
    <t>基准日地价指数</t>
    <phoneticPr fontId="6" type="noConversion"/>
  </si>
  <si>
    <t>所在季度地价指数</t>
    <phoneticPr fontId="6"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</si>
  <si>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</si>
  <si>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</si>
  <si>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</si>
  <si>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</si>
  <si>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</si>
  <si>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</si>
  <si>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</si>
  <si>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</si>
  <si>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</si>
  <si>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</si>
  <si>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</si>
  <si>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</si>
  <si>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</si>
  <si>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</si>
  <si>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</si>
  <si>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</si>
  <si>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</si>
  <si>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</si>
  <si>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</si>
  <si>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</si>
  <si>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</si>
  <si>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</si>
  <si>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</si>
  <si>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</si>
  <si>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</si>
  <si>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</si>
  <si>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</si>
  <si>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</si>
  <si>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</si>
  <si>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</si>
  <si>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</si>
  <si>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</si>
  <si>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</si>
  <si>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</si>
  <si>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6"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</si>
  <si>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</si>
  <si>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</si>
  <si>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6" type="noConversion"/>
  </si>
  <si>
    <t>评估费</t>
  </si>
  <si>
    <t>拍卖费</t>
  </si>
  <si>
    <t>土地抵押价格</t>
    <phoneticPr fontId="11" type="noConversion"/>
  </si>
  <si>
    <t>个人非住宅</t>
  </si>
  <si>
    <r>
      <rPr>
        <sz val="10"/>
        <color indexed="8"/>
        <rFont val="仿宋_GB2312"/>
        <family val="3"/>
        <charset val="134"/>
      </rPr>
      <t>合计</t>
    </r>
    <phoneticPr fontId="11" type="noConversion"/>
  </si>
  <si>
    <r>
      <rPr>
        <sz val="10"/>
        <color indexed="8"/>
        <rFont val="仿宋_GB2312"/>
        <family val="3"/>
        <charset val="134"/>
      </rPr>
      <t>抵押净值</t>
    </r>
    <phoneticPr fontId="11" type="noConversion"/>
  </si>
  <si>
    <r>
      <rPr>
        <sz val="10"/>
        <color indexed="8"/>
        <rFont val="仿宋_GB2312"/>
        <family val="3"/>
        <charset val="134"/>
      </rPr>
      <t>抵押净值单价</t>
    </r>
    <phoneticPr fontId="11" type="noConversion"/>
  </si>
  <si>
    <r>
      <rPr>
        <b/>
        <sz val="10"/>
        <color indexed="8"/>
        <rFont val="仿宋_GB2312"/>
        <family val="3"/>
        <charset val="134"/>
      </rPr>
      <t>处置时需缴纳的相关税费</t>
    </r>
    <phoneticPr fontId="12" type="noConversion"/>
  </si>
  <si>
    <t>土地估价师</t>
  </si>
  <si>
    <t>《国有土地使用证》[]</t>
    <phoneticPr fontId="9" type="noConversion"/>
  </si>
  <si>
    <t>《国有建设用地使用权出让合同》[]及附件、《北京市规划委员会关于同意XX项目的规划设计方案的规划意见复函》[]以及《建设工程规划许可证》[]</t>
    <phoneticPr fontId="9" type="noConversion"/>
  </si>
  <si>
    <t>《国有土地使用证》[]</t>
    <phoneticPr fontId="6" type="noConversion"/>
  </si>
  <si>
    <t>虚线以上为必填</t>
    <phoneticPr fontId="9" type="noConversion"/>
  </si>
  <si>
    <r>
      <rPr>
        <sz val="10"/>
        <color theme="1"/>
        <rFont val="楷体_GB2312"/>
        <family val="3"/>
        <charset val="134"/>
      </rPr>
      <t>范围：</t>
    </r>
    <r>
      <rPr>
        <sz val="10"/>
        <color theme="1"/>
        <rFont val="Arial"/>
        <family val="2"/>
      </rPr>
      <t>3%-5%</t>
    </r>
    <phoneticPr fontId="6" type="noConversion"/>
  </si>
  <si>
    <r>
      <rPr>
        <sz val="10"/>
        <color theme="1"/>
        <rFont val="楷体_GB2312"/>
        <family val="3"/>
        <charset val="134"/>
      </rPr>
      <t>范围：</t>
    </r>
    <r>
      <rPr>
        <sz val="10"/>
        <color theme="1"/>
        <rFont val="Arial"/>
        <family val="2"/>
      </rPr>
      <t>0-10%</t>
    </r>
    <phoneticPr fontId="6" type="noConversion"/>
  </si>
  <si>
    <r>
      <rPr>
        <sz val="10"/>
        <color theme="1"/>
        <rFont val="楷体_GB2312"/>
        <family val="3"/>
        <charset val="134"/>
      </rPr>
      <t>变化</t>
    </r>
    <phoneticPr fontId="6" type="noConversion"/>
  </si>
  <si>
    <r>
      <rPr>
        <sz val="10"/>
        <color theme="1"/>
        <rFont val="楷体_GB2312"/>
        <family val="3"/>
        <charset val="134"/>
      </rPr>
      <t>定值：</t>
    </r>
    <r>
      <rPr>
        <sz val="10"/>
        <color theme="1"/>
        <rFont val="Arial"/>
        <family val="2"/>
      </rPr>
      <t>1.5%</t>
    </r>
    <phoneticPr fontId="6" type="noConversion"/>
  </si>
  <si>
    <r>
      <rPr>
        <sz val="10"/>
        <color theme="1"/>
        <rFont val="楷体_GB2312"/>
        <family val="3"/>
        <charset val="134"/>
      </rPr>
      <t>范围：</t>
    </r>
    <r>
      <rPr>
        <sz val="10"/>
        <color theme="1"/>
        <rFont val="Arial"/>
        <family val="2"/>
      </rPr>
      <t>1%-3%</t>
    </r>
    <phoneticPr fontId="6"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</si>
  <si>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6" type="noConversion"/>
  </si>
  <si>
    <r>
      <rPr>
        <sz val="11"/>
        <color theme="1"/>
        <rFont val="楷体_GB2312"/>
        <family val="3"/>
        <charset val="134"/>
      </rPr>
      <t>北京：</t>
    </r>
    <r>
      <rPr>
        <sz val="11"/>
        <color theme="1"/>
        <rFont val="Arial"/>
        <family val="2"/>
      </rPr>
      <t>3%</t>
    </r>
    <phoneticPr fontId="6" type="noConversion"/>
  </si>
  <si>
    <r>
      <rPr>
        <sz val="11"/>
        <color theme="1"/>
        <rFont val="楷体_GB2312"/>
        <family val="3"/>
        <charset val="134"/>
      </rPr>
      <t>北京：</t>
    </r>
    <r>
      <rPr>
        <sz val="11"/>
        <color theme="1"/>
        <rFont val="Arial"/>
        <family val="2"/>
      </rPr>
      <t>2%</t>
    </r>
    <phoneticPr fontId="6" type="noConversion"/>
  </si>
  <si>
    <t>请录依据文件名称：</t>
    <phoneticPr fontId="6" type="noConversion"/>
  </si>
  <si>
    <r>
      <rPr>
        <sz val="11"/>
        <color indexed="8"/>
        <rFont val="楷体_GB2312"/>
        <family val="3"/>
        <charset val="134"/>
      </rPr>
      <t>北京：</t>
    </r>
    <r>
      <rPr>
        <sz val="11"/>
        <color indexed="8"/>
        <rFont val="Arial"/>
        <family val="2"/>
      </rPr>
      <t>3%</t>
    </r>
    <phoneticPr fontId="6" type="noConversion"/>
  </si>
  <si>
    <r>
      <rPr>
        <sz val="11"/>
        <color indexed="8"/>
        <rFont val="楷体_GB2312"/>
        <family val="3"/>
        <charset val="134"/>
      </rPr>
      <t>北京：</t>
    </r>
    <r>
      <rPr>
        <sz val="11"/>
        <color indexed="8"/>
        <rFont val="Arial"/>
        <family val="2"/>
      </rPr>
      <t>0.05%</t>
    </r>
    <phoneticPr fontId="6" type="noConversion"/>
  </si>
  <si>
    <t>北京</t>
    <phoneticPr fontId="6" type="noConversion"/>
  </si>
  <si>
    <t>其他省市请录依据文件名称：</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</si>
  <si>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</si>
  <si>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</si>
  <si>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</si>
  <si>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</si>
  <si>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</si>
  <si>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</si>
  <si>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</si>
  <si>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</si>
  <si>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</si>
  <si>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</si>
  <si>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r>
      <rPr>
        <sz val="11"/>
        <color theme="9" tint="-0.249977111117893"/>
        <rFont val="仿宋_GB2312"/>
        <family val="3"/>
        <charset val="134"/>
      </rPr>
      <t>估价对象所在区域基础设施水平</t>
    </r>
    <phoneticPr fontId="6" type="noConversion"/>
  </si>
  <si>
    <r>
      <rPr>
        <sz val="11"/>
        <color theme="9" tint="-0.249977111117893"/>
        <rFont val="仿宋_GB2312"/>
        <family val="3"/>
        <charset val="134"/>
      </rPr>
      <t>区域自然环境：；人文环境；综合评价环境状况一般</t>
    </r>
    <phoneticPr fontId="6" type="noConversion"/>
  </si>
  <si>
    <r>
      <rPr>
        <sz val="11"/>
        <color theme="9" tint="-0.249977111117893"/>
        <rFont val="仿宋_GB2312"/>
        <family val="3"/>
        <charset val="134"/>
      </rPr>
      <t>估价对象周边道路状况、公共交通通达情况、停车便捷程度，综合评价交通便捷度较好</t>
    </r>
    <phoneticPr fontId="6" type="noConversion"/>
  </si>
  <si>
    <r>
      <rPr>
        <sz val="11"/>
        <color theme="9" tint="-0.249977111117893"/>
        <rFont val="仿宋_GB2312"/>
        <family val="3"/>
        <charset val="134"/>
      </rPr>
      <t>估价对象所在区域公共配套设施齐备情况</t>
    </r>
    <phoneticPr fontId="6" type="noConversion"/>
  </si>
  <si>
    <r>
      <rPr>
        <sz val="11"/>
        <color theme="9" tint="-0.249977111117893"/>
        <rFont val="仿宋_GB2312"/>
        <family val="3"/>
        <charset val="134"/>
      </rPr>
      <t>该园区内是否有污染型企业，绿化情况，卫生条件，整体环境状况判断</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</si>
  <si>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6" type="noConversion"/>
  </si>
  <si>
    <r>
      <rPr>
        <sz val="11"/>
        <color theme="9" tint="-0.249977111117893"/>
        <rFont val="仿宋_GB2312"/>
        <family val="3"/>
        <charset val="134"/>
      </rPr>
      <t>估价对象周边居住用地比例、居住小区规模和社区发展完善程度，综合评价居住社区成熟度一般</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</si>
  <si>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</si>
  <si>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6" type="noConversion"/>
  </si>
  <si>
    <r>
      <rPr>
        <sz val="10"/>
        <color theme="9" tint="-0.249977111117893"/>
        <rFont val="楷体_GB2312"/>
        <family val="3"/>
        <charset val="134"/>
      </rPr>
      <t>修正项</t>
    </r>
    <r>
      <rPr>
        <sz val="10"/>
        <color theme="9" tint="-0.249977111117893"/>
        <rFont val="Arial"/>
        <family val="2"/>
      </rPr>
      <t>7</t>
    </r>
    <phoneticPr fontId="6" type="noConversion"/>
  </si>
  <si>
    <r>
      <rPr>
        <sz val="10"/>
        <color theme="9" tint="-0.249977111117893"/>
        <rFont val="楷体_GB2312"/>
        <family val="3"/>
        <charset val="134"/>
      </rPr>
      <t>修正项</t>
    </r>
    <r>
      <rPr>
        <sz val="10"/>
        <color theme="9" tint="-0.249977111117893"/>
        <rFont val="Arial"/>
        <family val="2"/>
      </rPr>
      <t>6</t>
    </r>
    <phoneticPr fontId="6" type="noConversion"/>
  </si>
  <si>
    <r>
      <rPr>
        <sz val="10"/>
        <color theme="9" tint="-0.249977111117893"/>
        <rFont val="楷体_GB2312"/>
        <family val="3"/>
        <charset val="134"/>
      </rPr>
      <t>修正项</t>
    </r>
    <r>
      <rPr>
        <sz val="10"/>
        <color theme="9" tint="-0.249977111117893"/>
        <rFont val="Arial"/>
        <family val="2"/>
      </rPr>
      <t>4</t>
    </r>
    <phoneticPr fontId="6" type="noConversion"/>
  </si>
  <si>
    <r>
      <rPr>
        <sz val="10"/>
        <color theme="9" tint="-0.249977111117893"/>
        <rFont val="楷体_GB2312"/>
        <family val="3"/>
        <charset val="134"/>
      </rPr>
      <t>修正项</t>
    </r>
    <r>
      <rPr>
        <sz val="10"/>
        <color theme="9" tint="-0.249977111117893"/>
        <rFont val="Arial"/>
        <family val="2"/>
      </rPr>
      <t>3</t>
    </r>
    <phoneticPr fontId="6" type="noConversion"/>
  </si>
  <si>
    <r>
      <rPr>
        <sz val="10"/>
        <color theme="9" tint="-0.249977111117893"/>
        <rFont val="楷体_GB2312"/>
        <family val="3"/>
        <charset val="134"/>
      </rPr>
      <t>修正项</t>
    </r>
    <r>
      <rPr>
        <sz val="10"/>
        <color theme="9" tint="-0.249977111117893"/>
        <rFont val="Arial"/>
        <family val="2"/>
      </rPr>
      <t>2</t>
    </r>
    <phoneticPr fontId="6" type="noConversion"/>
  </si>
  <si>
    <r>
      <rPr>
        <sz val="11"/>
        <color theme="9" tint="-0.249977111117893"/>
        <rFont val="仿宋_GB2312"/>
        <family val="3"/>
        <charset val="134"/>
      </rPr>
      <t>估价对象名称</t>
    </r>
    <phoneticPr fontId="6"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</si>
  <si>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6"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</si>
  <si>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6"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</si>
  <si>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6" type="noConversion"/>
  </si>
  <si>
    <r>
      <rPr>
        <sz val="11"/>
        <color theme="9" tint="-0.249977111117893"/>
        <rFont val="仿宋_GB2312"/>
        <family val="3"/>
        <charset val="134"/>
      </rPr>
      <t>项目位置</t>
    </r>
    <phoneticPr fontId="6"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</si>
  <si>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</si>
  <si>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6" type="noConversion"/>
  </si>
  <si>
    <t>宗地形状不规则，但对宗地利用影响较小</t>
  </si>
  <si>
    <t>宽度XX米，深度XX米,临街宽度及深度比例适宜程度？对土地利用的影响？</t>
    <phoneticPr fontId="6" type="noConversion"/>
  </si>
  <si>
    <t>宽度XX米，深度XX米,临街宽度及深度比例适宜程度？对土地利用的影响？</t>
    <phoneticPr fontId="6" type="noConversion"/>
  </si>
  <si>
    <r>
      <rPr>
        <sz val="10"/>
        <color theme="9" tint="-0.249977111117893"/>
        <rFont val="楷体_GB2312"/>
        <family val="3"/>
        <charset val="134"/>
      </rPr>
      <t>修正项</t>
    </r>
    <r>
      <rPr>
        <sz val="10"/>
        <color theme="9" tint="-0.249977111117893"/>
        <rFont val="Arial"/>
        <family val="2"/>
      </rPr>
      <t>5</t>
    </r>
    <phoneticPr fontId="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</si>
  <si>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</si>
  <si>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1.用途</t>
    <phoneticPr fontId="6" type="noConversion"/>
  </si>
  <si>
    <t>残值率</t>
    <phoneticPr fontId="6" type="noConversion"/>
  </si>
  <si>
    <t>总价</t>
  </si>
  <si>
    <t>万元</t>
  </si>
  <si>
    <t>汇总建筑面积</t>
  </si>
  <si>
    <t>估价结果</t>
  </si>
  <si>
    <t>建筑面积</t>
  </si>
  <si>
    <t>基准地价（汇总）</t>
    <phoneticPr fontId="6" type="noConversion"/>
  </si>
  <si>
    <t>本次评估所采用的基准地价系数修正法</t>
    <phoneticPr fontId="231" type="noConversion"/>
  </si>
  <si>
    <t>基准地价</t>
  </si>
  <si>
    <t>土地面积</t>
    <phoneticPr fontId="231" type="noConversion"/>
  </si>
  <si>
    <t>单位面积地价</t>
    <phoneticPr fontId="231" type="noConversion"/>
  </si>
  <si>
    <t>汇总土地面积</t>
    <phoneticPr fontId="231" type="noConversion"/>
  </si>
  <si>
    <t>基准地价（汇总）</t>
    <phoneticPr fontId="17" type="noConversion"/>
  </si>
  <si>
    <t>综合</t>
    <phoneticPr fontId="6" type="noConversion"/>
  </si>
  <si>
    <t>商服</t>
    <phoneticPr fontId="6" type="noConversion"/>
  </si>
  <si>
    <t>商服</t>
    <phoneticPr fontId="6" type="noConversion"/>
  </si>
  <si>
    <t>住宅</t>
    <phoneticPr fontId="6" type="noConversion"/>
  </si>
  <si>
    <r>
      <rPr>
        <sz val="11"/>
        <color indexed="8"/>
        <rFont val="楷体_GB2312"/>
        <family val="3"/>
        <charset val="134"/>
      </rPr>
      <t>工业</t>
    </r>
    <phoneticPr fontId="6" type="noConversion"/>
  </si>
  <si>
    <t>地下商业不考虑路线价修正</t>
    <phoneticPr fontId="6" type="noConversion"/>
  </si>
  <si>
    <t>建筑物资本化率</t>
    <phoneticPr fontId="64" type="noConversion"/>
  </si>
  <si>
    <t>收益还原法</t>
    <phoneticPr fontId="17" type="noConversion"/>
  </si>
  <si>
    <r>
      <rPr>
        <sz val="10"/>
        <color indexed="8"/>
        <rFont val="仿宋_GB2312"/>
        <family val="3"/>
        <charset val="134"/>
      </rPr>
      <t>收益年期</t>
    </r>
    <r>
      <rPr>
        <sz val="10"/>
        <color indexed="8"/>
        <rFont val="Arial"/>
        <family val="2"/>
      </rPr>
      <t>(n)</t>
    </r>
    <phoneticPr fontId="6" type="noConversion"/>
  </si>
  <si>
    <t>收益年期(n)</t>
    <phoneticPr fontId="6"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</si>
  <si>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6" type="noConversion"/>
  </si>
  <si>
    <t>2017-4</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</si>
  <si>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2" type="noConversion"/>
  </si>
  <si>
    <t>本行不参与计算</t>
    <phoneticPr fontId="23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</si>
  <si>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1" type="noConversion"/>
  </si>
  <si>
    <t>2017-3</t>
    <phoneticPr fontId="6" type="noConversion"/>
  </si>
  <si>
    <t>前8项之和</t>
    <phoneticPr fontId="18" type="noConversion"/>
  </si>
  <si>
    <t>(1-2-3)/[(1+（(1+利率）^建设期-1）+利润）*（1+契税及印花税率）]</t>
    <phoneticPr fontId="17" type="noConversion"/>
  </si>
  <si>
    <t>押金*一年期存款利率</t>
    <phoneticPr fontId="6" type="noConversion"/>
  </si>
  <si>
    <t>押金*一年期存款利率</t>
    <phoneticPr fontId="6" type="noConversion"/>
  </si>
  <si>
    <t>2018-1</t>
    <phoneticPr fontId="6" type="noConversion"/>
  </si>
  <si>
    <t>楼面地价</t>
    <phoneticPr fontId="231" type="noConversion"/>
  </si>
  <si>
    <t>收益期（按照规范取最低值，住宅取高）</t>
    <phoneticPr fontId="6" type="noConversion"/>
  </si>
  <si>
    <t>2018-3</t>
    <phoneticPr fontId="6" type="noConversion"/>
  </si>
  <si>
    <t>2018-2</t>
    <phoneticPr fontId="6" type="noConversion"/>
  </si>
  <si>
    <t>苏海</t>
    <phoneticPr fontId="6" type="noConversion"/>
  </si>
  <si>
    <t>苏海</t>
    <phoneticPr fontId="6" type="noConversion"/>
  </si>
  <si>
    <r>
      <rPr>
        <sz val="10"/>
        <rFont val="宋体"/>
        <family val="3"/>
        <charset val="134"/>
      </rPr>
      <t>土地还原率</t>
    </r>
    <phoneticPr fontId="6" type="noConversion"/>
  </si>
  <si>
    <r>
      <rPr>
        <sz val="10"/>
        <rFont val="宋体"/>
        <family val="3"/>
        <charset val="134"/>
      </rPr>
      <t>剩余使用年限</t>
    </r>
    <phoneticPr fontId="6" type="noConversion"/>
  </si>
  <si>
    <t>地下车库及仓储年期修正</t>
    <phoneticPr fontId="6" type="noConversion"/>
  </si>
  <si>
    <t>2018-4</t>
    <phoneticPr fontId="6" type="noConversion"/>
  </si>
  <si>
    <t>出让</t>
  </si>
  <si>
    <t>级别开发程度</t>
    <phoneticPr fontId="6" type="noConversion"/>
  </si>
  <si>
    <t>2019-1</t>
    <phoneticPr fontId="6" type="noConversion"/>
  </si>
  <si>
    <t>2019-2</t>
    <phoneticPr fontId="6" type="noConversion"/>
  </si>
  <si>
    <t>按公示增长率计算</t>
  </si>
  <si>
    <t>以估价对象土地价格为基数记取</t>
    <phoneticPr fontId="18" type="noConversion"/>
  </si>
  <si>
    <t>2019-3</t>
    <phoneticPr fontId="6" type="noConversion"/>
  </si>
  <si>
    <t>赵璠</t>
  </si>
  <si>
    <t>2019A-027</t>
    <phoneticPr fontId="6" type="noConversion"/>
  </si>
  <si>
    <t>刘俊财</t>
    <phoneticPr fontId="6" type="noConversion"/>
  </si>
  <si>
    <t>2019-4</t>
    <phoneticPr fontId="6" type="noConversion"/>
  </si>
  <si>
    <t>2020-1</t>
    <phoneticPr fontId="6" type="noConversion"/>
  </si>
  <si>
    <t>2020-2</t>
    <phoneticPr fontId="6" type="noConversion"/>
  </si>
  <si>
    <t>项目名</t>
    <phoneticPr fontId="231" type="noConversion"/>
  </si>
  <si>
    <t>用地类别</t>
    <phoneticPr fontId="231" type="noConversion"/>
  </si>
  <si>
    <t>用地面积</t>
    <phoneticPr fontId="231" type="noConversion"/>
  </si>
  <si>
    <t>地上建筑面积</t>
    <phoneticPr fontId="231" type="noConversion"/>
  </si>
  <si>
    <t>地下建筑面积</t>
    <phoneticPr fontId="231" type="noConversion"/>
  </si>
  <si>
    <t>备注</t>
    <phoneticPr fontId="231" type="noConversion"/>
  </si>
  <si>
    <t>RX01-01</t>
    <phoneticPr fontId="231" type="noConversion"/>
  </si>
  <si>
    <t>住宅及配套（R1、R9）</t>
    <phoneticPr fontId="231" type="noConversion"/>
  </si>
  <si>
    <t>一类综合用地（F1）</t>
    <phoneticPr fontId="231" type="noConversion"/>
  </si>
  <si>
    <t>基础教育用地（A3）</t>
    <phoneticPr fontId="231" type="noConversion"/>
  </si>
  <si>
    <t>商业用地（B1）</t>
    <phoneticPr fontId="231" type="noConversion"/>
  </si>
  <si>
    <t>城市公园绿地（G1）</t>
    <phoneticPr fontId="231" type="noConversion"/>
  </si>
  <si>
    <t>道路</t>
    <phoneticPr fontId="231" type="noConversion"/>
  </si>
  <si>
    <t>小计</t>
    <phoneticPr fontId="231" type="noConversion"/>
  </si>
  <si>
    <t>RX01-02</t>
    <phoneticPr fontId="231" type="noConversion"/>
  </si>
  <si>
    <t>住宅及配套（R1、R9）</t>
    <phoneticPr fontId="231" type="noConversion"/>
  </si>
  <si>
    <t>——</t>
    <phoneticPr fontId="231" type="noConversion"/>
  </si>
  <si>
    <t>容西片区RX01-02 街区规划实施要求表</t>
    <phoneticPr fontId="231" type="noConversion"/>
  </si>
  <si>
    <t>——</t>
    <phoneticPr fontId="231" type="noConversion"/>
  </si>
  <si>
    <t>商业用地（B1）</t>
    <phoneticPr fontId="231" type="noConversion"/>
  </si>
  <si>
    <t>道路</t>
    <phoneticPr fontId="231" type="noConversion"/>
  </si>
  <si>
    <t>——</t>
    <phoneticPr fontId="231" type="noConversion"/>
  </si>
  <si>
    <t>——</t>
    <phoneticPr fontId="231" type="noConversion"/>
  </si>
  <si>
    <t>小计</t>
    <phoneticPr fontId="231" type="noConversion"/>
  </si>
  <si>
    <t>RX01-03</t>
    <phoneticPr fontId="231" type="noConversion"/>
  </si>
  <si>
    <t>——</t>
    <phoneticPr fontId="231" type="noConversion"/>
  </si>
  <si>
    <t>一类综合用地（F1）</t>
    <phoneticPr fontId="231" type="noConversion"/>
  </si>
  <si>
    <t>基础教育用地（A3）</t>
    <phoneticPr fontId="231" type="noConversion"/>
  </si>
  <si>
    <t>商业用地（B1）</t>
    <phoneticPr fontId="231" type="noConversion"/>
  </si>
  <si>
    <t>城市公园绿地（G1）</t>
    <phoneticPr fontId="231" type="noConversion"/>
  </si>
  <si>
    <t>道路</t>
    <phoneticPr fontId="231" type="noConversion"/>
  </si>
  <si>
    <t>小计</t>
    <phoneticPr fontId="231" type="noConversion"/>
  </si>
  <si>
    <t>RX01-04</t>
    <phoneticPr fontId="231" type="noConversion"/>
  </si>
  <si>
    <t>RX01-05</t>
    <phoneticPr fontId="231" type="noConversion"/>
  </si>
  <si>
    <t>合计</t>
    <phoneticPr fontId="231" type="noConversion"/>
  </si>
  <si>
    <t>市场价格</t>
  </si>
  <si>
    <t>其他：</t>
  </si>
  <si>
    <t>雄安新区</t>
    <phoneticPr fontId="9" type="noConversion"/>
  </si>
  <si>
    <t>企业</t>
  </si>
  <si>
    <t>商业</t>
  </si>
  <si>
    <t>否</t>
  </si>
  <si>
    <t>规划实施要求表</t>
    <phoneticPr fontId="6" type="noConversion"/>
  </si>
  <si>
    <t>地上</t>
  </si>
  <si>
    <t>商业</t>
    <phoneticPr fontId="10" type="noConversion"/>
  </si>
  <si>
    <t>办公</t>
    <phoneticPr fontId="10" type="noConversion"/>
  </si>
  <si>
    <t>钢混</t>
  </si>
  <si>
    <t>押一</t>
  </si>
  <si>
    <t>不动产收益法-商业</t>
  </si>
  <si>
    <t>不动产收益法-办公</t>
  </si>
  <si>
    <r>
      <rPr>
        <b/>
        <sz val="16"/>
        <color indexed="10"/>
        <rFont val="仿宋_GB2312"/>
        <family val="3"/>
        <charset val="134"/>
      </rPr>
      <t>比较法</t>
    </r>
    <phoneticPr fontId="6" type="noConversion"/>
  </si>
  <si>
    <r>
      <rPr>
        <b/>
        <sz val="16"/>
        <rFont val="仿宋_GB2312"/>
        <family val="3"/>
        <charset val="134"/>
      </rPr>
      <t>商业</t>
    </r>
    <phoneticPr fontId="6" type="noConversion"/>
  </si>
  <si>
    <r>
      <rPr>
        <b/>
        <sz val="16"/>
        <rFont val="仿宋_GB2312"/>
        <family val="3"/>
        <charset val="134"/>
      </rPr>
      <t>─</t>
    </r>
    <phoneticPr fontId="6"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</si>
  <si>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6" type="noConversion"/>
  </si>
  <si>
    <r>
      <rPr>
        <b/>
        <sz val="12"/>
        <rFont val="仿宋_GB2312"/>
        <family val="3"/>
        <charset val="134"/>
      </rPr>
      <t>总价</t>
    </r>
    <phoneticPr fontId="6" type="noConversion"/>
  </si>
  <si>
    <r>
      <rPr>
        <b/>
        <sz val="12"/>
        <rFont val="仿宋_GB2312"/>
        <family val="3"/>
        <charset val="134"/>
      </rPr>
      <t>楼面单价</t>
    </r>
    <phoneticPr fontId="6" type="noConversion"/>
  </si>
  <si>
    <r>
      <rPr>
        <b/>
        <sz val="12"/>
        <rFont val="仿宋_GB2312"/>
        <family val="3"/>
        <charset val="134"/>
      </rPr>
      <t>建筑面积</t>
    </r>
    <phoneticPr fontId="6"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</si>
  <si>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</si>
  <si>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</si>
  <si>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</si>
  <si>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</si>
  <si>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</si>
  <si>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</si>
  <si>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</si>
  <si>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t>宝龙湾家园</t>
    <phoneticPr fontId="6" type="noConversion"/>
  </si>
  <si>
    <t>路劲太阳城皓阳园</t>
    <phoneticPr fontId="6" type="noConversion"/>
  </si>
  <si>
    <t>新中东里</t>
    <phoneticPr fontId="6" type="noConversion"/>
  </si>
  <si>
    <r>
      <rPr>
        <sz val="11"/>
        <color indexed="53"/>
        <rFont val="仿宋_GB2312"/>
        <family val="3"/>
        <charset val="134"/>
      </rPr>
      <t>项目位置</t>
    </r>
    <phoneticPr fontId="6" type="noConversion"/>
  </si>
  <si>
    <t>天津市南开区</t>
    <phoneticPr fontId="6" type="noConversion"/>
  </si>
  <si>
    <t>天津市河东区</t>
    <phoneticPr fontId="6" type="noConversion"/>
  </si>
  <si>
    <t>天津市和平区</t>
    <phoneticPr fontId="6" type="noConversion"/>
  </si>
  <si>
    <r>
      <rPr>
        <sz val="11"/>
        <color indexed="8"/>
        <rFont val="仿宋_GB2312"/>
        <family val="3"/>
        <charset val="134"/>
      </rPr>
      <t>系数</t>
    </r>
    <r>
      <rPr>
        <sz val="11"/>
        <color indexed="8"/>
        <rFont val="Arial"/>
        <family val="2"/>
      </rPr>
      <t>%</t>
    </r>
    <phoneticPr fontId="6" type="noConversion"/>
  </si>
  <si>
    <r>
      <rPr>
        <b/>
        <sz val="11"/>
        <color indexed="8"/>
        <rFont val="仿宋_GB2312"/>
        <family val="3"/>
        <charset val="134"/>
      </rPr>
      <t>交易时间</t>
    </r>
    <phoneticPr fontId="6" type="noConversion"/>
  </si>
  <si>
    <r>
      <rPr>
        <sz val="11"/>
        <color indexed="8"/>
        <rFont val="仿宋_GB2312"/>
        <family val="3"/>
        <charset val="134"/>
      </rPr>
      <t>交易时间</t>
    </r>
    <phoneticPr fontId="6" type="noConversion"/>
  </si>
  <si>
    <t>100/</t>
    <phoneticPr fontId="6" type="noConversion"/>
  </si>
  <si>
    <r>
      <rPr>
        <sz val="11"/>
        <color indexed="8"/>
        <rFont val="仿宋_GB2312"/>
        <family val="3"/>
        <charset val="134"/>
      </rPr>
      <t>交易时间</t>
    </r>
    <phoneticPr fontId="6" type="noConversion"/>
  </si>
  <si>
    <r>
      <rPr>
        <b/>
        <sz val="11"/>
        <color indexed="8"/>
        <rFont val="仿宋_GB2312"/>
        <family val="3"/>
        <charset val="134"/>
      </rPr>
      <t>交易情况</t>
    </r>
    <phoneticPr fontId="6" type="noConversion"/>
  </si>
  <si>
    <r>
      <rPr>
        <sz val="11"/>
        <color indexed="8"/>
        <rFont val="仿宋_GB2312"/>
        <family val="3"/>
        <charset val="134"/>
      </rPr>
      <t>正常</t>
    </r>
    <phoneticPr fontId="6" type="noConversion"/>
  </si>
  <si>
    <t>正常</t>
  </si>
  <si>
    <r>
      <rPr>
        <sz val="11"/>
        <color indexed="8"/>
        <rFont val="仿宋_GB2312"/>
        <family val="3"/>
        <charset val="134"/>
      </rPr>
      <t>交易情况</t>
    </r>
    <phoneticPr fontId="6" type="noConversion"/>
  </si>
  <si>
    <t>100/</t>
    <phoneticPr fontId="6" type="noConversion"/>
  </si>
  <si>
    <r>
      <rPr>
        <b/>
        <sz val="11"/>
        <color indexed="8"/>
        <rFont val="仿宋_GB2312"/>
        <family val="3"/>
        <charset val="134"/>
      </rPr>
      <t>用途</t>
    </r>
    <phoneticPr fontId="6" type="noConversion"/>
  </si>
  <si>
    <t>商业</t>
    <phoneticPr fontId="6" type="noConversion"/>
  </si>
  <si>
    <r>
      <rPr>
        <sz val="11"/>
        <rFont val="仿宋_GB2312"/>
        <family val="3"/>
        <charset val="134"/>
      </rPr>
      <t>权益状况</t>
    </r>
    <phoneticPr fontId="6" type="noConversion"/>
  </si>
  <si>
    <r>
      <rPr>
        <sz val="11"/>
        <color indexed="8"/>
        <rFont val="仿宋_GB2312"/>
        <family val="3"/>
        <charset val="134"/>
      </rPr>
      <t>权益状况</t>
    </r>
    <phoneticPr fontId="6" type="noConversion"/>
  </si>
  <si>
    <r>
      <rPr>
        <b/>
        <sz val="11"/>
        <color indexed="8"/>
        <rFont val="仿宋_GB2312"/>
        <family val="3"/>
        <charset val="134"/>
      </rPr>
      <t>土地使用年限（年）</t>
    </r>
    <phoneticPr fontId="6" type="noConversion"/>
  </si>
  <si>
    <t>30-40（含）</t>
  </si>
  <si>
    <r>
      <rPr>
        <b/>
        <sz val="11"/>
        <color indexed="8"/>
        <rFont val="仿宋_GB2312"/>
        <family val="3"/>
        <charset val="134"/>
      </rPr>
      <t>容积率</t>
    </r>
    <phoneticPr fontId="6" type="noConversion"/>
  </si>
  <si>
    <t>100/</t>
    <phoneticPr fontId="6" type="noConversion"/>
  </si>
  <si>
    <t>区域因素</t>
    <phoneticPr fontId="6" type="noConversion"/>
  </si>
  <si>
    <r>
      <rPr>
        <sz val="11"/>
        <rFont val="仿宋_GB2312"/>
        <family val="3"/>
        <charset val="134"/>
      </rPr>
      <t>区位状况</t>
    </r>
    <phoneticPr fontId="6" type="noConversion"/>
  </si>
  <si>
    <t>较好</t>
  </si>
  <si>
    <t>好</t>
  </si>
  <si>
    <t>公共配套设施</t>
    <phoneticPr fontId="6" type="noConversion"/>
  </si>
  <si>
    <t>基础设施水平</t>
    <phoneticPr fontId="6" type="noConversion"/>
  </si>
  <si>
    <t>七通</t>
  </si>
  <si>
    <r>
      <rPr>
        <sz val="11"/>
        <color indexed="8"/>
        <rFont val="仿宋_GB2312"/>
        <family val="3"/>
        <charset val="134"/>
      </rPr>
      <t>临街状况</t>
    </r>
    <phoneticPr fontId="6" type="noConversion"/>
  </si>
  <si>
    <t>单面临街</t>
  </si>
  <si>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6" type="noConversion"/>
  </si>
  <si>
    <r>
      <rPr>
        <sz val="11"/>
        <color indexed="8"/>
        <rFont val="仿宋_GB2312"/>
        <family val="3"/>
        <charset val="134"/>
      </rPr>
      <t>人流量</t>
    </r>
    <phoneticPr fontId="6" type="noConversion"/>
  </si>
  <si>
    <t>较密集</t>
  </si>
  <si>
    <r>
      <rPr>
        <sz val="11"/>
        <color indexed="8"/>
        <rFont val="仿宋_GB2312"/>
        <family val="3"/>
        <charset val="134"/>
      </rPr>
      <t>楼层</t>
    </r>
    <phoneticPr fontId="6" type="noConversion"/>
  </si>
  <si>
    <t>个别因素</t>
    <phoneticPr fontId="6" type="noConversion"/>
  </si>
  <si>
    <t>住宅配套</t>
  </si>
  <si>
    <r>
      <rPr>
        <sz val="11"/>
        <rFont val="仿宋_GB2312"/>
        <family val="3"/>
        <charset val="134"/>
      </rPr>
      <t>实物状况</t>
    </r>
    <phoneticPr fontId="6" type="noConversion"/>
  </si>
  <si>
    <r>
      <rPr>
        <sz val="11"/>
        <color indexed="8"/>
        <rFont val="仿宋_GB2312"/>
        <family val="3"/>
        <charset val="134"/>
      </rPr>
      <t>公共部分装修</t>
    </r>
    <phoneticPr fontId="6" type="noConversion"/>
  </si>
  <si>
    <t>普通装修</t>
  </si>
  <si>
    <r>
      <rPr>
        <sz val="11"/>
        <color indexed="8"/>
        <rFont val="仿宋_GB2312"/>
        <family val="3"/>
        <charset val="134"/>
      </rPr>
      <t>成新度</t>
    </r>
    <phoneticPr fontId="6" type="noConversion"/>
  </si>
  <si>
    <t>市政基础设施</t>
    <phoneticPr fontId="6" type="noConversion"/>
  </si>
  <si>
    <r>
      <rPr>
        <sz val="11"/>
        <color indexed="8"/>
        <rFont val="仿宋_GB2312"/>
        <family val="3"/>
        <charset val="134"/>
      </rPr>
      <t>业态</t>
    </r>
    <phoneticPr fontId="6" type="noConversion"/>
  </si>
  <si>
    <r>
      <rPr>
        <sz val="11"/>
        <color indexed="8"/>
        <rFont val="仿宋_GB2312"/>
        <family val="3"/>
        <charset val="134"/>
      </rPr>
      <t>层高</t>
    </r>
    <phoneticPr fontId="6" type="noConversion"/>
  </si>
  <si>
    <t>标准层高</t>
  </si>
  <si>
    <r>
      <rPr>
        <sz val="11"/>
        <color indexed="8"/>
        <rFont val="仿宋_GB2312"/>
        <family val="3"/>
        <charset val="134"/>
      </rPr>
      <t>单套建筑面积</t>
    </r>
    <phoneticPr fontId="6"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</si>
  <si>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</si>
  <si>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r>
      <rPr>
        <b/>
        <sz val="11"/>
        <rFont val="仿宋_GB2312"/>
        <family val="3"/>
        <charset val="134"/>
      </rPr>
      <t>估价对象</t>
    </r>
    <r>
      <rPr>
        <b/>
        <sz val="11"/>
        <color indexed="53"/>
        <rFont val="Arial"/>
        <family val="2"/>
      </rPr>
      <t>XX</t>
    </r>
    <r>
      <rPr>
        <b/>
        <sz val="11"/>
        <color indexed="5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6" type="noConversion"/>
  </si>
  <si>
    <r>
      <rPr>
        <b/>
        <sz val="11"/>
        <rFont val="仿宋_GB2312"/>
        <family val="3"/>
        <charset val="134"/>
      </rPr>
      <t>总修正幅度不超过</t>
    </r>
    <r>
      <rPr>
        <b/>
        <sz val="11"/>
        <color indexed="10"/>
        <rFont val="Arial"/>
        <family val="2"/>
      </rPr>
      <t>30%</t>
    </r>
    <phoneticPr fontId="6" type="noConversion"/>
  </si>
  <si>
    <r>
      <rPr>
        <b/>
        <sz val="11"/>
        <rFont val="仿宋_GB2312"/>
        <family val="3"/>
        <charset val="134"/>
      </rPr>
      <t>各修正结果之间不超过</t>
    </r>
    <r>
      <rPr>
        <b/>
        <sz val="11"/>
        <color indexed="10"/>
        <rFont val="Arial"/>
        <family val="2"/>
      </rPr>
      <t>20%</t>
    </r>
    <phoneticPr fontId="6" type="noConversion"/>
  </si>
  <si>
    <r>
      <rPr>
        <b/>
        <sz val="11"/>
        <rFont val="仿宋_GB2312"/>
        <family val="3"/>
        <charset val="134"/>
      </rPr>
      <t>各案例间不超过</t>
    </r>
    <r>
      <rPr>
        <b/>
        <sz val="11"/>
        <color indexed="10"/>
        <rFont val="Arial"/>
        <family val="2"/>
      </rPr>
      <t>30%</t>
    </r>
    <phoneticPr fontId="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</si>
  <si>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6"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</si>
  <si>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6" type="noConversion"/>
  </si>
  <si>
    <r>
      <rPr>
        <b/>
        <sz val="11"/>
        <rFont val="仿宋_GB2312"/>
        <family val="3"/>
        <charset val="134"/>
      </rPr>
      <t>权益状况</t>
    </r>
    <phoneticPr fontId="6" type="noConversion"/>
  </si>
  <si>
    <r>
      <rPr>
        <sz val="11"/>
        <color indexed="8"/>
        <rFont val="仿宋_GB2312"/>
        <family val="3"/>
        <charset val="134"/>
      </rPr>
      <t>用途</t>
    </r>
    <phoneticPr fontId="6" type="noConversion"/>
  </si>
  <si>
    <r>
      <rPr>
        <sz val="11"/>
        <color indexed="8"/>
        <rFont val="仿宋_GB2312"/>
        <family val="3"/>
        <charset val="134"/>
      </rPr>
      <t>土地使用年限（年）</t>
    </r>
    <phoneticPr fontId="6" type="noConversion"/>
  </si>
  <si>
    <r>
      <t>60-70</t>
    </r>
    <r>
      <rPr>
        <sz val="11"/>
        <rFont val="仿宋_GB2312"/>
        <family val="3"/>
        <charset val="134"/>
      </rPr>
      <t>（含）</t>
    </r>
    <phoneticPr fontId="6" type="noConversion"/>
  </si>
  <si>
    <r>
      <t>50-60</t>
    </r>
    <r>
      <rPr>
        <sz val="11"/>
        <rFont val="仿宋_GB2312"/>
        <family val="3"/>
        <charset val="134"/>
      </rPr>
      <t>（含）</t>
    </r>
    <phoneticPr fontId="6" type="noConversion"/>
  </si>
  <si>
    <r>
      <t>40-50</t>
    </r>
    <r>
      <rPr>
        <sz val="11"/>
        <rFont val="仿宋_GB2312"/>
        <family val="3"/>
        <charset val="134"/>
      </rPr>
      <t>（含）</t>
    </r>
    <phoneticPr fontId="6" type="noConversion"/>
  </si>
  <si>
    <r>
      <t>30-40</t>
    </r>
    <r>
      <rPr>
        <sz val="11"/>
        <rFont val="仿宋_GB2312"/>
        <family val="3"/>
        <charset val="134"/>
      </rPr>
      <t>（含）</t>
    </r>
    <phoneticPr fontId="6" type="noConversion"/>
  </si>
  <si>
    <r>
      <t>20-30</t>
    </r>
    <r>
      <rPr>
        <sz val="11"/>
        <rFont val="仿宋_GB2312"/>
        <family val="3"/>
        <charset val="134"/>
      </rPr>
      <t>（含）</t>
    </r>
    <phoneticPr fontId="6" type="noConversion"/>
  </si>
  <si>
    <r>
      <t>10-20</t>
    </r>
    <r>
      <rPr>
        <sz val="11"/>
        <rFont val="仿宋_GB2312"/>
        <family val="3"/>
        <charset val="134"/>
      </rPr>
      <t>（含）</t>
    </r>
    <phoneticPr fontId="6" type="noConversion"/>
  </si>
  <si>
    <r>
      <t>0-10</t>
    </r>
    <r>
      <rPr>
        <sz val="11"/>
        <rFont val="仿宋_GB2312"/>
        <family val="3"/>
        <charset val="134"/>
      </rPr>
      <t>（含）</t>
    </r>
    <phoneticPr fontId="6" type="noConversion"/>
  </si>
  <si>
    <t>-</t>
    <phoneticPr fontId="6" type="noConversion"/>
  </si>
  <si>
    <r>
      <rPr>
        <sz val="11"/>
        <color indexed="8"/>
        <rFont val="仿宋_GB2312"/>
        <family val="3"/>
        <charset val="134"/>
      </rPr>
      <t>容积率</t>
    </r>
    <phoneticPr fontId="6" type="noConversion"/>
  </si>
  <si>
    <r>
      <rPr>
        <b/>
        <sz val="11"/>
        <rFont val="仿宋_GB2312"/>
        <family val="3"/>
        <charset val="134"/>
      </rPr>
      <t>区位状况</t>
    </r>
    <phoneticPr fontId="6" type="noConversion"/>
  </si>
  <si>
    <r>
      <rPr>
        <sz val="11"/>
        <color indexed="8"/>
        <rFont val="仿宋_GB2312"/>
        <family val="3"/>
        <charset val="134"/>
      </rPr>
      <t>居住社区成熟度</t>
    </r>
    <phoneticPr fontId="6" type="noConversion"/>
  </si>
  <si>
    <r>
      <rPr>
        <sz val="11"/>
        <color indexed="8"/>
        <rFont val="仿宋_GB2312"/>
        <family val="3"/>
        <charset val="134"/>
      </rPr>
      <t>好</t>
    </r>
    <phoneticPr fontId="6" type="noConversion"/>
  </si>
  <si>
    <r>
      <rPr>
        <sz val="11"/>
        <color indexed="8"/>
        <rFont val="仿宋_GB2312"/>
        <family val="3"/>
        <charset val="134"/>
      </rPr>
      <t>较好</t>
    </r>
    <phoneticPr fontId="6" type="noConversion"/>
  </si>
  <si>
    <r>
      <rPr>
        <sz val="11"/>
        <color indexed="8"/>
        <rFont val="仿宋_GB2312"/>
        <family val="3"/>
        <charset val="134"/>
      </rPr>
      <t>一般</t>
    </r>
    <phoneticPr fontId="6" type="noConversion"/>
  </si>
  <si>
    <r>
      <rPr>
        <sz val="11"/>
        <color indexed="8"/>
        <rFont val="仿宋_GB2312"/>
        <family val="3"/>
        <charset val="134"/>
      </rPr>
      <t>较差</t>
    </r>
    <phoneticPr fontId="6" type="noConversion"/>
  </si>
  <si>
    <r>
      <rPr>
        <sz val="11"/>
        <color indexed="8"/>
        <rFont val="仿宋_GB2312"/>
        <family val="3"/>
        <charset val="134"/>
      </rPr>
      <t>差</t>
    </r>
    <phoneticPr fontId="6" type="noConversion"/>
  </si>
  <si>
    <r>
      <rPr>
        <sz val="11"/>
        <color indexed="8"/>
        <rFont val="仿宋_GB2312"/>
        <family val="3"/>
        <charset val="134"/>
      </rPr>
      <t>交通便捷度</t>
    </r>
    <phoneticPr fontId="6" type="noConversion"/>
  </si>
  <si>
    <t>七通</t>
    <phoneticPr fontId="6" type="noConversion"/>
  </si>
  <si>
    <t>六通</t>
    <phoneticPr fontId="6" type="noConversion"/>
  </si>
  <si>
    <t>五通</t>
    <phoneticPr fontId="6" type="noConversion"/>
  </si>
  <si>
    <t>四通</t>
    <phoneticPr fontId="6" type="noConversion"/>
  </si>
  <si>
    <t>三通</t>
    <phoneticPr fontId="6" type="noConversion"/>
  </si>
  <si>
    <r>
      <rPr>
        <sz val="11"/>
        <color indexed="8"/>
        <rFont val="仿宋_GB2312"/>
        <family val="3"/>
        <charset val="134"/>
      </rPr>
      <t>自然及人文环境</t>
    </r>
    <phoneticPr fontId="6" type="noConversion"/>
  </si>
  <si>
    <t>单面临街</t>
    <phoneticPr fontId="6" type="noConversion"/>
  </si>
  <si>
    <t>较好</t>
    <phoneticPr fontId="6" type="noConversion"/>
  </si>
  <si>
    <t>较密集</t>
    <phoneticPr fontId="6" type="noConversion"/>
  </si>
  <si>
    <r>
      <rPr>
        <b/>
        <sz val="11"/>
        <rFont val="仿宋_GB2312"/>
        <family val="3"/>
        <charset val="134"/>
      </rPr>
      <t>实物状况</t>
    </r>
    <phoneticPr fontId="6" type="noConversion"/>
  </si>
  <si>
    <r>
      <rPr>
        <sz val="11"/>
        <color indexed="8"/>
        <rFont val="仿宋_GB2312"/>
        <family val="3"/>
        <charset val="134"/>
      </rPr>
      <t>商业类型</t>
    </r>
    <phoneticPr fontId="6" type="noConversion"/>
  </si>
  <si>
    <t>住宅配套</t>
    <phoneticPr fontId="6" type="noConversion"/>
  </si>
  <si>
    <r>
      <rPr>
        <sz val="11"/>
        <color indexed="8"/>
        <rFont val="仿宋_GB2312"/>
        <family val="3"/>
        <charset val="134"/>
      </rPr>
      <t>项目建筑规模</t>
    </r>
    <phoneticPr fontId="6" type="noConversion"/>
  </si>
  <si>
    <r>
      <rPr>
        <sz val="11"/>
        <color indexed="8"/>
        <rFont val="仿宋_GB2312"/>
        <family val="3"/>
        <charset val="134"/>
      </rPr>
      <t>建筑结构</t>
    </r>
    <phoneticPr fontId="6" type="noConversion"/>
  </si>
  <si>
    <t>钢混</t>
    <phoneticPr fontId="6" type="noConversion"/>
  </si>
  <si>
    <t>普通装修</t>
    <phoneticPr fontId="6" type="noConversion"/>
  </si>
  <si>
    <t>七通</t>
    <phoneticPr fontId="6" type="noConversion"/>
  </si>
  <si>
    <t>标准层高</t>
    <phoneticPr fontId="6" type="noConversion"/>
  </si>
  <si>
    <r>
      <rPr>
        <sz val="11"/>
        <color indexed="8"/>
        <rFont val="仿宋_GB2312"/>
        <family val="3"/>
        <charset val="134"/>
      </rPr>
      <t>进深比</t>
    </r>
    <phoneticPr fontId="6" type="noConversion"/>
  </si>
  <si>
    <r>
      <rPr>
        <sz val="11"/>
        <color indexed="8"/>
        <rFont val="仿宋_GB2312"/>
        <family val="3"/>
        <charset val="134"/>
      </rPr>
      <t>内部装修</t>
    </r>
    <phoneticPr fontId="6" type="noConversion"/>
  </si>
  <si>
    <r>
      <rPr>
        <sz val="11"/>
        <color indexed="8"/>
        <rFont val="仿宋_GB2312"/>
        <family val="3"/>
        <charset val="134"/>
      </rPr>
      <t>内部装修维护情况</t>
    </r>
    <phoneticPr fontId="6" type="noConversion"/>
  </si>
  <si>
    <r>
      <rPr>
        <b/>
        <sz val="16"/>
        <rFont val="仿宋_GB2312"/>
        <family val="3"/>
        <charset val="134"/>
      </rPr>
      <t>办公</t>
    </r>
    <phoneticPr fontId="6" type="noConversion"/>
  </si>
  <si>
    <t>晋丰大厦</t>
    <phoneticPr fontId="6" type="noConversion"/>
  </si>
  <si>
    <t>凯德国贸</t>
    <phoneticPr fontId="6" type="noConversion"/>
  </si>
  <si>
    <t>天津市河西区</t>
    <phoneticPr fontId="6" type="noConversion"/>
  </si>
  <si>
    <t>商务办公</t>
    <phoneticPr fontId="6" type="noConversion"/>
  </si>
  <si>
    <t>商务办公</t>
  </si>
  <si>
    <r>
      <rPr>
        <sz val="11"/>
        <color indexed="8"/>
        <rFont val="仿宋_GB2312"/>
        <family val="3"/>
        <charset val="134"/>
      </rPr>
      <t>环境质量</t>
    </r>
    <phoneticPr fontId="6" type="noConversion"/>
  </si>
  <si>
    <r>
      <rPr>
        <sz val="11"/>
        <color indexed="8"/>
        <rFont val="仿宋_GB2312"/>
        <family val="3"/>
        <charset val="134"/>
      </rPr>
      <t>毗邻道路的类型与等级</t>
    </r>
    <phoneticPr fontId="6" type="noConversion"/>
  </si>
  <si>
    <t>个别因素</t>
    <phoneticPr fontId="6" type="noConversion"/>
  </si>
  <si>
    <r>
      <rPr>
        <sz val="11"/>
        <color indexed="8"/>
        <rFont val="仿宋_GB2312"/>
        <family val="3"/>
        <charset val="134"/>
      </rPr>
      <t>建筑类型</t>
    </r>
    <phoneticPr fontId="6" type="noConversion"/>
  </si>
  <si>
    <t>高层</t>
  </si>
  <si>
    <r>
      <rPr>
        <sz val="11"/>
        <rFont val="仿宋_GB2312"/>
        <family val="3"/>
        <charset val="134"/>
      </rPr>
      <t>实物状况</t>
    </r>
    <phoneticPr fontId="6" type="noConversion"/>
  </si>
  <si>
    <t>精装修</t>
  </si>
  <si>
    <r>
      <rPr>
        <sz val="11"/>
        <color indexed="8"/>
        <rFont val="仿宋_GB2312"/>
        <family val="3"/>
        <charset val="134"/>
      </rPr>
      <t>写字楼等级</t>
    </r>
    <phoneticPr fontId="6" type="noConversion"/>
  </si>
  <si>
    <t>物业公司管理</t>
  </si>
  <si>
    <t>超高层高</t>
  </si>
  <si>
    <r>
      <rPr>
        <sz val="11"/>
        <rFont val="仿宋_GB2312"/>
        <family val="3"/>
        <charset val="134"/>
      </rPr>
      <t>单套建筑面积</t>
    </r>
    <phoneticPr fontId="6" type="noConversion"/>
  </si>
  <si>
    <t>100/</t>
    <phoneticPr fontId="6" type="noConversion"/>
  </si>
  <si>
    <r>
      <rPr>
        <b/>
        <sz val="11"/>
        <rFont val="仿宋_GB2312"/>
        <family val="3"/>
        <charset val="134"/>
      </rPr>
      <t>估价对象</t>
    </r>
    <r>
      <rPr>
        <b/>
        <sz val="11"/>
        <color indexed="53"/>
        <rFont val="仿宋_GB2312"/>
        <family val="3"/>
        <charset val="134"/>
      </rPr>
      <t>办公用房的</t>
    </r>
    <r>
      <rPr>
        <b/>
        <sz val="11"/>
        <rFont val="仿宋_GB2312"/>
        <family val="3"/>
        <charset val="134"/>
      </rPr>
      <t>比较价格（楼面单价，元</t>
    </r>
    <r>
      <rPr>
        <b/>
        <sz val="11"/>
        <rFont val="Arial"/>
        <family val="2"/>
      </rPr>
      <t>/</t>
    </r>
    <r>
      <rPr>
        <b/>
        <sz val="11"/>
        <rFont val="仿宋_GB2312"/>
        <family val="3"/>
        <charset val="134"/>
      </rPr>
      <t>平方米）</t>
    </r>
    <phoneticPr fontId="6" type="noConversion"/>
  </si>
  <si>
    <r>
      <rPr>
        <sz val="11"/>
        <color indexed="8"/>
        <rFont val="仿宋_GB2312"/>
        <family val="3"/>
        <charset val="134"/>
      </rPr>
      <t>办公集聚程度</t>
    </r>
    <phoneticPr fontId="6" type="noConversion"/>
  </si>
  <si>
    <t>高层</t>
    <phoneticPr fontId="6" type="noConversion"/>
  </si>
  <si>
    <t>精装修</t>
    <phoneticPr fontId="6" type="noConversion"/>
  </si>
  <si>
    <r>
      <rPr>
        <sz val="11"/>
        <color indexed="8"/>
        <rFont val="仿宋_GB2312"/>
        <family val="3"/>
        <charset val="134"/>
      </rPr>
      <t>物业管理</t>
    </r>
    <phoneticPr fontId="6" type="noConversion"/>
  </si>
  <si>
    <t>物业公司管理</t>
    <phoneticPr fontId="6" type="noConversion"/>
  </si>
  <si>
    <r>
      <rPr>
        <sz val="11"/>
        <rFont val="仿宋_GB2312"/>
        <family val="3"/>
        <charset val="134"/>
      </rPr>
      <t>层高</t>
    </r>
    <phoneticPr fontId="6" type="noConversion"/>
  </si>
  <si>
    <t>超高层高</t>
    <phoneticPr fontId="6" type="noConversion"/>
  </si>
  <si>
    <t>项目局部</t>
  </si>
  <si>
    <t>成本逼近法</t>
  </si>
  <si>
    <t>剩余法-待开发</t>
  </si>
  <si>
    <t>土地开发补偿费</t>
  </si>
  <si>
    <t>剩余法</t>
    <phoneticPr fontId="231" type="noConversion"/>
  </si>
  <si>
    <t>单价</t>
    <phoneticPr fontId="231" type="noConversion"/>
  </si>
  <si>
    <t>权重</t>
    <phoneticPr fontId="231" type="noConversion"/>
  </si>
  <si>
    <t>成本法</t>
    <phoneticPr fontId="231" type="noConversion"/>
  </si>
  <si>
    <t>楼面单价（元/平方米）</t>
    <phoneticPr fontId="231" type="noConversion"/>
  </si>
  <si>
    <t>总价（万元）</t>
    <phoneticPr fontId="231" type="noConversion"/>
  </si>
  <si>
    <t>地面单价（元/平方米）</t>
    <phoneticPr fontId="231" type="noConversion"/>
  </si>
  <si>
    <t>序号</t>
    <phoneticPr fontId="6" type="noConversion"/>
  </si>
  <si>
    <t>项目</t>
    <phoneticPr fontId="281" type="noConversion"/>
  </si>
  <si>
    <t>取值标准</t>
    <phoneticPr fontId="281" type="noConversion"/>
  </si>
  <si>
    <t>数量</t>
    <phoneticPr fontId="281" type="noConversion"/>
  </si>
  <si>
    <t>总价（万元）</t>
    <phoneticPr fontId="281" type="noConversion"/>
  </si>
  <si>
    <t>测算依据及相关说明</t>
    <phoneticPr fontId="281" type="noConversion"/>
  </si>
  <si>
    <t>数值</t>
    <phoneticPr fontId="281" type="noConversion"/>
  </si>
  <si>
    <t>单位</t>
    <phoneticPr fontId="281" type="noConversion"/>
  </si>
  <si>
    <t>土地取得费（Ea）</t>
    <phoneticPr fontId="281" type="noConversion"/>
  </si>
  <si>
    <t>——</t>
    <phoneticPr fontId="281" type="noConversion"/>
  </si>
  <si>
    <t>⑴</t>
    <phoneticPr fontId="6" type="noConversion"/>
  </si>
  <si>
    <t>征地费用</t>
    <phoneticPr fontId="281" type="noConversion"/>
  </si>
  <si>
    <t>其中</t>
    <phoneticPr fontId="281" type="noConversion"/>
  </si>
  <si>
    <t>①</t>
  </si>
  <si>
    <t>土地综合地价补偿费
（土地补偿费+安置补助费）</t>
    <phoneticPr fontId="281" type="noConversion"/>
  </si>
  <si>
    <t>12</t>
    <phoneticPr fontId="281" type="noConversion"/>
  </si>
  <si>
    <t>万元/亩</t>
    <phoneticPr fontId="281" type="noConversion"/>
  </si>
  <si>
    <t>亩</t>
    <phoneticPr fontId="281" type="noConversion"/>
  </si>
  <si>
    <t xml:space="preserve">    土地综合地价12万元/亩。
    补偿数量按照容东片区土地总面积1269.5808公顷（折合19043.71亩）扣减企业所占龚庄、南八于、南张堡、河西、南文、南文营6村集体土地430亩后的土地面积18613.71亩测算。其中涉及的铁路用地、公路用地等国有土地模拟集体土地征收，按照集体土地进行测算。
    数据来源于《现状地类表》、《容东片区各村基本情况》。</t>
    <phoneticPr fontId="281" type="noConversion"/>
  </si>
  <si>
    <t>②</t>
  </si>
  <si>
    <t>按时签约奖励</t>
    <phoneticPr fontId="281" type="noConversion"/>
  </si>
  <si>
    <t xml:space="preserve">    每亩给予村集体3万元土地按时征收奖。
    补偿数量按照容东片区土地总面积1269.5808公顷（折合19043.71亩）（含企业所占龚庄、南八于、南张堡、河西、南文、南文营6村集体土地430亩）测算。其中涉及的铁路用地、公路用地等国有土地模拟集体土地征收，按照集体土地进行测算。
    数据来源于《现状地类表》、《容东片区各村基本情况》。</t>
    <phoneticPr fontId="281" type="noConversion"/>
  </si>
  <si>
    <t>③</t>
  </si>
  <si>
    <t>青苗补偿费</t>
    <phoneticPr fontId="281" type="noConversion"/>
  </si>
  <si>
    <t>1500</t>
    <phoneticPr fontId="281" type="noConversion"/>
  </si>
  <si>
    <t>元/亩</t>
    <phoneticPr fontId="281" type="noConversion"/>
  </si>
  <si>
    <t xml:space="preserve">    种植大田作物（小麦、玉米等）的农田按1500元/亩的标准给予青苗补偿。
    补偿数量按照容东片区现状农用地中的耕地882.4208公顷、折合13236.31亩测算。数据来源于《现状地类表》。</t>
    <phoneticPr fontId="281" type="noConversion"/>
  </si>
  <si>
    <t>④</t>
  </si>
  <si>
    <t>坟墓迁移及骨灰安放费</t>
    <phoneticPr fontId="281" type="noConversion"/>
  </si>
  <si>
    <t>3000</t>
    <phoneticPr fontId="281" type="noConversion"/>
  </si>
  <si>
    <t>元/座</t>
    <phoneticPr fontId="281" type="noConversion"/>
  </si>
  <si>
    <t>座</t>
    <phoneticPr fontId="281" type="noConversion"/>
  </si>
  <si>
    <t xml:space="preserve">    坟墓迁移按照一墓一棺3000元、一墓双棺4000元、一墓多棺5000元的标准，给予一次性补助。
    坟墓数量取龚庄、南八于、南张堡、河西、南文、南文营6村共计2412座，数据来源于《容东片区各村基本情况》。
    补偿标准按照一墓一棺3000元/座测算。</t>
    <phoneticPr fontId="281" type="noConversion"/>
  </si>
  <si>
    <t>⑤</t>
  </si>
  <si>
    <t>水利设施补偿费</t>
    <phoneticPr fontId="281" type="noConversion"/>
  </si>
  <si>
    <t xml:space="preserve">    按照土地储备中心测算的数据1100元/亩进行测算。
    补偿数量按照容东片区现状农用地中的耕地882.4208公顷、折合13236.31亩测算。数据来源于《现状地类表》。</t>
    <phoneticPr fontId="281" type="noConversion"/>
  </si>
  <si>
    <t>⑥</t>
  </si>
  <si>
    <t>企业拆迁补偿（集体）</t>
    <phoneticPr fontId="281" type="noConversion"/>
  </si>
  <si>
    <r>
      <t xml:space="preserve">    包括土地补偿费、建筑物及其附属物补偿费、停产停业搬迁补助（</t>
    </r>
    <r>
      <rPr>
        <sz val="10"/>
        <color rgb="FFFF0000"/>
        <rFont val="宋体"/>
        <family val="3"/>
        <charset val="134"/>
        <scheme val="minor"/>
      </rPr>
      <t>10%</t>
    </r>
    <r>
      <rPr>
        <sz val="10"/>
        <color theme="1"/>
        <rFont val="宋体"/>
        <family val="3"/>
        <charset val="134"/>
        <scheme val="minor"/>
      </rPr>
      <t>）和奖励资金（5%）。
    补偿数量包括龚庄、南八于、南张堡、河西、南文、南文营6村的430亩土地及56975平方米房屋建筑物，数据来源于《容东片区各村基本情况》。
    按照土地储备中心储备测算，企业拆迁补偿标准按照土地</t>
    </r>
    <r>
      <rPr>
        <sz val="10"/>
        <color rgb="FFFF0000"/>
        <rFont val="宋体"/>
        <family val="3"/>
        <charset val="134"/>
        <scheme val="minor"/>
      </rPr>
      <t>44.47</t>
    </r>
    <r>
      <rPr>
        <sz val="10"/>
        <color theme="1"/>
        <rFont val="宋体"/>
        <family val="3"/>
        <charset val="134"/>
        <scheme val="minor"/>
      </rPr>
      <t>万/亩、建筑物</t>
    </r>
    <r>
      <rPr>
        <sz val="10"/>
        <color rgb="FFFF0000"/>
        <rFont val="宋体"/>
        <family val="3"/>
        <charset val="134"/>
        <scheme val="minor"/>
      </rPr>
      <t>1300</t>
    </r>
    <r>
      <rPr>
        <sz val="10"/>
        <color theme="1"/>
        <rFont val="宋体"/>
        <family val="3"/>
        <charset val="134"/>
        <scheme val="minor"/>
      </rPr>
      <t>元/平方米测算、补助及奖励合计按</t>
    </r>
    <r>
      <rPr>
        <sz val="10"/>
        <color rgb="FFFF0000"/>
        <rFont val="宋体"/>
        <family val="3"/>
        <charset val="134"/>
        <scheme val="minor"/>
      </rPr>
      <t>15%</t>
    </r>
    <r>
      <rPr>
        <sz val="10"/>
        <color theme="1"/>
        <rFont val="宋体"/>
        <family val="3"/>
        <charset val="134"/>
        <scheme val="minor"/>
      </rPr>
      <t>测算。</t>
    </r>
    <phoneticPr fontId="281" type="noConversion"/>
  </si>
  <si>
    <t>⑦</t>
    <phoneticPr fontId="6" type="noConversion"/>
  </si>
  <si>
    <t>企业拆迁补偿（国有）</t>
    <phoneticPr fontId="281" type="noConversion"/>
  </si>
  <si>
    <t>⑵</t>
    <phoneticPr fontId="281" type="noConversion"/>
  </si>
  <si>
    <t>房屋拆迁费用</t>
    <phoneticPr fontId="281" type="noConversion"/>
  </si>
  <si>
    <t>宅基地上房屋补偿费</t>
    <phoneticPr fontId="281" type="noConversion"/>
  </si>
  <si>
    <t>元/建筑平方米</t>
    <phoneticPr fontId="281" type="noConversion"/>
  </si>
  <si>
    <t>建筑平方米</t>
    <phoneticPr fontId="281" type="noConversion"/>
  </si>
  <si>
    <t xml:space="preserve">    房屋建筑面积取龚庄、南八于、南张堡、河西、南文、南文营6村2036处宅基地共计453608平方米，数据来源于《容东片区各村基本情况》。
    补偿标准按照2000元/平方米测算。</t>
    <phoneticPr fontId="281" type="noConversion"/>
  </si>
  <si>
    <t>宅基地上附着物补偿费</t>
    <phoneticPr fontId="281" type="noConversion"/>
  </si>
  <si>
    <t>%</t>
    <phoneticPr fontId="281" type="noConversion"/>
  </si>
  <si>
    <t xml:space="preserve">    按照宅基地上房屋补偿费的10%测算。</t>
    <phoneticPr fontId="281" type="noConversion"/>
  </si>
  <si>
    <t>按时腾退房屋奖励</t>
    <phoneticPr fontId="281" type="noConversion"/>
  </si>
  <si>
    <t>万元/处</t>
    <phoneticPr fontId="281" type="noConversion"/>
  </si>
  <si>
    <t>处</t>
    <phoneticPr fontId="281" type="noConversion"/>
  </si>
  <si>
    <t xml:space="preserve">    每处宅基地5万元奖励。
    宅基地数量取龚庄、南八于、南张堡、河西、南文、南文营6村2036处，数据来源于《容东片区各村基本情况》。</t>
    <phoneticPr fontId="281" type="noConversion"/>
  </si>
  <si>
    <t>宅基地综合补助</t>
    <phoneticPr fontId="281" type="noConversion"/>
  </si>
  <si>
    <t xml:space="preserve">    每处宅基地20万元综合补助。
    宅基地数量取龚庄、南八于、南张堡、河西、南文、南文营6村2036处，数据来源于《容东片区各村基本情况》。</t>
    <phoneticPr fontId="281" type="noConversion"/>
  </si>
  <si>
    <t>村办公共地上建筑物补偿费</t>
    <phoneticPr fontId="281" type="noConversion"/>
  </si>
  <si>
    <t xml:space="preserve">    房屋建筑面积取龚庄、南八于、南张堡、河西、南文、南文营6村共计15717.1平方米，数据来源于《容东片区各村基本情况》。
    补偿标准按照2000元/平方米测算。</t>
    <phoneticPr fontId="281" type="noConversion"/>
  </si>
  <si>
    <t>商住混用补助</t>
    <phoneticPr fontId="281" type="noConversion"/>
  </si>
  <si>
    <t xml:space="preserve">    在规定期限内签订补偿协议并按时腾退房屋的，给予停产停业、搬迁过渡综合补助，补助标准为400元/平方米。
    商住混用建筑面积取龚庄、南八于、南张堡、河西、南文、南文营6村，数据来源于《容东片区各村基本情况》。</t>
    <phoneticPr fontId="281" type="noConversion"/>
  </si>
  <si>
    <t>⑦-1</t>
    <phoneticPr fontId="281" type="noConversion"/>
  </si>
  <si>
    <t>房屋安置费（容东片区6村内）</t>
    <phoneticPr fontId="281" type="noConversion"/>
  </si>
  <si>
    <t>万元/人</t>
    <phoneticPr fontId="281" type="noConversion"/>
  </si>
  <si>
    <t>人</t>
    <phoneticPr fontId="281" type="noConversion"/>
  </si>
  <si>
    <t xml:space="preserve">    对认定的安置对象，给予每人50平方米建筑面积安置房，在此基础上，按照自愿原则，每人可按7000元/平方米购买建筑面积最多不超过20平方米的安置房。安置对象不选择50平方米房屋安置的，按7000元/平方米的标准进行货币安置。
    按照7000元/平方米、每人50平方米进行货币安置测算，人口数量取龚庄、南八于、南张堡、河西、南文、南文营6村6982人，人口数据来源于《容东片区各村基本情况》。</t>
    <phoneticPr fontId="281" type="noConversion"/>
  </si>
  <si>
    <t>⑦-2</t>
    <phoneticPr fontId="281" type="noConversion"/>
  </si>
  <si>
    <t>房屋安置费（容东片区6村外）</t>
    <phoneticPr fontId="281" type="noConversion"/>
  </si>
  <si>
    <t xml:space="preserve">    依据《容东片区各村基本情况》，涉及总人口19856人、村集体土地面积总计38612.39亩，合0.5人/亩。龚庄、南八于、南张堡、河西、南文、南文营6村土地面积12577.25亩，容东片区规划土地总面积1269.5808公顷（折合19043.71亩），则其他各村被占地约6466.46亩，按比例计算，涉及人口约3233人，约占其他各村总人口的25%。
    本次按照3233人测算房屋安置费用。</t>
    <phoneticPr fontId="281" type="noConversion"/>
  </si>
  <si>
    <t>⑶</t>
    <phoneticPr fontId="281" type="noConversion"/>
  </si>
  <si>
    <t>社会保障费用</t>
    <phoneticPr fontId="281" type="noConversion"/>
  </si>
  <si>
    <t>①-1</t>
    <phoneticPr fontId="281" type="noConversion"/>
  </si>
  <si>
    <t>参保补助（容东片区6村内）</t>
    <phoneticPr fontId="281" type="noConversion"/>
  </si>
  <si>
    <t xml:space="preserve">    被征地农民参保补贴，以上一年度河北省城镇非私营单位在岗职工平均工资（简称“社平工资”）的12%乘以补贴年限计算，补贴为一次性，补贴数额体现长者多得的原则，从3.1万元至11.7万元（以2018年河北省社平工资计算）。
    按照土地储备中心测算的数据4.8万元/人测算，人口数量取龚庄、南八于、南张堡、河西、南文、南文营6村6982人，人口数据来源于《容东片区各村基本情况》。</t>
    <phoneticPr fontId="281" type="noConversion"/>
  </si>
  <si>
    <t>①-2</t>
  </si>
  <si>
    <t>参保补助（容东片区6村外）</t>
    <phoneticPr fontId="281" type="noConversion"/>
  </si>
  <si>
    <t xml:space="preserve">    被征地农民参保补贴，以上一年度河北省城镇非私营单位在岗职工平均工资（简称“社平工资”）的12%乘以补贴年限计算，补贴为一次性，补贴数额体现长者多得的原则，从3.1万元至11.7万元（以2018年河北省社平工资计算）。
    按照土地储备中心测算的数据4.8万元/人测算，人口数量取龚庄、南八于、南张堡、河西、南文、南文营6村之外的部分人口数量，人口数量确定同⑦-2。</t>
    <phoneticPr fontId="281" type="noConversion"/>
  </si>
  <si>
    <t>②-1</t>
    <phoneticPr fontId="281" type="noConversion"/>
  </si>
  <si>
    <t>口粮补助（容东片区6村内）</t>
    <phoneticPr fontId="281" type="noConversion"/>
  </si>
  <si>
    <t xml:space="preserve">    安置对象每人每年补助800斤小麦和800斤玉米，或按照上一年度新区粮食监测平均价格折合货币予以补贴，自土地征收公告发布之日起，补贴期限10年。
    按照小麦和玉米平均售价1元/斤测算，合计1600元/年。人口数量取龚庄、南八于、南张堡、河西、南文、南文营6村6982人，人口数据来源于《容东片区各村基本情况》。</t>
    <phoneticPr fontId="281" type="noConversion"/>
  </si>
  <si>
    <t>②-2</t>
  </si>
  <si>
    <t>口粮补助（容东片区6村外）</t>
    <phoneticPr fontId="281" type="noConversion"/>
  </si>
  <si>
    <t xml:space="preserve">    安置对象每人每年补助800斤小麦和800斤玉米，或按照上一年度新区粮食监测平均价格折合货币予以补贴，自土地征收公告发布之日起，补贴期限10年。
    按照小麦和玉米平均售价1元/斤测算，合计1600元/年。人口数量取龚庄、南八于、南张堡、河西、南文、南文营6村之外的部分人口数量，人口数量确定同⑦-2。</t>
    <phoneticPr fontId="281" type="noConversion"/>
  </si>
  <si>
    <t>③-1</t>
    <phoneticPr fontId="281" type="noConversion"/>
  </si>
  <si>
    <t>安置对象周转过渡（容东片区6村内）</t>
    <phoneticPr fontId="281" type="noConversion"/>
  </si>
  <si>
    <t xml:space="preserve">    安置对象自行解决周转过渡用房，按每人每月800元标准给予补助，根据房屋安置协议，周转过渡期间一次性发放18个月补助，自签订协议且搬迁腾退之日起计算。每人每个取暖季发放1300元取暖补助。
    按照18个月发放周转过渡，取暖费按照2个采暖季测算，合计1.7万元/人。人口数量取龚庄、南八于、南张堡、河西、南文、南文营6村6982人，人口数据来源于《容东片区各村基本情况》。</t>
    <phoneticPr fontId="281" type="noConversion"/>
  </si>
  <si>
    <t>③-2</t>
  </si>
  <si>
    <t>安置对象周转过渡（容东片区6村外）</t>
    <phoneticPr fontId="281" type="noConversion"/>
  </si>
  <si>
    <t xml:space="preserve">    安置对象自行解决周转过渡用房，按每人每月800元标准给予补助，根据房屋安置协议，周转过渡期间一次性发放18个月补助，自签订协议且搬迁腾退之日起计算。每人每个取暖季发放1300元取暖补助。
    按照18个月发放周转过渡，取暖费按照2个采暖季测算，合计1.7万元/人。人口数量取龚庄、南八于、南张堡、河西、南文、南文营6村之外的部分人口数量，人口数量确定同⑦-2。</t>
    <phoneticPr fontId="281" type="noConversion"/>
  </si>
  <si>
    <t>税费（T）</t>
    <phoneticPr fontId="281" type="noConversion"/>
  </si>
  <si>
    <t>耕地开垦费</t>
  </si>
  <si>
    <t>15</t>
    <phoneticPr fontId="281" type="noConversion"/>
  </si>
  <si>
    <t>元/平方米</t>
    <phoneticPr fontId="281" type="noConversion"/>
  </si>
  <si>
    <t>平方米</t>
    <phoneticPr fontId="281" type="noConversion"/>
  </si>
  <si>
    <t xml:space="preserve">    依据《河北省土地管理条例》，按15元/平方米测算。占用耕地数量依据《现状地类表》确定。
    耕地占补平衡指标由国务院统筹解决。</t>
    <phoneticPr fontId="281" type="noConversion"/>
  </si>
  <si>
    <t>⑵</t>
    <phoneticPr fontId="6" type="noConversion"/>
  </si>
  <si>
    <t>耕地占用税</t>
  </si>
  <si>
    <t xml:space="preserve">    依据《河北省耕地占用税实施办法》，按25元/平方米测算。
    占用耕地数量依据《现状地类表》确定。</t>
    <phoneticPr fontId="281" type="noConversion"/>
  </si>
  <si>
    <t>森林植被恢复费</t>
    <phoneticPr fontId="281" type="noConversion"/>
  </si>
  <si>
    <t xml:space="preserve">    依据《河北省财政厅 河北省林业厅关于调整森林植被恢复费征收标准的通知》（冀财税〔2016〕25号），按照20元/平方米测算。
    占用林地数量依据《现状地类表》确定。</t>
    <phoneticPr fontId="281" type="noConversion"/>
  </si>
  <si>
    <t>土地开发费（Ed）</t>
    <phoneticPr fontId="281" type="noConversion"/>
  </si>
  <si>
    <t>⑴</t>
  </si>
  <si>
    <t>市政基础设施（不含街区内）</t>
  </si>
  <si>
    <t>⑵</t>
  </si>
  <si>
    <t>景观绿化及水系</t>
  </si>
  <si>
    <t xml:space="preserve">    依据《容东片区的市政配套费用表》，由政府投资的景观绿化及水系总投资约35.8亿元。</t>
    <phoneticPr fontId="281" type="noConversion"/>
  </si>
  <si>
    <t>⑶</t>
  </si>
  <si>
    <t>公共配套设施</t>
  </si>
  <si>
    <t xml:space="preserve">    依据《容东片区分区方案》（2018年10月25日），由政府投资的片区内教育、医疗卫生等公共配套设施总投资约28.51亿元，其中教育21.79亿元、医疗卫生6.72亿元。</t>
    <phoneticPr fontId="281" type="noConversion"/>
  </si>
  <si>
    <t>利息（R1）</t>
    <phoneticPr fontId="281" type="noConversion"/>
  </si>
  <si>
    <t>年</t>
    <phoneticPr fontId="281" type="noConversion"/>
  </si>
  <si>
    <t>利润（R2）</t>
    <phoneticPr fontId="281" type="noConversion"/>
  </si>
  <si>
    <t>土地成本价格（Pe）</t>
    <phoneticPr fontId="281" type="noConversion"/>
  </si>
  <si>
    <t>土地增值收益（R3）</t>
    <phoneticPr fontId="281" type="noConversion"/>
  </si>
  <si>
    <t>土地价格（P）</t>
    <phoneticPr fontId="281" type="noConversion"/>
  </si>
  <si>
    <t>容东片区土地成本明细表（新版）</t>
    <phoneticPr fontId="6" type="noConversion"/>
  </si>
  <si>
    <t>项目</t>
    <phoneticPr fontId="6" type="noConversion"/>
  </si>
  <si>
    <t>应分摊的总投资（亿元）</t>
    <phoneticPr fontId="6" type="noConversion"/>
  </si>
  <si>
    <t>政府投资</t>
    <phoneticPr fontId="6" type="noConversion"/>
  </si>
  <si>
    <t>片区内征地拆迁安置</t>
    <phoneticPr fontId="6" type="noConversion"/>
  </si>
  <si>
    <t>征转资金</t>
    <phoneticPr fontId="6" type="noConversion"/>
  </si>
  <si>
    <t>土地平整</t>
    <phoneticPr fontId="6" type="noConversion"/>
  </si>
  <si>
    <t>市政道路主干道、支路和绿化</t>
    <phoneticPr fontId="6" type="noConversion"/>
  </si>
  <si>
    <t>教育设施</t>
    <phoneticPr fontId="6" type="noConversion"/>
  </si>
  <si>
    <t>社区服务</t>
    <phoneticPr fontId="6" type="noConversion"/>
  </si>
  <si>
    <t>公园水系</t>
    <phoneticPr fontId="6" type="noConversion"/>
  </si>
  <si>
    <t>社会资本合作开发，有一定收益的基础设施</t>
    <phoneticPr fontId="6" type="noConversion"/>
  </si>
  <si>
    <t>给水管网</t>
    <phoneticPr fontId="6" type="noConversion"/>
  </si>
  <si>
    <t>外部输水管线</t>
    <phoneticPr fontId="6" type="noConversion"/>
  </si>
  <si>
    <t>再生水厂一期</t>
    <phoneticPr fontId="6" type="noConversion"/>
  </si>
  <si>
    <t>排水</t>
    <phoneticPr fontId="6" type="noConversion"/>
  </si>
  <si>
    <t>燃气</t>
    <phoneticPr fontId="6" type="noConversion"/>
  </si>
  <si>
    <t>供热、供冷</t>
    <phoneticPr fontId="6" type="noConversion"/>
  </si>
  <si>
    <t>地下综合管廊</t>
    <phoneticPr fontId="6" type="noConversion"/>
  </si>
  <si>
    <t>环卫设施</t>
    <phoneticPr fontId="6" type="noConversion"/>
  </si>
  <si>
    <t>与社会合作的，有一部分收益的公服项目</t>
    <phoneticPr fontId="6" type="noConversion"/>
  </si>
  <si>
    <t>医疗、养老</t>
    <phoneticPr fontId="6" type="noConversion"/>
  </si>
  <si>
    <t>青少年活动中心</t>
    <phoneticPr fontId="6" type="noConversion"/>
  </si>
  <si>
    <t>社会资本投资</t>
    <phoneticPr fontId="6" type="noConversion"/>
  </si>
  <si>
    <t>电力</t>
    <phoneticPr fontId="6" type="noConversion"/>
  </si>
  <si>
    <t>通讯</t>
    <phoneticPr fontId="6" type="noConversion"/>
  </si>
  <si>
    <t>安置住宅</t>
    <phoneticPr fontId="6" type="noConversion"/>
  </si>
  <si>
    <t>非安置住宅</t>
    <phoneticPr fontId="6" type="noConversion"/>
  </si>
  <si>
    <t>商业服务</t>
    <phoneticPr fontId="6" type="noConversion"/>
  </si>
  <si>
    <t>其他公共服务</t>
    <phoneticPr fontId="6" type="noConversion"/>
  </si>
  <si>
    <t>地上建筑面积（不含公服）</t>
    <phoneticPr fontId="6" type="noConversion"/>
  </si>
  <si>
    <t>面积</t>
    <phoneticPr fontId="6" type="noConversion"/>
  </si>
  <si>
    <t>单位</t>
    <phoneticPr fontId="6" type="noConversion"/>
  </si>
  <si>
    <t>建设用地面积</t>
    <phoneticPr fontId="6" type="noConversion"/>
  </si>
  <si>
    <t>㎡</t>
    <phoneticPr fontId="6" type="noConversion"/>
  </si>
  <si>
    <t>地上规划容积率</t>
    <phoneticPr fontId="6" type="noConversion"/>
  </si>
  <si>
    <t>地上规划建筑面积</t>
    <phoneticPr fontId="6" type="noConversion"/>
  </si>
  <si>
    <t>其中</t>
    <phoneticPr fontId="6" type="noConversion"/>
  </si>
  <si>
    <t>配套商业</t>
    <phoneticPr fontId="6" type="noConversion"/>
  </si>
  <si>
    <t>幼儿园</t>
    <phoneticPr fontId="6" type="noConversion"/>
  </si>
  <si>
    <t>小学</t>
    <phoneticPr fontId="6" type="noConversion"/>
  </si>
  <si>
    <t>初中</t>
    <phoneticPr fontId="6" type="noConversion"/>
  </si>
  <si>
    <t>文化活动中心</t>
    <phoneticPr fontId="6" type="noConversion"/>
  </si>
  <si>
    <t>㎡</t>
    <phoneticPr fontId="231" type="noConversion"/>
  </si>
  <si>
    <t>日常服务用房</t>
    <phoneticPr fontId="6" type="noConversion"/>
  </si>
  <si>
    <t>一单元经济技术指标</t>
    <phoneticPr fontId="281" type="noConversion"/>
  </si>
  <si>
    <t>亩</t>
    <phoneticPr fontId="231" type="noConversion"/>
  </si>
  <si>
    <t>分摊土地面积</t>
    <phoneticPr fontId="231" type="noConversion"/>
  </si>
  <si>
    <t>平方米</t>
    <phoneticPr fontId="231" type="noConversion"/>
  </si>
  <si>
    <t>万元/亩</t>
    <phoneticPr fontId="231" type="noConversion"/>
  </si>
  <si>
    <t>元/平方米</t>
    <phoneticPr fontId="231" type="noConversion"/>
  </si>
  <si>
    <t>万平方米</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</si>
</sst>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91">
    <font>
      <sz val="11"/>
      <color theme="1"/>
      <name val="宋体"/>
      <charset val="134"/>
      <scheme val="minor"/>
    </font>
    <font>
      <sz val="11"/>
      <color theme="1"/>
      <name val="宋体"/>
      <family val="2"/>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indexed="53"/>
      <name val="仿宋_GB2312"/>
      <family val="3"/>
      <charset val="134"/>
    </font>
    <font>
      <b/>
      <sz val="11"/>
      <color indexed="53"/>
      <name val="仿宋_GB2312"/>
      <family val="3"/>
      <charset val="134"/>
    </font>
    <font>
      <b/>
      <sz val="10"/>
      <name val="宋体"/>
      <family val="3"/>
      <charset val="134"/>
      <scheme val="minor"/>
    </font>
    <font>
      <sz val="9"/>
      <name val="宋体"/>
      <family val="2"/>
      <charset val="134"/>
      <scheme val="minor"/>
    </font>
    <font>
      <sz val="11"/>
      <color theme="1"/>
      <name val="宋体"/>
      <family val="2"/>
      <charset val="134"/>
      <scheme val="minor"/>
    </font>
    <font>
      <b/>
      <sz val="14"/>
      <name val="宋体"/>
      <family val="3"/>
      <charset val="134"/>
      <scheme val="minor"/>
    </font>
    <font>
      <sz val="10"/>
      <name val="宋体"/>
      <family val="3"/>
      <charset val="134"/>
      <scheme val="minor"/>
    </font>
    <font>
      <sz val="14"/>
      <color theme="1"/>
      <name val="宋体"/>
      <family val="3"/>
      <charset val="134"/>
      <scheme val="minor"/>
    </font>
    <font>
      <sz val="14"/>
      <name val="宋体"/>
      <family val="3"/>
      <charset val="134"/>
      <scheme val="minor"/>
    </font>
    <font>
      <b/>
      <sz val="14"/>
      <color rgb="FFFF0000"/>
      <name val="宋体"/>
      <family val="3"/>
      <charset val="134"/>
      <scheme val="minor"/>
    </font>
    <font>
      <b/>
      <sz val="10"/>
      <color rgb="FFFF0000"/>
      <name val="宋体"/>
      <family val="3"/>
      <charset val="134"/>
      <scheme val="minor"/>
    </font>
    <font>
      <b/>
      <sz val="14"/>
      <color theme="1"/>
      <name val="宋体"/>
      <family val="3"/>
      <charset val="134"/>
      <scheme val="minor"/>
    </font>
    <font>
      <sz val="9"/>
      <color rgb="FF00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24">
    <xf numFmtId="0" fontId="0"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xf numFmtId="0" fontId="148" fillId="0" borderId="0">
      <alignment vertical="center"/>
    </xf>
    <xf numFmtId="0" fontId="35" fillId="0" borderId="0"/>
    <xf numFmtId="0" fontId="148" fillId="0" borderId="0">
      <alignment vertical="center"/>
    </xf>
    <xf numFmtId="0" fontId="148" fillId="0" borderId="0"/>
    <xf numFmtId="0" fontId="148" fillId="0" borderId="0">
      <alignment vertical="center"/>
    </xf>
    <xf numFmtId="0" fontId="5" fillId="0" borderId="0">
      <alignment vertical="center"/>
    </xf>
    <xf numFmtId="9" fontId="35" fillId="0" borderId="0" applyFont="0" applyFill="0" applyBorder="0" applyAlignment="0" applyProtection="0">
      <alignment vertical="center"/>
    </xf>
    <xf numFmtId="0" fontId="148" fillId="0" borderId="0">
      <alignment vertical="center"/>
    </xf>
    <xf numFmtId="0" fontId="4" fillId="0" borderId="0">
      <alignment vertical="center"/>
    </xf>
    <xf numFmtId="0" fontId="259" fillId="0" borderId="0"/>
    <xf numFmtId="0" fontId="4" fillId="0" borderId="0">
      <alignment vertical="center"/>
    </xf>
    <xf numFmtId="0" fontId="4" fillId="0" borderId="0">
      <alignment vertical="center"/>
    </xf>
    <xf numFmtId="0" fontId="148" fillId="0" borderId="0">
      <alignment vertical="center"/>
    </xf>
    <xf numFmtId="0" fontId="148" fillId="0" borderId="0">
      <alignment vertical="center"/>
    </xf>
    <xf numFmtId="0" fontId="35" fillId="0" borderId="0"/>
    <xf numFmtId="0" fontId="282" fillId="0" borderId="0">
      <alignment vertical="center"/>
    </xf>
    <xf numFmtId="0" fontId="3" fillId="0" borderId="0"/>
    <xf numFmtId="0" fontId="282" fillId="0" borderId="0">
      <alignment vertical="center"/>
    </xf>
    <xf numFmtId="0" fontId="2" fillId="0" borderId="0"/>
  </cellStyleXfs>
  <cellXfs count="3969">
    <xf numFmtId="0" fontId="0" fillId="0" borderId="0" xfId="0">
      <alignment vertical="center"/>
    </xf>
    <xf numFmtId="0" fontId="20" fillId="5" borderId="1" xfId="0" applyFont="1" applyFill="1" applyBorder="1" applyAlignment="1" applyProtection="1">
      <alignment horizontal="center" vertical="center" wrapText="1"/>
    </xf>
    <xf numFmtId="0" fontId="0" fillId="0" borderId="0" xfId="0" applyAlignment="1">
      <alignment vertical="center" wrapText="1"/>
    </xf>
    <xf numFmtId="0" fontId="151" fillId="0" borderId="2" xfId="0" applyFont="1" applyBorder="1" applyAlignment="1">
      <alignment vertical="center" wrapText="1"/>
    </xf>
    <xf numFmtId="0" fontId="151" fillId="0" borderId="2" xfId="0" applyFont="1" applyBorder="1" applyAlignment="1">
      <alignment horizontal="center" vertical="center" wrapText="1"/>
    </xf>
    <xf numFmtId="0" fontId="152" fillId="5" borderId="3" xfId="0" applyFont="1" applyFill="1" applyBorder="1" applyAlignment="1" applyProtection="1">
      <alignment horizontal="center" vertical="center" wrapText="1"/>
    </xf>
    <xf numFmtId="0" fontId="152" fillId="5" borderId="0" xfId="0" applyFont="1" applyFill="1" applyAlignment="1" applyProtection="1">
      <alignment horizontal="center" vertical="center" wrapText="1"/>
    </xf>
    <xf numFmtId="0" fontId="77" fillId="5" borderId="0" xfId="0" applyNumberFormat="1" applyFont="1" applyFill="1" applyBorder="1" applyAlignment="1" applyProtection="1">
      <alignment horizontal="center" vertical="center" wrapText="1"/>
    </xf>
    <xf numFmtId="0" fontId="152" fillId="0" borderId="2" xfId="0" applyFont="1" applyBorder="1" applyAlignment="1" applyProtection="1">
      <alignment horizontal="center" vertical="center"/>
      <protection locked="0"/>
    </xf>
    <xf numFmtId="0" fontId="152" fillId="5" borderId="0" xfId="0" applyFont="1" applyFill="1" applyAlignment="1" applyProtection="1">
      <alignment horizontal="center" vertical="center"/>
    </xf>
    <xf numFmtId="0" fontId="152" fillId="0" borderId="0" xfId="0" applyFont="1" applyAlignment="1" applyProtection="1">
      <alignment horizontal="center" vertical="center"/>
      <protection locked="0"/>
    </xf>
    <xf numFmtId="0" fontId="152" fillId="5" borderId="0" xfId="0" applyFont="1" applyFill="1" applyProtection="1">
      <alignment vertical="center"/>
    </xf>
    <xf numFmtId="0" fontId="79" fillId="0" borderId="2" xfId="0" applyFont="1" applyBorder="1" applyAlignment="1" applyProtection="1">
      <alignment horizontal="center" vertical="center" wrapText="1"/>
      <protection locked="0"/>
    </xf>
    <xf numFmtId="0" fontId="153" fillId="5" borderId="0" xfId="0" applyFont="1" applyFill="1" applyAlignment="1" applyProtection="1">
      <alignment horizontal="left" vertical="center"/>
    </xf>
    <xf numFmtId="0" fontId="74" fillId="5" borderId="0" xfId="0" applyFont="1" applyFill="1" applyAlignment="1" applyProtection="1">
      <alignment horizontal="center" vertical="center" wrapText="1"/>
    </xf>
    <xf numFmtId="0" fontId="74" fillId="0" borderId="0" xfId="0" applyFont="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9" fillId="5" borderId="2" xfId="0" applyFont="1" applyFill="1" applyBorder="1" applyAlignment="1" applyProtection="1">
      <alignment horizontal="center" vertical="center" wrapText="1"/>
    </xf>
    <xf numFmtId="0" fontId="79" fillId="0" borderId="0" xfId="0" applyFont="1" applyAlignment="1" applyProtection="1">
      <alignment horizontal="center" vertical="center" wrapText="1"/>
      <protection locked="0"/>
    </xf>
    <xf numFmtId="0" fontId="154" fillId="5" borderId="0" xfId="0" applyFont="1" applyFill="1" applyAlignment="1" applyProtection="1">
      <alignment horizontal="left" vertical="center"/>
    </xf>
    <xf numFmtId="0" fontId="79" fillId="5" borderId="4" xfId="0" applyFont="1" applyFill="1" applyBorder="1" applyAlignment="1" applyProtection="1">
      <alignment horizontal="center" vertical="center" wrapText="1"/>
    </xf>
    <xf numFmtId="180" fontId="79" fillId="0" borderId="2" xfId="0" applyNumberFormat="1" applyFont="1" applyBorder="1" applyAlignment="1" applyProtection="1">
      <alignment horizontal="center" vertical="center" wrapText="1"/>
      <protection locked="0"/>
    </xf>
    <xf numFmtId="180" fontId="155" fillId="5" borderId="2" xfId="0" applyNumberFormat="1" applyFont="1" applyFill="1" applyBorder="1" applyAlignment="1" applyProtection="1">
      <alignment horizontal="center" vertical="center" wrapText="1"/>
    </xf>
    <xf numFmtId="0" fontId="79" fillId="2" borderId="2" xfId="0" applyFont="1" applyFill="1" applyBorder="1" applyAlignment="1" applyProtection="1">
      <alignment horizontal="center" vertical="center" wrapText="1"/>
      <protection locked="0"/>
    </xf>
    <xf numFmtId="0" fontId="79" fillId="3" borderId="5" xfId="0" applyFont="1" applyFill="1" applyBorder="1" applyAlignment="1" applyProtection="1">
      <alignment horizontal="center" vertical="center" wrapText="1"/>
      <protection locked="0"/>
    </xf>
    <xf numFmtId="0" fontId="79" fillId="0" borderId="0" xfId="0" applyFont="1" applyFill="1" applyAlignment="1" applyProtection="1">
      <alignment horizontal="center" vertical="center" wrapText="1"/>
      <protection locked="0"/>
    </xf>
    <xf numFmtId="0" fontId="79" fillId="5" borderId="5" xfId="0" applyFont="1" applyFill="1" applyBorder="1" applyAlignment="1" applyProtection="1">
      <alignment horizontal="left" vertical="center"/>
    </xf>
    <xf numFmtId="177" fontId="79" fillId="5" borderId="2" xfId="0" applyNumberFormat="1" applyFont="1" applyFill="1" applyBorder="1" applyAlignment="1" applyProtection="1">
      <alignment horizontal="center" vertical="center" wrapText="1"/>
    </xf>
    <xf numFmtId="0" fontId="79" fillId="5" borderId="1" xfId="0" applyFont="1" applyFill="1" applyBorder="1" applyAlignment="1" applyProtection="1">
      <alignment horizontal="center" vertical="center" wrapText="1"/>
    </xf>
    <xf numFmtId="177" fontId="79" fillId="5" borderId="6" xfId="0" applyNumberFormat="1" applyFont="1" applyFill="1" applyBorder="1" applyAlignment="1" applyProtection="1">
      <alignment horizontal="center" vertical="center" wrapText="1"/>
    </xf>
    <xf numFmtId="177" fontId="79" fillId="5" borderId="7" xfId="0" applyNumberFormat="1" applyFont="1" applyFill="1" applyBorder="1" applyAlignment="1" applyProtection="1">
      <alignment horizontal="center" vertical="center" wrapText="1"/>
    </xf>
    <xf numFmtId="177" fontId="79" fillId="5" borderId="8" xfId="0" applyNumberFormat="1" applyFont="1" applyFill="1" applyBorder="1" applyAlignment="1" applyProtection="1">
      <alignment horizontal="center" vertical="center" wrapText="1"/>
    </xf>
    <xf numFmtId="177" fontId="79" fillId="5" borderId="9" xfId="0" applyNumberFormat="1" applyFont="1" applyFill="1" applyBorder="1" applyAlignment="1" applyProtection="1">
      <alignment horizontal="center" vertical="center" wrapText="1"/>
    </xf>
    <xf numFmtId="177" fontId="79" fillId="5" borderId="10" xfId="0" applyNumberFormat="1" applyFont="1" applyFill="1" applyBorder="1" applyAlignment="1" applyProtection="1">
      <alignment horizontal="center" vertical="center" wrapText="1"/>
    </xf>
    <xf numFmtId="177" fontId="79" fillId="5" borderId="5" xfId="0" applyNumberFormat="1" applyFont="1" applyFill="1" applyBorder="1" applyAlignment="1" applyProtection="1">
      <alignment horizontal="center" vertical="center" wrapText="1"/>
    </xf>
    <xf numFmtId="177" fontId="79" fillId="5" borderId="11" xfId="0" applyNumberFormat="1" applyFont="1" applyFill="1" applyBorder="1" applyAlignment="1" applyProtection="1">
      <alignment horizontal="center" vertical="center" wrapText="1"/>
    </xf>
    <xf numFmtId="177" fontId="79" fillId="5" borderId="12" xfId="0" applyNumberFormat="1" applyFont="1" applyFill="1" applyBorder="1" applyAlignment="1" applyProtection="1">
      <alignment horizontal="center" vertical="center" wrapText="1"/>
    </xf>
    <xf numFmtId="177" fontId="79" fillId="0" borderId="0" xfId="0" applyNumberFormat="1" applyFont="1" applyAlignment="1" applyProtection="1">
      <alignment horizontal="center" vertical="center" wrapText="1"/>
      <protection locked="0"/>
    </xf>
    <xf numFmtId="0" fontId="79" fillId="5" borderId="13" xfId="0" applyFont="1" applyFill="1" applyBorder="1" applyAlignment="1" applyProtection="1">
      <alignment horizontal="center" vertical="center" wrapText="1"/>
    </xf>
    <xf numFmtId="0" fontId="79" fillId="5" borderId="4" xfId="0" applyFont="1" applyFill="1" applyBorder="1" applyAlignment="1" applyProtection="1">
      <alignment horizontal="left" vertical="center"/>
    </xf>
    <xf numFmtId="0" fontId="79" fillId="5" borderId="14" xfId="0" applyFont="1" applyFill="1" applyBorder="1" applyAlignment="1" applyProtection="1">
      <alignment horizontal="center" vertical="center" wrapText="1"/>
    </xf>
    <xf numFmtId="0" fontId="79" fillId="5" borderId="10" xfId="0" applyFont="1" applyFill="1" applyBorder="1" applyAlignment="1" applyProtection="1">
      <alignment horizontal="center" vertical="center" wrapText="1"/>
    </xf>
    <xf numFmtId="0" fontId="79" fillId="5" borderId="0" xfId="0" applyFont="1" applyFill="1" applyBorder="1" applyAlignment="1" applyProtection="1">
      <alignment horizontal="center" vertical="center" wrapText="1"/>
    </xf>
    <xf numFmtId="0" fontId="79" fillId="5" borderId="14" xfId="0" applyFont="1" applyFill="1" applyBorder="1" applyAlignment="1" applyProtection="1">
      <alignment horizontal="center" vertical="center"/>
    </xf>
    <xf numFmtId="0" fontId="79" fillId="5" borderId="15" xfId="0" applyFont="1" applyFill="1" applyBorder="1" applyAlignment="1" applyProtection="1">
      <alignment horizontal="center" vertical="center" wrapText="1"/>
    </xf>
    <xf numFmtId="0" fontId="79" fillId="5" borderId="13" xfId="0" applyFont="1" applyFill="1" applyBorder="1" applyAlignment="1" applyProtection="1">
      <alignment horizontal="center" vertical="center"/>
    </xf>
    <xf numFmtId="0" fontId="79" fillId="5" borderId="4" xfId="0" applyFont="1" applyFill="1" applyBorder="1" applyAlignment="1" applyProtection="1">
      <alignment horizontal="center" vertical="center"/>
    </xf>
    <xf numFmtId="180" fontId="79" fillId="5" borderId="5" xfId="0" applyNumberFormat="1" applyFont="1" applyFill="1" applyBorder="1" applyAlignment="1" applyProtection="1">
      <alignment horizontal="left" vertical="center"/>
    </xf>
    <xf numFmtId="0" fontId="82" fillId="5" borderId="8" xfId="0" applyFont="1" applyFill="1" applyBorder="1" applyAlignment="1" applyProtection="1">
      <alignment horizontal="center" vertical="center"/>
    </xf>
    <xf numFmtId="180" fontId="79" fillId="5" borderId="8" xfId="0" applyNumberFormat="1" applyFont="1" applyFill="1" applyBorder="1" applyAlignment="1" applyProtection="1">
      <alignment horizontal="center" vertical="center"/>
    </xf>
    <xf numFmtId="180" fontId="79" fillId="5" borderId="9" xfId="0" applyNumberFormat="1" applyFont="1" applyFill="1" applyBorder="1" applyAlignment="1" applyProtection="1">
      <alignment horizontal="center" vertical="center"/>
    </xf>
    <xf numFmtId="0" fontId="79" fillId="5" borderId="8" xfId="0" applyFont="1" applyFill="1" applyBorder="1" applyAlignment="1" applyProtection="1">
      <alignment horizontal="left" vertical="center"/>
    </xf>
    <xf numFmtId="0" fontId="82" fillId="5" borderId="14"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79" fillId="5" borderId="10" xfId="0"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16" xfId="0" applyFont="1" applyFill="1" applyBorder="1" applyAlignment="1" applyProtection="1">
      <alignment horizontal="center" vertical="center"/>
    </xf>
    <xf numFmtId="0" fontId="79" fillId="0" borderId="0" xfId="0" applyFont="1" applyAlignment="1" applyProtection="1">
      <alignment horizontal="center" vertical="center"/>
      <protection locked="0"/>
    </xf>
    <xf numFmtId="180" fontId="79" fillId="5" borderId="0" xfId="0" applyNumberFormat="1" applyFont="1" applyFill="1" applyBorder="1" applyAlignment="1" applyProtection="1">
      <alignment horizontal="center" vertical="center"/>
    </xf>
    <xf numFmtId="0" fontId="79" fillId="2" borderId="17" xfId="0" applyFont="1" applyFill="1" applyBorder="1" applyAlignment="1" applyProtection="1">
      <alignment horizontal="left" vertical="center"/>
      <protection locked="0"/>
    </xf>
    <xf numFmtId="0" fontId="82" fillId="5" borderId="8" xfId="0" applyFont="1" applyFill="1" applyBorder="1" applyAlignment="1" applyProtection="1">
      <alignment horizontal="left" vertical="center"/>
    </xf>
    <xf numFmtId="0" fontId="79" fillId="5" borderId="9" xfId="0" applyFont="1" applyFill="1" applyBorder="1" applyAlignment="1" applyProtection="1">
      <alignment horizontal="left" vertical="center"/>
    </xf>
    <xf numFmtId="0" fontId="79" fillId="5" borderId="18" xfId="0" applyFont="1" applyFill="1" applyBorder="1" applyAlignment="1" applyProtection="1">
      <alignment horizontal="center" vertical="center"/>
    </xf>
    <xf numFmtId="180" fontId="79" fillId="5" borderId="17" xfId="0" applyNumberFormat="1" applyFont="1" applyFill="1" applyBorder="1" applyAlignment="1" applyProtection="1">
      <alignment horizontal="center" vertical="center"/>
    </xf>
    <xf numFmtId="0" fontId="82" fillId="5" borderId="19" xfId="0" applyFont="1" applyFill="1" applyBorder="1" applyAlignment="1" applyProtection="1">
      <alignment horizontal="center" vertical="center"/>
    </xf>
    <xf numFmtId="180" fontId="79" fillId="5" borderId="20" xfId="0" applyNumberFormat="1" applyFont="1" applyFill="1" applyBorder="1" applyAlignment="1" applyProtection="1">
      <alignment horizontal="center" vertical="center"/>
    </xf>
    <xf numFmtId="0" fontId="79" fillId="2" borderId="5" xfId="0" applyFont="1" applyFill="1" applyBorder="1" applyAlignment="1" applyProtection="1">
      <alignment horizontal="left" vertical="center"/>
      <protection locked="0"/>
    </xf>
    <xf numFmtId="180" fontId="79" fillId="5" borderId="18" xfId="0" applyNumberFormat="1" applyFont="1" applyFill="1" applyBorder="1" applyAlignment="1" applyProtection="1">
      <alignment horizontal="center" vertical="center"/>
    </xf>
    <xf numFmtId="0" fontId="79" fillId="5" borderId="20" xfId="0" applyFont="1" applyFill="1" applyBorder="1" applyAlignment="1" applyProtection="1">
      <alignment horizontal="center" vertical="center"/>
    </xf>
    <xf numFmtId="0" fontId="79" fillId="5" borderId="21" xfId="0" applyFont="1" applyFill="1" applyBorder="1" applyAlignment="1" applyProtection="1">
      <alignment horizontal="center" vertical="center"/>
    </xf>
    <xf numFmtId="0" fontId="79" fillId="2" borderId="8" xfId="0" applyFont="1" applyFill="1" applyBorder="1" applyAlignment="1" applyProtection="1">
      <alignment horizontal="left" vertical="center"/>
      <protection locked="0"/>
    </xf>
    <xf numFmtId="0" fontId="82" fillId="5" borderId="9" xfId="0" applyFont="1" applyFill="1" applyBorder="1" applyAlignment="1" applyProtection="1">
      <alignment horizontal="left" vertical="center"/>
    </xf>
    <xf numFmtId="0" fontId="79" fillId="5" borderId="17" xfId="0"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180" fontId="79" fillId="5" borderId="20" xfId="0" applyNumberFormat="1" applyFont="1" applyFill="1" applyBorder="1" applyAlignment="1" applyProtection="1">
      <alignment horizontal="center" vertical="center" wrapText="1"/>
    </xf>
    <xf numFmtId="180" fontId="79" fillId="5" borderId="21" xfId="0" applyNumberFormat="1" applyFont="1" applyFill="1" applyBorder="1" applyAlignment="1" applyProtection="1">
      <alignment horizontal="center" vertical="center" wrapText="1"/>
    </xf>
    <xf numFmtId="180" fontId="79" fillId="5" borderId="17" xfId="0" applyNumberFormat="1" applyFont="1" applyFill="1" applyBorder="1" applyAlignment="1" applyProtection="1">
      <alignment horizontal="center" vertical="center" wrapText="1"/>
    </xf>
    <xf numFmtId="0" fontId="79" fillId="5" borderId="3" xfId="0" applyFont="1" applyFill="1" applyBorder="1" applyAlignment="1" applyProtection="1">
      <alignment horizontal="center" vertical="center" wrapText="1"/>
    </xf>
    <xf numFmtId="0" fontId="79" fillId="5" borderId="18" xfId="0" applyFont="1" applyFill="1" applyBorder="1" applyAlignment="1" applyProtection="1">
      <alignment horizontal="center" vertical="center" wrapText="1"/>
    </xf>
    <xf numFmtId="180" fontId="79" fillId="5" borderId="2" xfId="0" applyNumberFormat="1" applyFont="1" applyFill="1" applyBorder="1" applyAlignment="1" applyProtection="1">
      <alignment horizontal="center" vertical="center"/>
    </xf>
    <xf numFmtId="0" fontId="79" fillId="2" borderId="21" xfId="0" applyFont="1" applyFill="1" applyBorder="1" applyAlignment="1" applyProtection="1">
      <alignment horizontal="center" vertical="center" wrapText="1"/>
      <protection locked="0"/>
    </xf>
    <xf numFmtId="177" fontId="79" fillId="0" borderId="21" xfId="0" applyNumberFormat="1" applyFont="1" applyFill="1" applyBorder="1" applyAlignment="1" applyProtection="1">
      <alignment horizontal="center" vertical="center" wrapText="1"/>
      <protection locked="0"/>
    </xf>
    <xf numFmtId="177" fontId="79" fillId="5" borderId="21" xfId="0" applyNumberFormat="1" applyFont="1" applyFill="1" applyBorder="1" applyAlignment="1" applyProtection="1">
      <alignment horizontal="center" vertical="center" wrapText="1"/>
    </xf>
    <xf numFmtId="177" fontId="79" fillId="0" borderId="2" xfId="0" applyNumberFormat="1" applyFont="1" applyBorder="1" applyAlignment="1" applyProtection="1">
      <alignment vertical="center" wrapText="1"/>
      <protection locked="0"/>
    </xf>
    <xf numFmtId="0" fontId="74" fillId="0" borderId="2" xfId="0" applyFont="1" applyBorder="1" applyAlignment="1" applyProtection="1">
      <alignment horizontal="center" vertical="center" wrapText="1"/>
      <protection locked="0"/>
    </xf>
    <xf numFmtId="0" fontId="74" fillId="0" borderId="21" xfId="0" applyFont="1" applyBorder="1" applyAlignment="1" applyProtection="1">
      <alignment horizontal="center" vertical="center" wrapText="1"/>
      <protection locked="0"/>
    </xf>
    <xf numFmtId="0" fontId="74" fillId="6" borderId="21" xfId="0" applyFont="1" applyFill="1" applyBorder="1" applyAlignment="1" applyProtection="1">
      <alignment horizontal="center" vertical="center" wrapText="1"/>
      <protection locked="0"/>
    </xf>
    <xf numFmtId="177" fontId="74" fillId="5" borderId="2" xfId="0" applyNumberFormat="1" applyFont="1" applyFill="1" applyBorder="1" applyAlignment="1" applyProtection="1">
      <alignment horizontal="center" vertical="center" wrapText="1"/>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177" fontId="74" fillId="0" borderId="2" xfId="0" applyNumberFormat="1" applyFont="1" applyBorder="1" applyAlignment="1" applyProtection="1">
      <alignment horizontal="center" vertical="center" wrapText="1"/>
      <protection locked="0"/>
    </xf>
    <xf numFmtId="177" fontId="74" fillId="0" borderId="21" xfId="0" applyNumberFormat="1"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0" fontId="74" fillId="5" borderId="9" xfId="0"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0" fontId="74" fillId="0" borderId="2" xfId="0" applyFont="1" applyBorder="1" applyAlignment="1" applyProtection="1">
      <alignment vertical="center" wrapText="1"/>
      <protection locked="0"/>
    </xf>
    <xf numFmtId="0" fontId="74" fillId="0" borderId="5"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177" fontId="74" fillId="0" borderId="0" xfId="0" applyNumberFormat="1" applyFont="1" applyFill="1" applyBorder="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83" fillId="0" borderId="0" xfId="0" applyFont="1" applyAlignment="1" applyProtection="1">
      <alignment horizontal="center" vertical="center"/>
      <protection locked="0"/>
    </xf>
    <xf numFmtId="0" fontId="153" fillId="5" borderId="0" xfId="0" applyFont="1" applyFill="1" applyProtection="1">
      <alignment vertical="center"/>
    </xf>
    <xf numFmtId="0" fontId="74" fillId="5" borderId="0" xfId="0" applyFont="1" applyFill="1" applyProtection="1">
      <alignment vertical="center"/>
    </xf>
    <xf numFmtId="177" fontId="86" fillId="5" borderId="2" xfId="2" applyNumberFormat="1" applyFont="1" applyFill="1" applyBorder="1" applyAlignment="1" applyProtection="1">
      <alignment horizontal="center" vertical="center"/>
    </xf>
    <xf numFmtId="0" fontId="78" fillId="5" borderId="10" xfId="0" applyFont="1" applyFill="1" applyBorder="1" applyAlignment="1" applyProtection="1">
      <alignment vertical="center"/>
    </xf>
    <xf numFmtId="0" fontId="78" fillId="5" borderId="6" xfId="0" applyFont="1" applyFill="1" applyBorder="1" applyAlignment="1" applyProtection="1">
      <alignment horizontal="center" vertical="center"/>
    </xf>
    <xf numFmtId="177" fontId="86" fillId="5" borderId="7" xfId="2" applyNumberFormat="1" applyFont="1" applyFill="1" applyBorder="1" applyAlignment="1" applyProtection="1">
      <alignment horizontal="center" vertical="center"/>
    </xf>
    <xf numFmtId="0" fontId="74" fillId="5" borderId="22" xfId="0" applyFont="1" applyFill="1" applyBorder="1" applyAlignment="1" applyProtection="1">
      <alignment vertical="center"/>
    </xf>
    <xf numFmtId="0" fontId="74" fillId="5" borderId="2" xfId="0" applyFont="1" applyFill="1" applyBorder="1" applyAlignment="1" applyProtection="1">
      <alignment vertical="center"/>
    </xf>
    <xf numFmtId="177" fontId="74" fillId="5" borderId="12" xfId="0" applyNumberFormat="1" applyFont="1" applyFill="1" applyBorder="1" applyAlignment="1" applyProtection="1">
      <alignment vertical="center"/>
    </xf>
    <xf numFmtId="0" fontId="74" fillId="5" borderId="23" xfId="0" applyFont="1" applyFill="1" applyBorder="1" applyAlignment="1" applyProtection="1">
      <alignment vertical="center"/>
    </xf>
    <xf numFmtId="177" fontId="78" fillId="5" borderId="7"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12" xfId="0" applyFont="1" applyFill="1" applyBorder="1" applyAlignment="1" applyProtection="1">
      <alignment vertical="center"/>
    </xf>
    <xf numFmtId="0" fontId="74" fillId="5" borderId="24" xfId="0" applyFont="1" applyFill="1" applyBorder="1" applyAlignment="1" applyProtection="1">
      <alignment vertical="center"/>
    </xf>
    <xf numFmtId="0" fontId="74" fillId="5" borderId="3" xfId="0" applyFont="1" applyFill="1" applyBorder="1" applyAlignment="1" applyProtection="1">
      <alignment vertical="center"/>
    </xf>
    <xf numFmtId="0" fontId="74" fillId="0" borderId="12" xfId="0" applyFont="1" applyFill="1" applyBorder="1" applyAlignment="1" applyProtection="1">
      <alignment vertical="center"/>
      <protection locked="0"/>
    </xf>
    <xf numFmtId="0" fontId="74" fillId="5" borderId="25" xfId="0" applyFont="1" applyFill="1" applyBorder="1" applyAlignment="1" applyProtection="1">
      <alignment vertical="center"/>
    </xf>
    <xf numFmtId="0" fontId="74" fillId="5" borderId="26" xfId="0" applyFont="1" applyFill="1" applyBorder="1" applyAlignment="1" applyProtection="1">
      <alignment vertical="center"/>
    </xf>
    <xf numFmtId="0" fontId="74" fillId="5" borderId="27" xfId="0" applyFont="1" applyFill="1" applyBorder="1" applyProtection="1">
      <alignment vertical="center"/>
    </xf>
    <xf numFmtId="0" fontId="74" fillId="5" borderId="28" xfId="0" applyFont="1" applyFill="1" applyBorder="1" applyAlignment="1" applyProtection="1">
      <alignment vertical="center"/>
    </xf>
    <xf numFmtId="177" fontId="86" fillId="5" borderId="29" xfId="2" applyNumberFormat="1" applyFont="1" applyFill="1" applyBorder="1" applyAlignment="1" applyProtection="1">
      <alignment horizontal="center" vertical="center"/>
    </xf>
    <xf numFmtId="177" fontId="86" fillId="5" borderId="30" xfId="2" applyNumberFormat="1" applyFont="1" applyFill="1" applyBorder="1" applyAlignment="1" applyProtection="1">
      <alignment horizontal="center" vertical="center"/>
    </xf>
    <xf numFmtId="0" fontId="78" fillId="5" borderId="5"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21" xfId="0" applyFont="1" applyFill="1" applyBorder="1" applyAlignment="1" applyProtection="1">
      <alignment vertical="center"/>
    </xf>
    <xf numFmtId="0" fontId="74" fillId="5" borderId="0" xfId="0"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180" fontId="74" fillId="5" borderId="2" xfId="0" applyNumberFormat="1" applyFont="1" applyFill="1" applyBorder="1" applyAlignment="1" applyProtection="1">
      <alignment horizontal="center" vertical="center"/>
    </xf>
    <xf numFmtId="0" fontId="74" fillId="5" borderId="31" xfId="0" applyFont="1" applyFill="1" applyBorder="1" applyProtection="1">
      <alignment vertical="center"/>
    </xf>
    <xf numFmtId="177" fontId="74" fillId="5" borderId="2" xfId="0" applyNumberFormat="1" applyFont="1" applyFill="1" applyBorder="1" applyAlignment="1" applyProtection="1">
      <alignment vertical="center"/>
    </xf>
    <xf numFmtId="0" fontId="79" fillId="3" borderId="9" xfId="0" applyFont="1" applyFill="1" applyBorder="1" applyProtection="1">
      <alignment vertical="center"/>
      <protection locked="0"/>
    </xf>
    <xf numFmtId="0" fontId="74" fillId="5" borderId="9" xfId="0" applyFont="1" applyFill="1" applyBorder="1" applyAlignment="1" applyProtection="1">
      <alignment vertical="center"/>
    </xf>
    <xf numFmtId="0" fontId="79" fillId="0" borderId="2" xfId="0" applyFont="1" applyBorder="1" applyAlignment="1" applyProtection="1">
      <alignment horizontal="center" vertical="center"/>
      <protection locked="0"/>
    </xf>
    <xf numFmtId="0" fontId="74" fillId="5" borderId="31" xfId="0" applyFont="1" applyFill="1" applyBorder="1" applyAlignment="1" applyProtection="1">
      <alignment vertical="center"/>
    </xf>
    <xf numFmtId="178" fontId="74" fillId="0" borderId="2" xfId="2" applyNumberFormat="1" applyFont="1" applyFill="1" applyBorder="1" applyAlignment="1" applyProtection="1">
      <alignment vertical="center"/>
      <protection locked="0"/>
    </xf>
    <xf numFmtId="0" fontId="74" fillId="3" borderId="32" xfId="0" applyFont="1" applyFill="1" applyBorder="1" applyProtection="1">
      <alignment vertical="center"/>
      <protection locked="0"/>
    </xf>
    <xf numFmtId="0" fontId="74" fillId="0" borderId="2" xfId="0" applyFont="1" applyBorder="1" applyAlignment="1" applyProtection="1">
      <alignment horizontal="center" vertical="center"/>
      <protection locked="0"/>
    </xf>
    <xf numFmtId="178" fontId="74" fillId="0" borderId="9" xfId="2" applyNumberFormat="1" applyFont="1" applyFill="1" applyBorder="1" applyAlignment="1" applyProtection="1">
      <alignment vertical="center"/>
      <protection locked="0"/>
    </xf>
    <xf numFmtId="177" fontId="74" fillId="5" borderId="2" xfId="0" applyNumberFormat="1" applyFont="1" applyFill="1" applyBorder="1" applyAlignment="1" applyProtection="1">
      <alignment horizontal="center" vertical="center"/>
    </xf>
    <xf numFmtId="0" fontId="74" fillId="5" borderId="9" xfId="0" applyFont="1" applyFill="1" applyBorder="1" applyProtection="1">
      <alignment vertical="center"/>
    </xf>
    <xf numFmtId="0" fontId="74" fillId="5" borderId="16" xfId="0" applyFont="1" applyFill="1" applyBorder="1" applyProtection="1">
      <alignment vertical="center"/>
    </xf>
    <xf numFmtId="0" fontId="74" fillId="5" borderId="25" xfId="0" applyFont="1" applyFill="1" applyBorder="1" applyProtection="1">
      <alignment vertical="center"/>
    </xf>
    <xf numFmtId="0" fontId="74" fillId="5" borderId="32" xfId="0" applyFont="1" applyFill="1" applyBorder="1" applyAlignment="1" applyProtection="1">
      <alignment horizontal="left" vertical="center"/>
    </xf>
    <xf numFmtId="0" fontId="153" fillId="5" borderId="0" xfId="0" applyFont="1" applyFill="1" applyAlignment="1" applyProtection="1">
      <alignment vertical="center" wrapText="1"/>
    </xf>
    <xf numFmtId="0" fontId="78" fillId="5" borderId="33" xfId="0" applyFont="1" applyFill="1" applyBorder="1" applyAlignment="1" applyProtection="1">
      <alignment vertical="center" wrapText="1"/>
    </xf>
    <xf numFmtId="0" fontId="78" fillId="5" borderId="35" xfId="0" applyFont="1" applyFill="1" applyBorder="1" applyAlignment="1" applyProtection="1">
      <alignment vertical="center" wrapText="1"/>
    </xf>
    <xf numFmtId="0" fontId="74" fillId="5" borderId="4" xfId="0" applyFont="1" applyFill="1" applyBorder="1" applyAlignment="1" applyProtection="1">
      <alignment horizontal="center" vertical="center"/>
    </xf>
    <xf numFmtId="0" fontId="74" fillId="5" borderId="36" xfId="0" applyFont="1" applyFill="1" applyBorder="1" applyAlignment="1" applyProtection="1">
      <alignment vertical="center"/>
    </xf>
    <xf numFmtId="0" fontId="74" fillId="5" borderId="37" xfId="0" applyFont="1" applyFill="1" applyBorder="1" applyAlignment="1" applyProtection="1">
      <alignment vertical="center"/>
    </xf>
    <xf numFmtId="0" fontId="74" fillId="5" borderId="38" xfId="0" applyFont="1" applyFill="1" applyBorder="1" applyAlignment="1" applyProtection="1">
      <alignment vertical="center"/>
    </xf>
    <xf numFmtId="0" fontId="74" fillId="5" borderId="39" xfId="0" applyFont="1" applyFill="1" applyBorder="1" applyAlignment="1" applyProtection="1">
      <alignment vertical="center"/>
    </xf>
    <xf numFmtId="0" fontId="74" fillId="5" borderId="6" xfId="2" applyFont="1" applyFill="1" applyBorder="1" applyAlignment="1" applyProtection="1">
      <alignment vertical="center" wrapText="1"/>
    </xf>
    <xf numFmtId="0" fontId="74" fillId="5" borderId="29" xfId="2" applyFont="1" applyFill="1" applyBorder="1" applyAlignment="1" applyProtection="1">
      <alignment vertical="center" wrapText="1"/>
    </xf>
    <xf numFmtId="181" fontId="87" fillId="5" borderId="1" xfId="2" applyNumberFormat="1"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180" fontId="74" fillId="5" borderId="6" xfId="0" applyNumberFormat="1" applyFont="1" applyFill="1" applyBorder="1" applyAlignment="1" applyProtection="1">
      <alignment horizontal="center" vertical="center" wrapText="1"/>
    </xf>
    <xf numFmtId="0" fontId="152" fillId="5" borderId="7" xfId="0" applyFont="1" applyFill="1" applyBorder="1" applyAlignment="1" applyProtection="1">
      <alignment horizontal="center" vertical="center" wrapText="1"/>
    </xf>
    <xf numFmtId="178" fontId="74" fillId="5" borderId="1" xfId="2" applyNumberFormat="1" applyFont="1" applyFill="1" applyBorder="1" applyAlignment="1" applyProtection="1">
      <alignment horizontal="center" vertical="center" wrapText="1"/>
    </xf>
    <xf numFmtId="0" fontId="74" fillId="5" borderId="6" xfId="2" applyFont="1" applyFill="1" applyBorder="1" applyAlignment="1" applyProtection="1">
      <alignment horizontal="center" vertical="center" wrapText="1"/>
    </xf>
    <xf numFmtId="180" fontId="74" fillId="5" borderId="6" xfId="2" applyNumberFormat="1" applyFont="1" applyFill="1" applyBorder="1" applyAlignment="1" applyProtection="1">
      <alignment horizontal="center" vertical="center" wrapText="1"/>
    </xf>
    <xf numFmtId="0" fontId="74" fillId="5" borderId="29" xfId="2" applyFont="1" applyFill="1" applyBorder="1" applyAlignment="1" applyProtection="1">
      <alignment horizontal="center" vertical="center" wrapText="1"/>
    </xf>
    <xf numFmtId="0" fontId="74" fillId="5" borderId="40" xfId="0" applyFont="1" applyFill="1" applyBorder="1" applyAlignment="1" applyProtection="1">
      <alignment horizontal="center" vertical="center" wrapText="1"/>
    </xf>
    <xf numFmtId="0" fontId="74" fillId="5" borderId="1" xfId="2" applyFont="1" applyFill="1" applyBorder="1" applyAlignment="1" applyProtection="1">
      <alignment horizontal="center" vertical="center" wrapText="1"/>
    </xf>
    <xf numFmtId="0" fontId="74" fillId="5" borderId="41" xfId="2"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74" fillId="5" borderId="7" xfId="0" applyFont="1" applyFill="1" applyBorder="1" applyAlignment="1" applyProtection="1">
      <alignment horizontal="center" vertical="center" wrapText="1"/>
    </xf>
    <xf numFmtId="0" fontId="74" fillId="5" borderId="42" xfId="0" applyFont="1" applyFill="1" applyBorder="1" applyAlignment="1" applyProtection="1">
      <alignment horizontal="center" vertical="center" wrapText="1"/>
    </xf>
    <xf numFmtId="0" fontId="74" fillId="5" borderId="29" xfId="0" applyFont="1" applyFill="1" applyBorder="1" applyAlignment="1" applyProtection="1">
      <alignment horizontal="center" vertical="center" wrapText="1"/>
    </xf>
    <xf numFmtId="178" fontId="74" fillId="2" borderId="5" xfId="2" applyNumberFormat="1" applyFont="1" applyFill="1" applyBorder="1" applyAlignment="1" applyProtection="1">
      <alignment vertical="center"/>
      <protection locked="0"/>
    </xf>
    <xf numFmtId="180" fontId="87" fillId="5" borderId="2" xfId="2" applyNumberFormat="1" applyFont="1" applyFill="1" applyBorder="1" applyAlignment="1" applyProtection="1">
      <alignment horizontal="center" vertical="center"/>
    </xf>
    <xf numFmtId="181" fontId="87" fillId="5" borderId="2" xfId="2" applyNumberFormat="1" applyFont="1" applyFill="1" applyBorder="1" applyAlignment="1" applyProtection="1">
      <alignment horizontal="center" vertical="center"/>
    </xf>
    <xf numFmtId="182" fontId="74" fillId="0" borderId="2" xfId="0" applyNumberFormat="1" applyFont="1" applyFill="1" applyBorder="1" applyAlignment="1" applyProtection="1">
      <alignment horizontal="center" vertical="center"/>
      <protection locked="0"/>
    </xf>
    <xf numFmtId="0" fontId="74" fillId="5" borderId="2" xfId="2" applyNumberFormat="1" applyFont="1" applyFill="1" applyBorder="1" applyAlignment="1" applyProtection="1">
      <alignment horizontal="center" vertical="center"/>
    </xf>
    <xf numFmtId="0" fontId="74" fillId="5" borderId="5" xfId="0" applyNumberFormat="1" applyFont="1" applyFill="1" applyBorder="1" applyAlignment="1" applyProtection="1">
      <alignment horizontal="center" vertical="center"/>
    </xf>
    <xf numFmtId="180" fontId="74" fillId="5" borderId="11" xfId="2" applyNumberFormat="1" applyFont="1" applyFill="1" applyBorder="1" applyAlignment="1" applyProtection="1">
      <alignment horizontal="center" vertical="center"/>
    </xf>
    <xf numFmtId="0" fontId="74" fillId="0" borderId="11" xfId="0" applyFont="1" applyBorder="1" applyAlignment="1" applyProtection="1">
      <alignment vertical="center"/>
      <protection locked="0"/>
    </xf>
    <xf numFmtId="182" fontId="74" fillId="0" borderId="2" xfId="0" applyNumberFormat="1" applyFont="1" applyBorder="1" applyAlignment="1" applyProtection="1">
      <alignment vertical="center"/>
      <protection locked="0"/>
    </xf>
    <xf numFmtId="182" fontId="74" fillId="0" borderId="12" xfId="0" applyNumberFormat="1" applyFont="1" applyBorder="1" applyAlignment="1" applyProtection="1">
      <alignment vertical="center"/>
      <protection locked="0"/>
    </xf>
    <xf numFmtId="0" fontId="74" fillId="0" borderId="9" xfId="0" applyFont="1" applyBorder="1" applyAlignment="1" applyProtection="1">
      <alignment vertical="center"/>
      <protection locked="0"/>
    </xf>
    <xf numFmtId="182" fontId="74" fillId="0" borderId="5" xfId="0" applyNumberFormat="1" applyFont="1" applyBorder="1" applyAlignment="1" applyProtection="1">
      <alignment vertical="center"/>
      <protection locked="0"/>
    </xf>
    <xf numFmtId="0" fontId="74" fillId="0" borderId="11" xfId="0" applyFont="1" applyBorder="1" applyAlignment="1" applyProtection="1">
      <alignment horizontal="center" vertical="center"/>
      <protection locked="0"/>
    </xf>
    <xf numFmtId="0" fontId="74" fillId="0" borderId="12" xfId="0"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0" fontId="74" fillId="0" borderId="2" xfId="0" applyNumberFormat="1" applyFont="1" applyBorder="1" applyAlignment="1" applyProtection="1">
      <alignment horizontal="center" vertical="center"/>
      <protection locked="0"/>
    </xf>
    <xf numFmtId="10" fontId="74" fillId="0" borderId="2" xfId="0" applyNumberFormat="1" applyFont="1" applyBorder="1" applyAlignment="1" applyProtection="1">
      <alignment horizontal="center" vertical="center"/>
      <protection locked="0"/>
    </xf>
    <xf numFmtId="183" fontId="74" fillId="0" borderId="2" xfId="0" applyNumberFormat="1" applyFont="1" applyBorder="1" applyAlignment="1" applyProtection="1">
      <alignment horizontal="center" vertical="center"/>
      <protection locked="0"/>
    </xf>
    <xf numFmtId="0" fontId="79" fillId="6" borderId="9" xfId="0"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78"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0" fontId="74" fillId="0" borderId="9" xfId="0" applyFont="1" applyBorder="1" applyAlignment="1" applyProtection="1">
      <alignment horizontal="center" vertical="center"/>
      <protection locked="0"/>
    </xf>
    <xf numFmtId="10" fontId="74" fillId="0" borderId="2" xfId="0" applyNumberFormat="1" applyFont="1" applyFill="1" applyBorder="1" applyAlignment="1" applyProtection="1">
      <alignment horizontal="center" vertical="center"/>
      <protection locked="0"/>
    </xf>
    <xf numFmtId="183" fontId="74" fillId="0" borderId="2" xfId="0" applyNumberFormat="1" applyFont="1" applyFill="1" applyBorder="1" applyAlignment="1" applyProtection="1">
      <alignment horizontal="center" vertical="center"/>
      <protection locked="0"/>
    </xf>
    <xf numFmtId="0" fontId="78" fillId="5" borderId="43" xfId="2" applyFont="1" applyFill="1" applyBorder="1" applyAlignment="1" applyProtection="1">
      <alignment vertical="center" wrapText="1"/>
    </xf>
    <xf numFmtId="0" fontId="78" fillId="5" borderId="44" xfId="2" applyFont="1" applyFill="1" applyBorder="1" applyAlignment="1" applyProtection="1">
      <alignment vertical="center"/>
    </xf>
    <xf numFmtId="0" fontId="78" fillId="5" borderId="45" xfId="2" applyFont="1" applyFill="1" applyBorder="1" applyAlignment="1" applyProtection="1">
      <alignment vertical="center"/>
    </xf>
    <xf numFmtId="0" fontId="78" fillId="5" borderId="43" xfId="2" applyFont="1" applyFill="1" applyBorder="1" applyAlignment="1" applyProtection="1">
      <alignment vertical="center"/>
    </xf>
    <xf numFmtId="0" fontId="78" fillId="5" borderId="44" xfId="2" applyFont="1" applyFill="1" applyBorder="1" applyAlignment="1" applyProtection="1">
      <alignment horizontal="center" vertical="center"/>
    </xf>
    <xf numFmtId="182" fontId="78" fillId="5" borderId="44" xfId="2" applyNumberFormat="1" applyFont="1" applyFill="1" applyBorder="1" applyAlignment="1" applyProtection="1">
      <alignment vertical="center"/>
    </xf>
    <xf numFmtId="0" fontId="78" fillId="5" borderId="46" xfId="2" applyFont="1" applyFill="1" applyBorder="1" applyAlignment="1" applyProtection="1">
      <alignment vertical="center"/>
    </xf>
    <xf numFmtId="177" fontId="74" fillId="5" borderId="43" xfId="0" applyNumberFormat="1" applyFont="1" applyFill="1" applyBorder="1" applyAlignment="1" applyProtection="1">
      <alignment horizontal="center" vertical="center"/>
    </xf>
    <xf numFmtId="0" fontId="74" fillId="5" borderId="44" xfId="2" applyNumberFormat="1" applyFont="1" applyFill="1" applyBorder="1" applyAlignment="1" applyProtection="1">
      <alignment horizontal="center" vertical="center"/>
    </xf>
    <xf numFmtId="10" fontId="74" fillId="5" borderId="44" xfId="2" applyNumberFormat="1" applyFont="1" applyFill="1" applyBorder="1" applyAlignment="1" applyProtection="1">
      <alignment horizontal="center" vertical="center"/>
    </xf>
    <xf numFmtId="9" fontId="74" fillId="5" borderId="45" xfId="0" applyNumberFormat="1" applyFont="1" applyFill="1" applyBorder="1" applyAlignment="1" applyProtection="1">
      <alignment horizontal="center" vertical="center"/>
    </xf>
    <xf numFmtId="180" fontId="74" fillId="5" borderId="47" xfId="2" applyNumberFormat="1" applyFont="1" applyFill="1" applyBorder="1" applyAlignment="1" applyProtection="1">
      <alignment horizontal="center" vertical="center"/>
    </xf>
    <xf numFmtId="0" fontId="74" fillId="5" borderId="48" xfId="2" applyNumberFormat="1" applyFont="1" applyFill="1" applyBorder="1" applyAlignment="1" applyProtection="1">
      <alignment horizontal="center" vertical="center"/>
    </xf>
    <xf numFmtId="0" fontId="74" fillId="5" borderId="43" xfId="0" applyFont="1" applyFill="1" applyBorder="1" applyAlignment="1" applyProtection="1">
      <alignment vertical="center"/>
    </xf>
    <xf numFmtId="0" fontId="74" fillId="5" borderId="44" xfId="0" applyFont="1" applyFill="1" applyBorder="1" applyAlignment="1" applyProtection="1">
      <alignment vertical="center"/>
    </xf>
    <xf numFmtId="0" fontId="74" fillId="5" borderId="46" xfId="0" applyFont="1" applyFill="1" applyBorder="1" applyAlignment="1" applyProtection="1">
      <alignment vertical="center"/>
    </xf>
    <xf numFmtId="0" fontId="74" fillId="5" borderId="47" xfId="0" applyFont="1" applyFill="1" applyBorder="1" applyAlignment="1" applyProtection="1">
      <alignment vertical="center"/>
    </xf>
    <xf numFmtId="0" fontId="74" fillId="5" borderId="45" xfId="0" applyFont="1" applyFill="1" applyBorder="1" applyAlignment="1" applyProtection="1">
      <alignment vertical="center"/>
    </xf>
    <xf numFmtId="0" fontId="88" fillId="0" borderId="0" xfId="0" applyFont="1" applyAlignment="1" applyProtection="1">
      <alignment vertical="center" wrapText="1"/>
      <protection locked="0"/>
    </xf>
    <xf numFmtId="177" fontId="87" fillId="5" borderId="1" xfId="2" applyNumberFormat="1" applyFont="1" applyFill="1" applyBorder="1" applyAlignment="1" applyProtection="1">
      <alignment vertical="center" wrapText="1"/>
    </xf>
    <xf numFmtId="177" fontId="87" fillId="0" borderId="7" xfId="2" applyNumberFormat="1" applyFont="1" applyFill="1" applyBorder="1" applyAlignment="1" applyProtection="1">
      <alignment horizontal="center" vertical="center"/>
      <protection locked="0"/>
    </xf>
    <xf numFmtId="177" fontId="87" fillId="5" borderId="11" xfId="2" applyNumberFormat="1" applyFont="1" applyFill="1" applyBorder="1" applyAlignment="1" applyProtection="1">
      <alignment vertical="center" wrapText="1"/>
    </xf>
    <xf numFmtId="177" fontId="74" fillId="0" borderId="12" xfId="2" applyNumberFormat="1" applyFont="1" applyFill="1" applyBorder="1" applyAlignment="1" applyProtection="1">
      <alignment horizontal="center" vertical="center"/>
      <protection locked="0"/>
    </xf>
    <xf numFmtId="177" fontId="74" fillId="5" borderId="11" xfId="2" applyNumberFormat="1" applyFont="1" applyFill="1" applyBorder="1" applyAlignment="1" applyProtection="1">
      <alignment vertical="center" wrapText="1"/>
    </xf>
    <xf numFmtId="177" fontId="87" fillId="5" borderId="12" xfId="2" applyNumberFormat="1" applyFont="1" applyFill="1" applyBorder="1" applyAlignment="1" applyProtection="1">
      <alignment horizontal="center" vertical="center"/>
    </xf>
    <xf numFmtId="177" fontId="87" fillId="5" borderId="43" xfId="2" applyNumberFormat="1" applyFont="1" applyFill="1" applyBorder="1" applyAlignment="1" applyProtection="1">
      <alignment vertical="center" wrapText="1"/>
    </xf>
    <xf numFmtId="177" fontId="87" fillId="5" borderId="46" xfId="2" applyNumberFormat="1" applyFont="1" applyFill="1" applyBorder="1" applyAlignment="1" applyProtection="1">
      <alignment horizontal="center" vertical="center"/>
    </xf>
    <xf numFmtId="0" fontId="74" fillId="5" borderId="49" xfId="0" applyFont="1" applyFill="1" applyBorder="1" applyAlignment="1" applyProtection="1">
      <alignment horizontal="center" vertical="center"/>
    </xf>
    <xf numFmtId="0" fontId="74" fillId="5" borderId="1" xfId="0" applyFont="1" applyFill="1" applyBorder="1" applyAlignment="1" applyProtection="1">
      <alignment vertical="center" wrapText="1"/>
    </xf>
    <xf numFmtId="0" fontId="89" fillId="0" borderId="7" xfId="2" applyNumberFormat="1" applyFont="1" applyFill="1" applyBorder="1" applyAlignment="1" applyProtection="1">
      <alignment horizontal="center" vertical="center"/>
      <protection locked="0"/>
    </xf>
    <xf numFmtId="0" fontId="74" fillId="5" borderId="11" xfId="0" applyFont="1" applyFill="1" applyBorder="1" applyAlignment="1" applyProtection="1">
      <alignment vertical="center" wrapText="1"/>
    </xf>
    <xf numFmtId="0" fontId="89" fillId="0" borderId="12" xfId="2" applyNumberFormat="1" applyFont="1" applyFill="1" applyBorder="1" applyAlignment="1" applyProtection="1">
      <alignment horizontal="center" vertical="center"/>
      <protection locked="0"/>
    </xf>
    <xf numFmtId="0" fontId="87" fillId="5" borderId="12" xfId="2" applyNumberFormat="1" applyFont="1" applyFill="1" applyBorder="1" applyAlignment="1" applyProtection="1">
      <alignment horizontal="center" vertical="center"/>
    </xf>
    <xf numFmtId="0" fontId="74" fillId="5" borderId="43" xfId="0" applyFont="1" applyFill="1" applyBorder="1" applyAlignment="1" applyProtection="1">
      <alignment vertical="center" wrapText="1"/>
    </xf>
    <xf numFmtId="0" fontId="89" fillId="0" borderId="46" xfId="2" applyNumberFormat="1" applyFont="1" applyFill="1" applyBorder="1" applyAlignment="1" applyProtection="1">
      <alignment horizontal="center" vertical="center"/>
      <protection locked="0"/>
    </xf>
    <xf numFmtId="182" fontId="79" fillId="0" borderId="12" xfId="0" applyNumberFormat="1" applyFont="1" applyFill="1" applyBorder="1" applyAlignment="1" applyProtection="1">
      <alignment horizontal="center" vertical="center"/>
      <protection locked="0"/>
    </xf>
    <xf numFmtId="182" fontId="79" fillId="0" borderId="46" xfId="0" applyNumberFormat="1" applyFont="1" applyFill="1" applyBorder="1" applyAlignment="1" applyProtection="1">
      <alignment horizontal="center" vertical="center"/>
      <protection locked="0"/>
    </xf>
    <xf numFmtId="0" fontId="74" fillId="5" borderId="50" xfId="0" applyFont="1" applyFill="1" applyBorder="1" applyAlignment="1" applyProtection="1">
      <alignment vertical="center" wrapText="1"/>
    </xf>
    <xf numFmtId="182" fontId="79" fillId="0" borderId="51" xfId="0" applyNumberFormat="1" applyFont="1" applyFill="1" applyBorder="1" applyAlignment="1" applyProtection="1">
      <alignment horizontal="center" vertical="center"/>
      <protection locked="0"/>
    </xf>
    <xf numFmtId="0" fontId="74" fillId="5" borderId="22" xfId="0" applyFont="1" applyFill="1" applyBorder="1" applyAlignment="1" applyProtection="1">
      <alignment vertical="center" wrapText="1"/>
    </xf>
    <xf numFmtId="10" fontId="74" fillId="5" borderId="7" xfId="0" applyNumberFormat="1" applyFont="1" applyFill="1" applyBorder="1" applyAlignment="1" applyProtection="1">
      <alignment horizontal="center" vertical="center"/>
    </xf>
    <xf numFmtId="0" fontId="74" fillId="5" borderId="22" xfId="0" applyFont="1" applyFill="1" applyBorder="1" applyAlignment="1" applyProtection="1">
      <alignment horizontal="right" vertical="center" wrapText="1"/>
    </xf>
    <xf numFmtId="10" fontId="74" fillId="0" borderId="25" xfId="0" applyNumberFormat="1" applyFont="1" applyFill="1" applyBorder="1" applyAlignment="1" applyProtection="1">
      <alignment horizontal="center" vertical="center"/>
      <protection locked="0"/>
    </xf>
    <xf numFmtId="183" fontId="74" fillId="5" borderId="25" xfId="0" applyNumberFormat="1" applyFont="1" applyFill="1" applyBorder="1" applyAlignment="1" applyProtection="1">
      <alignment horizontal="center" vertical="center"/>
    </xf>
    <xf numFmtId="10" fontId="74" fillId="2" borderId="25" xfId="0" applyNumberFormat="1" applyFont="1" applyFill="1" applyBorder="1" applyAlignment="1" applyProtection="1">
      <alignment horizontal="center" vertical="center"/>
      <protection locked="0"/>
    </xf>
    <xf numFmtId="0" fontId="74" fillId="5" borderId="43" xfId="0" applyFont="1" applyFill="1" applyBorder="1" applyAlignment="1" applyProtection="1">
      <alignment horizontal="right" vertical="center" wrapText="1"/>
    </xf>
    <xf numFmtId="10" fontId="74" fillId="0" borderId="46" xfId="0" applyNumberFormat="1" applyFont="1" applyFill="1" applyBorder="1" applyAlignment="1" applyProtection="1">
      <alignment horizontal="center" vertical="center"/>
      <protection locked="0"/>
    </xf>
    <xf numFmtId="0" fontId="74" fillId="5" borderId="24" xfId="0" applyFont="1" applyFill="1" applyBorder="1" applyAlignment="1" applyProtection="1">
      <alignment vertical="center" wrapText="1"/>
    </xf>
    <xf numFmtId="10" fontId="74" fillId="0" borderId="52" xfId="0" applyNumberFormat="1" applyFont="1" applyFill="1" applyBorder="1" applyAlignment="1" applyProtection="1">
      <alignment horizontal="center" vertical="center"/>
      <protection locked="0"/>
    </xf>
    <xf numFmtId="0" fontId="74" fillId="5" borderId="53" xfId="0" applyFont="1" applyFill="1" applyBorder="1" applyAlignment="1" applyProtection="1">
      <alignment vertical="center" wrapText="1"/>
    </xf>
    <xf numFmtId="10" fontId="74" fillId="5" borderId="41" xfId="0" applyNumberFormat="1" applyFont="1" applyFill="1" applyBorder="1" applyAlignment="1" applyProtection="1">
      <alignment horizontal="center" vertical="center"/>
    </xf>
    <xf numFmtId="10" fontId="74" fillId="5" borderId="46" xfId="0" applyNumberFormat="1" applyFont="1" applyFill="1" applyBorder="1" applyAlignment="1" applyProtection="1">
      <alignment horizontal="center" vertical="center"/>
    </xf>
    <xf numFmtId="179" fontId="74" fillId="5" borderId="41"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protection locked="0"/>
    </xf>
    <xf numFmtId="0" fontId="74" fillId="0" borderId="46" xfId="0" applyFont="1" applyBorder="1" applyAlignment="1" applyProtection="1">
      <alignment vertical="center"/>
      <protection locked="0"/>
    </xf>
    <xf numFmtId="0" fontId="79" fillId="0" borderId="0" xfId="0" applyFont="1" applyAlignment="1" applyProtection="1">
      <alignment vertical="center" wrapText="1"/>
      <protection locked="0"/>
    </xf>
    <xf numFmtId="0" fontId="74" fillId="5" borderId="7" xfId="0" applyNumberFormat="1" applyFont="1" applyFill="1" applyBorder="1" applyAlignment="1" applyProtection="1">
      <alignment horizontal="center" vertical="center" wrapText="1"/>
    </xf>
    <xf numFmtId="0" fontId="74" fillId="5" borderId="12" xfId="0" applyNumberFormat="1" applyFont="1" applyFill="1" applyBorder="1" applyAlignment="1" applyProtection="1">
      <alignment horizontal="center" vertical="center" wrapText="1"/>
    </xf>
    <xf numFmtId="0" fontId="74" fillId="5" borderId="46" xfId="0" applyNumberFormat="1" applyFont="1" applyFill="1" applyBorder="1" applyAlignment="1" applyProtection="1">
      <alignment horizontal="center" vertical="center" wrapText="1"/>
    </xf>
    <xf numFmtId="0" fontId="79" fillId="0" borderId="0" xfId="0" applyFont="1" applyProtection="1">
      <alignment vertical="center"/>
      <protection locked="0"/>
    </xf>
    <xf numFmtId="0" fontId="74" fillId="5" borderId="10" xfId="0" applyFont="1" applyFill="1" applyBorder="1" applyAlignment="1" applyProtection="1">
      <alignment vertical="center" wrapText="1"/>
    </xf>
    <xf numFmtId="0" fontId="74" fillId="5" borderId="10" xfId="0" applyFont="1" applyFill="1" applyBorder="1" applyAlignment="1" applyProtection="1">
      <alignment horizontal="center" vertical="center" wrapText="1"/>
    </xf>
    <xf numFmtId="0" fontId="152" fillId="2" borderId="10" xfId="0" applyFont="1" applyFill="1" applyBorder="1" applyAlignment="1" applyProtection="1">
      <alignment horizontal="center" vertical="center"/>
      <protection locked="0"/>
    </xf>
    <xf numFmtId="0" fontId="79"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 xfId="0" applyFont="1" applyFill="1" applyBorder="1" applyAlignment="1" applyProtection="1">
      <alignment vertical="center" wrapText="1"/>
    </xf>
    <xf numFmtId="0" fontId="78" fillId="5" borderId="5" xfId="0" applyFont="1" applyFill="1" applyBorder="1" applyAlignment="1" applyProtection="1">
      <alignment horizontal="right" vertical="center"/>
    </xf>
    <xf numFmtId="0" fontId="74" fillId="5" borderId="21" xfId="0" applyFont="1" applyFill="1" applyBorder="1" applyAlignment="1" applyProtection="1">
      <alignment horizontal="center" vertical="center"/>
    </xf>
    <xf numFmtId="0" fontId="78" fillId="5" borderId="13" xfId="0" applyFont="1" applyFill="1" applyBorder="1" applyAlignment="1" applyProtection="1">
      <alignment horizontal="right" vertical="center"/>
    </xf>
    <xf numFmtId="180" fontId="74" fillId="5" borderId="10" xfId="0" applyNumberFormat="1" applyFont="1" applyFill="1" applyBorder="1" applyAlignment="1" applyProtection="1">
      <alignment horizontal="center" vertical="center"/>
    </xf>
    <xf numFmtId="0" fontId="78" fillId="5" borderId="26" xfId="0" applyFont="1" applyFill="1" applyBorder="1" applyAlignment="1" applyProtection="1">
      <alignment vertical="center"/>
    </xf>
    <xf numFmtId="0" fontId="74" fillId="5" borderId="6" xfId="0" applyFont="1" applyFill="1" applyBorder="1" applyAlignment="1" applyProtection="1">
      <alignment vertical="center"/>
    </xf>
    <xf numFmtId="0" fontId="152" fillId="5" borderId="6" xfId="0" applyFont="1" applyFill="1" applyBorder="1" applyAlignment="1" applyProtection="1">
      <alignment horizontal="center" vertical="center"/>
    </xf>
    <xf numFmtId="0" fontId="152" fillId="5" borderId="29" xfId="0" applyFont="1" applyFill="1" applyBorder="1" applyAlignment="1" applyProtection="1">
      <alignment horizontal="center" vertical="center"/>
    </xf>
    <xf numFmtId="0" fontId="74" fillId="5" borderId="40" xfId="0" applyFont="1" applyFill="1" applyBorder="1" applyAlignment="1" applyProtection="1">
      <alignment horizontal="right" vertical="center"/>
    </xf>
    <xf numFmtId="0" fontId="79" fillId="5" borderId="39" xfId="0" applyFont="1" applyFill="1" applyBorder="1" applyAlignment="1" applyProtection="1">
      <alignment vertical="center"/>
    </xf>
    <xf numFmtId="0" fontId="78" fillId="5" borderId="31" xfId="0" applyFont="1" applyFill="1" applyBorder="1" applyAlignment="1" applyProtection="1">
      <alignment vertical="center"/>
    </xf>
    <xf numFmtId="0" fontId="74" fillId="5" borderId="2" xfId="0" applyFont="1" applyFill="1" applyBorder="1" applyProtection="1">
      <alignment vertical="center"/>
    </xf>
    <xf numFmtId="0" fontId="152" fillId="5" borderId="2" xfId="0" applyFont="1" applyFill="1" applyBorder="1" applyAlignment="1" applyProtection="1">
      <alignment horizontal="center" vertical="center"/>
    </xf>
    <xf numFmtId="0" fontId="152" fillId="5" borderId="5" xfId="0" applyFont="1" applyFill="1" applyBorder="1" applyAlignment="1" applyProtection="1">
      <alignment horizontal="center" vertical="center"/>
    </xf>
    <xf numFmtId="0" fontId="74" fillId="5" borderId="5" xfId="0" applyFont="1" applyFill="1" applyBorder="1" applyAlignment="1" applyProtection="1">
      <alignment horizontal="right" vertical="center"/>
    </xf>
    <xf numFmtId="0" fontId="79" fillId="5" borderId="16" xfId="0" applyFont="1" applyFill="1" applyBorder="1" applyAlignment="1" applyProtection="1">
      <alignment vertical="center"/>
    </xf>
    <xf numFmtId="0" fontId="74" fillId="5" borderId="10" xfId="0" applyFont="1" applyFill="1" applyBorder="1" applyProtection="1">
      <alignment vertical="center"/>
    </xf>
    <xf numFmtId="0" fontId="74" fillId="5" borderId="10" xfId="0" applyFont="1" applyFill="1" applyBorder="1" applyAlignment="1" applyProtection="1">
      <alignment horizontal="center" vertical="center"/>
    </xf>
    <xf numFmtId="0" fontId="74" fillId="5" borderId="8" xfId="0" applyFont="1" applyFill="1" applyBorder="1" applyAlignment="1" applyProtection="1">
      <alignment horizontal="right" vertical="center"/>
    </xf>
    <xf numFmtId="182" fontId="91" fillId="5" borderId="8" xfId="0" applyNumberFormat="1" applyFont="1" applyFill="1" applyBorder="1" applyAlignment="1" applyProtection="1">
      <alignment horizontal="center" vertical="center"/>
    </xf>
    <xf numFmtId="0" fontId="78" fillId="5" borderId="54" xfId="0" applyFont="1" applyFill="1" applyBorder="1" applyAlignment="1" applyProtection="1">
      <alignment vertical="center"/>
    </xf>
    <xf numFmtId="0" fontId="74" fillId="5" borderId="55" xfId="0" applyFont="1" applyFill="1" applyBorder="1" applyProtection="1">
      <alignment vertical="center"/>
    </xf>
    <xf numFmtId="0" fontId="79" fillId="5" borderId="56" xfId="0" applyFont="1" applyFill="1" applyBorder="1" applyAlignment="1" applyProtection="1">
      <alignment horizontal="right" vertical="center"/>
    </xf>
    <xf numFmtId="0" fontId="79" fillId="5" borderId="48" xfId="0" applyFont="1" applyFill="1" applyBorder="1" applyAlignment="1" applyProtection="1">
      <alignment horizontal="left"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16" xfId="0" applyFont="1" applyFill="1" applyBorder="1" applyAlignment="1" applyProtection="1">
      <alignment horizontal="center" vertical="center"/>
    </xf>
    <xf numFmtId="0" fontId="79" fillId="0" borderId="0" xfId="0" applyFont="1" applyFill="1" applyProtection="1">
      <alignment vertical="center"/>
      <protection locked="0"/>
    </xf>
    <xf numFmtId="0" fontId="156" fillId="0" borderId="11" xfId="0" applyFont="1" applyBorder="1" applyAlignment="1" applyProtection="1">
      <alignment horizontal="center" vertical="center"/>
      <protection locked="0"/>
    </xf>
    <xf numFmtId="0" fontId="156" fillId="0" borderId="2" xfId="0" applyFont="1" applyFill="1" applyBorder="1" applyAlignment="1" applyProtection="1">
      <alignment horizontal="center" vertical="center"/>
      <protection locked="0"/>
    </xf>
    <xf numFmtId="0" fontId="156" fillId="0" borderId="12" xfId="0" applyFont="1" applyFill="1" applyBorder="1" applyAlignment="1" applyProtection="1">
      <alignment horizontal="center" vertical="center"/>
      <protection locked="0"/>
    </xf>
    <xf numFmtId="0" fontId="74" fillId="5" borderId="42" xfId="0" applyFont="1" applyFill="1" applyBorder="1" applyAlignment="1" applyProtection="1">
      <alignment horizontal="left" vertical="center"/>
    </xf>
    <xf numFmtId="0" fontId="78" fillId="0" borderId="7" xfId="0" applyFont="1" applyFill="1" applyBorder="1" applyAlignment="1" applyProtection="1">
      <alignment horizontal="center" vertical="center"/>
      <protection locked="0"/>
    </xf>
    <xf numFmtId="0" fontId="92" fillId="5" borderId="31" xfId="0" applyFont="1" applyFill="1" applyBorder="1" applyAlignment="1" applyProtection="1">
      <alignment vertical="center"/>
    </xf>
    <xf numFmtId="0" fontId="78" fillId="0" borderId="12" xfId="0" applyFont="1" applyFill="1" applyBorder="1" applyAlignment="1" applyProtection="1">
      <alignment horizontal="center" vertical="center"/>
      <protection locked="0"/>
    </xf>
    <xf numFmtId="0" fontId="93" fillId="5" borderId="31" xfId="0" applyFont="1" applyFill="1" applyBorder="1" applyAlignment="1" applyProtection="1">
      <alignment horizontal="right" vertical="center"/>
    </xf>
    <xf numFmtId="0" fontId="74" fillId="5" borderId="47" xfId="0" applyFont="1" applyFill="1" applyBorder="1" applyAlignment="1" applyProtection="1">
      <alignment horizontal="left" vertical="center"/>
    </xf>
    <xf numFmtId="0" fontId="79" fillId="5" borderId="14" xfId="0" applyFont="1" applyFill="1" applyBorder="1" applyAlignment="1" applyProtection="1">
      <alignment horizontal="right" vertical="center"/>
    </xf>
    <xf numFmtId="0" fontId="78" fillId="5" borderId="35" xfId="0" applyFont="1" applyFill="1" applyBorder="1" applyAlignment="1" applyProtection="1">
      <alignment vertical="center"/>
    </xf>
    <xf numFmtId="0" fontId="156" fillId="0" borderId="1" xfId="0" applyFont="1" applyFill="1" applyBorder="1" applyAlignment="1" applyProtection="1">
      <alignment horizontal="center" vertical="center"/>
      <protection locked="0"/>
    </xf>
    <xf numFmtId="0" fontId="156" fillId="0" borderId="6" xfId="0" applyFont="1" applyFill="1" applyBorder="1" applyAlignment="1" applyProtection="1">
      <alignment horizontal="center" vertical="center"/>
      <protection locked="0"/>
    </xf>
    <xf numFmtId="0" fontId="156" fillId="0" borderId="7" xfId="0" applyFont="1" applyFill="1" applyBorder="1" applyAlignment="1" applyProtection="1">
      <alignment horizontal="center" vertical="center"/>
      <protection locked="0"/>
    </xf>
    <xf numFmtId="0" fontId="156" fillId="0" borderId="11" xfId="0" applyFont="1" applyFill="1" applyBorder="1" applyAlignment="1" applyProtection="1">
      <alignment horizontal="center" vertical="center"/>
      <protection locked="0"/>
    </xf>
    <xf numFmtId="0" fontId="156" fillId="0" borderId="43" xfId="0" applyFont="1" applyFill="1" applyBorder="1" applyAlignment="1" applyProtection="1">
      <alignment horizontal="center" vertical="center"/>
      <protection locked="0"/>
    </xf>
    <xf numFmtId="0" fontId="156" fillId="0" borderId="44" xfId="0" applyFont="1" applyFill="1" applyBorder="1" applyAlignment="1" applyProtection="1">
      <alignment horizontal="center" vertical="center"/>
      <protection locked="0"/>
    </xf>
    <xf numFmtId="0" fontId="156" fillId="0" borderId="46" xfId="0" applyFont="1" applyFill="1" applyBorder="1" applyAlignment="1" applyProtection="1">
      <alignment horizontal="center" vertical="center"/>
      <protection locked="0"/>
    </xf>
    <xf numFmtId="0" fontId="79" fillId="5" borderId="0" xfId="0" applyFont="1" applyFill="1" applyProtection="1">
      <alignment vertical="center"/>
    </xf>
    <xf numFmtId="0" fontId="73" fillId="5" borderId="26" xfId="0" applyFont="1" applyFill="1" applyBorder="1" applyAlignment="1" applyProtection="1">
      <alignment horizontal="center" vertical="center"/>
    </xf>
    <xf numFmtId="0" fontId="73" fillId="5" borderId="58" xfId="0" applyFont="1" applyFill="1" applyBorder="1" applyAlignment="1" applyProtection="1">
      <alignment horizontal="center" vertical="center"/>
    </xf>
    <xf numFmtId="0" fontId="157" fillId="5" borderId="40" xfId="0"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xf>
    <xf numFmtId="0" fontId="73" fillId="5" borderId="7" xfId="0" applyFont="1" applyFill="1" applyBorder="1" applyAlignment="1" applyProtection="1">
      <alignment horizontal="center" vertical="center"/>
    </xf>
    <xf numFmtId="0" fontId="88" fillId="5" borderId="2" xfId="0" applyFont="1" applyFill="1" applyBorder="1" applyAlignment="1" applyProtection="1">
      <alignment horizontal="right" vertical="center"/>
    </xf>
    <xf numFmtId="0" fontId="88" fillId="5" borderId="12" xfId="0" applyFont="1" applyFill="1" applyBorder="1" applyAlignment="1" applyProtection="1">
      <alignment horizontal="right" vertical="center"/>
    </xf>
    <xf numFmtId="0" fontId="156" fillId="5" borderId="0" xfId="0" applyFont="1" applyFill="1" applyBorder="1" applyAlignment="1" applyProtection="1">
      <alignment horizontal="center" vertical="center"/>
    </xf>
    <xf numFmtId="0" fontId="78" fillId="5" borderId="45" xfId="0" applyFont="1" applyFill="1" applyBorder="1" applyAlignment="1" applyProtection="1">
      <alignment horizontal="right" vertical="center"/>
    </xf>
    <xf numFmtId="0" fontId="158" fillId="0" borderId="13" xfId="0" applyFont="1" applyBorder="1" applyAlignment="1" applyProtection="1">
      <alignment horizontal="left" vertical="center"/>
    </xf>
    <xf numFmtId="0" fontId="97" fillId="6" borderId="0" xfId="0" applyFont="1" applyFill="1" applyBorder="1" applyAlignment="1" applyProtection="1">
      <alignment horizontal="left" vertical="center" wrapText="1"/>
      <protection locked="0"/>
    </xf>
    <xf numFmtId="0" fontId="79" fillId="0" borderId="0"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protection locked="0"/>
    </xf>
    <xf numFmtId="0" fontId="79" fillId="0" borderId="32" xfId="0" applyFont="1" applyBorder="1" applyProtection="1">
      <alignment vertical="center"/>
      <protection locked="0"/>
    </xf>
    <xf numFmtId="0" fontId="79" fillId="0" borderId="13" xfId="0" applyFont="1" applyBorder="1" applyAlignment="1" applyProtection="1">
      <alignment horizontal="left" vertical="center" wrapText="1"/>
      <protection locked="0"/>
    </xf>
    <xf numFmtId="0" fontId="79" fillId="0" borderId="0" xfId="0" applyFont="1" applyBorder="1" applyAlignment="1" applyProtection="1">
      <alignment horizontal="left" vertical="center" wrapText="1"/>
      <protection locked="0"/>
    </xf>
    <xf numFmtId="0" fontId="79" fillId="0" borderId="0" xfId="0" applyFont="1" applyFill="1" applyBorder="1" applyAlignment="1" applyProtection="1">
      <alignment horizontal="center" vertical="center"/>
      <protection locked="0"/>
    </xf>
    <xf numFmtId="0" fontId="79" fillId="0" borderId="18" xfId="0" applyFont="1" applyBorder="1" applyProtection="1">
      <alignment vertical="center"/>
      <protection locked="0"/>
    </xf>
    <xf numFmtId="0" fontId="79" fillId="0" borderId="17" xfId="0" applyFont="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0" fontId="79" fillId="0" borderId="19" xfId="0" applyFont="1" applyFill="1" applyBorder="1" applyAlignment="1" applyProtection="1">
      <alignment horizontal="center" vertical="center" wrapText="1"/>
      <protection locked="0"/>
    </xf>
    <xf numFmtId="0" fontId="79" fillId="0" borderId="19" xfId="0" applyFont="1" applyFill="1" applyBorder="1" applyAlignment="1" applyProtection="1">
      <alignment horizontal="center" vertical="center"/>
      <protection locked="0"/>
    </xf>
    <xf numFmtId="0" fontId="79" fillId="0" borderId="20" xfId="0" applyFont="1" applyBorder="1" applyProtection="1">
      <alignment vertical="center"/>
      <protection locked="0"/>
    </xf>
    <xf numFmtId="0" fontId="88" fillId="0" borderId="19" xfId="0" applyFont="1" applyBorder="1" applyAlignment="1" applyProtection="1">
      <alignment horizontal="left" vertical="center"/>
      <protection locked="0"/>
    </xf>
    <xf numFmtId="0" fontId="79" fillId="0" borderId="19" xfId="0" applyFont="1" applyBorder="1" applyProtection="1">
      <alignment vertical="center"/>
      <protection locked="0"/>
    </xf>
    <xf numFmtId="0" fontId="79" fillId="0" borderId="19" xfId="0" applyFont="1" applyBorder="1" applyAlignment="1" applyProtection="1">
      <alignment horizontal="right" vertical="center"/>
      <protection locked="0"/>
    </xf>
    <xf numFmtId="0" fontId="88" fillId="0" borderId="0" xfId="0" applyFont="1" applyAlignment="1" applyProtection="1">
      <alignment horizontal="left" vertical="center"/>
      <protection locked="0"/>
    </xf>
    <xf numFmtId="2" fontId="79" fillId="0" borderId="0" xfId="0" applyNumberFormat="1" applyFont="1" applyAlignment="1" applyProtection="1">
      <alignment vertical="center" wrapText="1"/>
      <protection locked="0"/>
    </xf>
    <xf numFmtId="0" fontId="79" fillId="5" borderId="10" xfId="0" applyFont="1" applyFill="1" applyBorder="1" applyAlignment="1" applyProtection="1">
      <alignment vertical="center"/>
    </xf>
    <xf numFmtId="9" fontId="79" fillId="6" borderId="14" xfId="0" applyNumberFormat="1" applyFont="1" applyFill="1" applyBorder="1" applyAlignment="1" applyProtection="1">
      <alignment horizontal="center" vertical="center"/>
      <protection locked="0"/>
    </xf>
    <xf numFmtId="0" fontId="79" fillId="5" borderId="32" xfId="0" applyFont="1" applyFill="1" applyBorder="1" applyProtection="1">
      <alignment vertical="center"/>
    </xf>
    <xf numFmtId="0" fontId="88" fillId="5" borderId="31" xfId="0" applyFont="1" applyFill="1" applyBorder="1" applyAlignment="1" applyProtection="1">
      <alignment horizontal="left" vertical="center" wrapText="1"/>
    </xf>
    <xf numFmtId="0" fontId="88" fillId="5" borderId="19" xfId="0" applyFont="1" applyFill="1" applyBorder="1" applyAlignment="1" applyProtection="1">
      <alignment horizontal="left" vertical="center" wrapText="1"/>
    </xf>
    <xf numFmtId="0" fontId="88" fillId="5" borderId="20" xfId="0" applyFont="1" applyFill="1" applyBorder="1" applyAlignment="1" applyProtection="1">
      <alignment horizontal="left" vertical="center" wrapText="1"/>
    </xf>
    <xf numFmtId="0" fontId="79" fillId="5" borderId="17" xfId="0" applyFont="1" applyFill="1" applyBorder="1" applyAlignment="1" applyProtection="1">
      <alignment horizontal="center" vertical="center"/>
    </xf>
    <xf numFmtId="0" fontId="88" fillId="5" borderId="2" xfId="0" applyFont="1" applyFill="1" applyBorder="1" applyAlignment="1" applyProtection="1">
      <alignment horizontal="left" vertical="center" wrapText="1"/>
    </xf>
    <xf numFmtId="9" fontId="79" fillId="5" borderId="12" xfId="0" applyNumberFormat="1" applyFont="1" applyFill="1" applyBorder="1" applyAlignment="1" applyProtection="1">
      <alignment horizontal="center" vertical="center"/>
    </xf>
    <xf numFmtId="10" fontId="79" fillId="5" borderId="21" xfId="0" applyNumberFormat="1" applyFont="1" applyFill="1" applyBorder="1" applyAlignment="1" applyProtection="1">
      <alignment horizontal="center" vertical="center"/>
    </xf>
    <xf numFmtId="0" fontId="82" fillId="0" borderId="12" xfId="0" applyFont="1" applyFill="1" applyBorder="1" applyAlignment="1" applyProtection="1">
      <alignment vertical="center" wrapText="1"/>
      <protection locked="0"/>
    </xf>
    <xf numFmtId="0" fontId="79" fillId="5" borderId="22" xfId="0" applyFont="1" applyFill="1" applyBorder="1" applyAlignment="1" applyProtection="1">
      <alignment horizontal="right" vertical="center" wrapText="1"/>
    </xf>
    <xf numFmtId="0" fontId="79" fillId="5" borderId="4" xfId="0" applyFont="1" applyFill="1" applyBorder="1" applyAlignment="1" applyProtection="1">
      <alignment vertical="center"/>
    </xf>
    <xf numFmtId="0" fontId="79" fillId="5" borderId="24" xfId="0" applyFont="1" applyFill="1" applyBorder="1" applyAlignment="1" applyProtection="1">
      <alignment horizontal="right" vertical="center" wrapText="1"/>
    </xf>
    <xf numFmtId="0" fontId="79" fillId="5" borderId="13" xfId="0" applyFont="1" applyFill="1" applyBorder="1" applyAlignment="1" applyProtection="1">
      <alignment vertical="center"/>
    </xf>
    <xf numFmtId="0" fontId="79" fillId="5" borderId="18" xfId="0" applyFont="1" applyFill="1" applyBorder="1" applyProtection="1">
      <alignment vertical="center"/>
    </xf>
    <xf numFmtId="0" fontId="79" fillId="5" borderId="50" xfId="0" applyFont="1" applyFill="1" applyBorder="1" applyAlignment="1" applyProtection="1">
      <alignment horizontal="right" vertical="center" wrapText="1"/>
    </xf>
    <xf numFmtId="0" fontId="79" fillId="5" borderId="17" xfId="0" applyFont="1" applyFill="1" applyBorder="1" applyAlignment="1" applyProtection="1">
      <alignment vertical="center"/>
    </xf>
    <xf numFmtId="0" fontId="79" fillId="5" borderId="11" xfId="0" applyFont="1" applyFill="1" applyBorder="1" applyAlignment="1" applyProtection="1">
      <alignment horizontal="right" vertical="center" wrapText="1"/>
    </xf>
    <xf numFmtId="10" fontId="79" fillId="5" borderId="2" xfId="0" applyNumberFormat="1" applyFont="1" applyFill="1" applyBorder="1" applyAlignment="1" applyProtection="1">
      <alignment horizontal="center" vertical="center"/>
    </xf>
    <xf numFmtId="0" fontId="79" fillId="5" borderId="12" xfId="0" applyFont="1" applyFill="1" applyBorder="1" applyProtection="1">
      <alignment vertical="center"/>
    </xf>
    <xf numFmtId="0" fontId="79" fillId="5" borderId="5" xfId="0" applyFont="1" applyFill="1" applyBorder="1" applyAlignment="1" applyProtection="1">
      <alignment horizontal="right" vertical="center"/>
    </xf>
    <xf numFmtId="0" fontId="79" fillId="2" borderId="9" xfId="0" applyFont="1" applyFill="1" applyBorder="1" applyAlignment="1" applyProtection="1">
      <alignment horizontal="center" vertical="center" wrapText="1"/>
      <protection locked="0"/>
    </xf>
    <xf numFmtId="0" fontId="79" fillId="5" borderId="4" xfId="0" applyFont="1" applyFill="1" applyBorder="1" applyAlignment="1" applyProtection="1">
      <alignment horizontal="right" vertical="center"/>
    </xf>
    <xf numFmtId="0" fontId="79" fillId="5" borderId="2" xfId="0" applyFont="1" applyFill="1" applyBorder="1" applyProtection="1">
      <alignment vertical="center"/>
    </xf>
    <xf numFmtId="0" fontId="79" fillId="5" borderId="45" xfId="0" applyFont="1" applyFill="1" applyBorder="1" applyAlignment="1" applyProtection="1">
      <alignment horizontal="right" vertical="center"/>
    </xf>
    <xf numFmtId="0" fontId="79" fillId="5" borderId="44" xfId="0" applyFont="1" applyFill="1" applyBorder="1" applyAlignment="1" applyProtection="1">
      <alignment horizontal="center" vertical="center" wrapText="1"/>
    </xf>
    <xf numFmtId="10" fontId="79" fillId="5" borderId="44" xfId="0" applyNumberFormat="1" applyFont="1" applyFill="1" applyBorder="1" applyAlignment="1" applyProtection="1">
      <alignment horizontal="center" vertical="center"/>
    </xf>
    <xf numFmtId="9" fontId="79" fillId="5" borderId="2" xfId="0" applyNumberFormat="1" applyFont="1" applyFill="1" applyBorder="1" applyAlignment="1" applyProtection="1">
      <alignment horizontal="center" vertical="center" wrapText="1"/>
    </xf>
    <xf numFmtId="0" fontId="79" fillId="5" borderId="7" xfId="0" applyFont="1" applyFill="1" applyBorder="1" applyAlignment="1" applyProtection="1">
      <alignment horizontal="left" vertical="center" wrapText="1"/>
    </xf>
    <xf numFmtId="0" fontId="98" fillId="5" borderId="21" xfId="0" applyFont="1" applyFill="1" applyBorder="1" applyAlignment="1" applyProtection="1">
      <alignment horizontal="left" vertical="center" wrapText="1"/>
    </xf>
    <xf numFmtId="178" fontId="98" fillId="5" borderId="21" xfId="0" applyNumberFormat="1" applyFont="1" applyFill="1" applyBorder="1" applyAlignment="1" applyProtection="1">
      <alignment horizontal="center" vertical="center" wrapText="1"/>
    </xf>
    <xf numFmtId="0" fontId="98" fillId="5" borderId="21" xfId="0" applyFont="1" applyFill="1" applyBorder="1" applyAlignment="1" applyProtection="1">
      <alignment horizontal="center" vertical="center" wrapText="1"/>
    </xf>
    <xf numFmtId="0" fontId="79" fillId="5" borderId="51" xfId="0" applyFont="1" applyFill="1" applyBorder="1" applyAlignment="1" applyProtection="1">
      <alignment horizontal="left" vertical="center" wrapText="1"/>
    </xf>
    <xf numFmtId="49" fontId="79" fillId="5" borderId="11" xfId="0" applyNumberFormat="1" applyFont="1" applyFill="1" applyBorder="1" applyAlignment="1" applyProtection="1">
      <alignment horizontal="left" vertical="center" wrapText="1"/>
    </xf>
    <xf numFmtId="0" fontId="89" fillId="5" borderId="2" xfId="0" applyFont="1" applyFill="1" applyBorder="1" applyAlignment="1" applyProtection="1">
      <alignment horizontal="left" vertical="center" wrapText="1"/>
    </xf>
    <xf numFmtId="178" fontId="89" fillId="5" borderId="2" xfId="0" applyNumberFormat="1"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wrapText="1"/>
    </xf>
    <xf numFmtId="0" fontId="79" fillId="5" borderId="12" xfId="0" applyFont="1" applyFill="1" applyBorder="1" applyAlignment="1" applyProtection="1">
      <alignment horizontal="left" vertical="center" wrapText="1"/>
    </xf>
    <xf numFmtId="178" fontId="89" fillId="0" borderId="2" xfId="0" applyNumberFormat="1" applyFont="1" applyFill="1" applyBorder="1" applyAlignment="1" applyProtection="1">
      <alignment horizontal="center" vertical="center" wrapText="1"/>
      <protection locked="0"/>
    </xf>
    <xf numFmtId="49" fontId="88" fillId="5" borderId="11" xfId="0" applyNumberFormat="1" applyFont="1" applyFill="1" applyBorder="1" applyAlignment="1" applyProtection="1">
      <alignment horizontal="left" vertical="center" wrapText="1"/>
    </xf>
    <xf numFmtId="0" fontId="98" fillId="5" borderId="2" xfId="0" applyFont="1" applyFill="1" applyBorder="1" applyAlignment="1" applyProtection="1">
      <alignment horizontal="left" vertical="center" wrapText="1"/>
    </xf>
    <xf numFmtId="0" fontId="98" fillId="0" borderId="2" xfId="0" applyFont="1" applyFill="1" applyBorder="1" applyAlignment="1" applyProtection="1">
      <alignment horizontal="center" vertical="center" wrapText="1"/>
      <protection locked="0"/>
    </xf>
    <xf numFmtId="0" fontId="98" fillId="5" borderId="2" xfId="0" applyFont="1" applyFill="1" applyBorder="1" applyAlignment="1" applyProtection="1">
      <alignment horizontal="center" vertical="center" wrapText="1"/>
    </xf>
    <xf numFmtId="178" fontId="98" fillId="5" borderId="2" xfId="0" applyNumberFormat="1" applyFont="1" applyFill="1" applyBorder="1" applyAlignment="1" applyProtection="1">
      <alignment horizontal="center" vertical="center" wrapText="1"/>
    </xf>
    <xf numFmtId="49" fontId="88" fillId="5" borderId="43" xfId="0" applyNumberFormat="1" applyFont="1" applyFill="1" applyBorder="1" applyAlignment="1" applyProtection="1">
      <alignment horizontal="left" vertical="center" wrapText="1"/>
    </xf>
    <xf numFmtId="0" fontId="98" fillId="5" borderId="44" xfId="0" applyFont="1" applyFill="1" applyBorder="1" applyAlignment="1" applyProtection="1">
      <alignment horizontal="left" vertical="center" wrapText="1"/>
    </xf>
    <xf numFmtId="178" fontId="98" fillId="5" borderId="44" xfId="0" applyNumberFormat="1" applyFont="1" applyFill="1" applyBorder="1" applyAlignment="1" applyProtection="1">
      <alignment horizontal="center" vertical="center" wrapText="1"/>
    </xf>
    <xf numFmtId="10" fontId="89" fillId="5" borderId="44" xfId="0" applyNumberFormat="1" applyFont="1" applyFill="1" applyBorder="1" applyAlignment="1" applyProtection="1">
      <alignment horizontal="center" vertical="center" wrapText="1"/>
    </xf>
    <xf numFmtId="0" fontId="79" fillId="5" borderId="46" xfId="0" applyFont="1" applyFill="1" applyBorder="1" applyAlignment="1" applyProtection="1">
      <alignment horizontal="left" vertical="center"/>
    </xf>
    <xf numFmtId="0" fontId="79" fillId="5" borderId="29" xfId="0" applyFont="1" applyFill="1" applyBorder="1" applyAlignment="1" applyProtection="1">
      <alignment horizontal="left" vertical="center" wrapText="1"/>
    </xf>
    <xf numFmtId="0" fontId="79" fillId="5" borderId="30" xfId="0"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49" fontId="79" fillId="5" borderId="11" xfId="0" applyNumberFormat="1" applyFont="1" applyFill="1" applyBorder="1" applyAlignment="1" applyProtection="1">
      <alignment vertical="center" wrapText="1"/>
    </xf>
    <xf numFmtId="0" fontId="89" fillId="0" borderId="2" xfId="0" applyFont="1" applyFill="1" applyBorder="1" applyAlignment="1" applyProtection="1">
      <alignment horizontal="center" vertical="center" wrapText="1"/>
      <protection locked="0"/>
    </xf>
    <xf numFmtId="0" fontId="74" fillId="5" borderId="2" xfId="4" applyFont="1" applyFill="1" applyBorder="1" applyAlignment="1" applyProtection="1">
      <alignment horizontal="left" vertical="center" wrapText="1"/>
    </xf>
    <xf numFmtId="0" fontId="74" fillId="2" borderId="2" xfId="4" applyFont="1" applyFill="1" applyBorder="1" applyAlignment="1" applyProtection="1">
      <alignment horizontal="center" vertical="center" wrapText="1"/>
      <protection locked="0"/>
    </xf>
    <xf numFmtId="178" fontId="89" fillId="0" borderId="12" xfId="0" applyNumberFormat="1" applyFont="1" applyFill="1" applyBorder="1" applyAlignment="1" applyProtection="1">
      <alignment horizontal="center" vertical="center" wrapText="1"/>
      <protection locked="0"/>
    </xf>
    <xf numFmtId="0" fontId="89" fillId="5" borderId="21" xfId="0" applyFont="1" applyFill="1" applyBorder="1" applyAlignment="1" applyProtection="1">
      <alignment horizontal="left" vertical="center" wrapText="1"/>
    </xf>
    <xf numFmtId="9" fontId="74" fillId="5" borderId="0" xfId="0" applyNumberFormat="1" applyFont="1" applyFill="1" applyBorder="1" applyAlignment="1" applyProtection="1">
      <alignment horizontal="center" vertical="center"/>
    </xf>
    <xf numFmtId="10" fontId="89" fillId="5" borderId="2" xfId="0" applyNumberFormat="1" applyFont="1" applyFill="1" applyBorder="1" applyAlignment="1" applyProtection="1">
      <alignment horizontal="center" vertical="center" wrapText="1"/>
    </xf>
    <xf numFmtId="0" fontId="74" fillId="5" borderId="8" xfId="0" applyFont="1" applyFill="1" applyBorder="1" applyAlignment="1" applyProtection="1">
      <alignment horizontal="left" vertical="center"/>
    </xf>
    <xf numFmtId="0" fontId="79" fillId="2" borderId="8" xfId="0" applyFont="1" applyFill="1" applyBorder="1" applyAlignment="1" applyProtection="1">
      <alignment horizontal="left" vertical="center" wrapText="1"/>
      <protection locked="0"/>
    </xf>
    <xf numFmtId="190" fontId="89" fillId="5" borderId="2" xfId="0" applyNumberFormat="1" applyFont="1" applyFill="1" applyBorder="1" applyAlignment="1" applyProtection="1">
      <alignment horizontal="center" vertical="center" wrapText="1"/>
    </xf>
    <xf numFmtId="10" fontId="88" fillId="5" borderId="5" xfId="0" applyNumberFormat="1" applyFont="1" applyFill="1" applyBorder="1" applyAlignment="1" applyProtection="1">
      <alignment horizontal="center" vertical="center" wrapText="1"/>
    </xf>
    <xf numFmtId="182" fontId="98" fillId="5" borderId="2" xfId="0" applyNumberFormat="1"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89" fillId="5" borderId="44" xfId="0" applyFont="1" applyFill="1" applyBorder="1" applyAlignment="1" applyProtection="1">
      <alignment horizontal="center" vertical="center" wrapText="1"/>
    </xf>
    <xf numFmtId="0" fontId="79" fillId="5" borderId="45" xfId="0" applyFont="1" applyFill="1" applyBorder="1" applyAlignment="1" applyProtection="1">
      <alignment horizontal="left" vertical="center"/>
    </xf>
    <xf numFmtId="0" fontId="79" fillId="5" borderId="56" xfId="0" applyFont="1" applyFill="1" applyBorder="1" applyAlignment="1" applyProtection="1">
      <alignment horizontal="left" vertical="center" wrapText="1"/>
    </xf>
    <xf numFmtId="0" fontId="74" fillId="5" borderId="48" xfId="4" applyFont="1" applyFill="1" applyBorder="1" applyAlignment="1" applyProtection="1">
      <alignment horizontal="left" vertical="center" wrapText="1"/>
    </xf>
    <xf numFmtId="0" fontId="79" fillId="5" borderId="57" xfId="4" applyFont="1" applyFill="1" applyBorder="1" applyAlignment="1" applyProtection="1">
      <alignment horizontal="left" vertical="center" wrapText="1"/>
    </xf>
    <xf numFmtId="0" fontId="79" fillId="5" borderId="16" xfId="4" applyFont="1" applyFill="1" applyBorder="1" applyAlignment="1" applyProtection="1">
      <alignment horizontal="left" vertical="center" wrapText="1"/>
    </xf>
    <xf numFmtId="0" fontId="89" fillId="5" borderId="5" xfId="0" applyFont="1" applyFill="1" applyBorder="1" applyAlignment="1" applyProtection="1">
      <alignment horizontal="center" vertical="center" wrapText="1"/>
    </xf>
    <xf numFmtId="190" fontId="89" fillId="0" borderId="2" xfId="0" applyNumberFormat="1" applyFont="1" applyFill="1" applyBorder="1" applyAlignment="1" applyProtection="1">
      <alignment horizontal="center" vertical="center" wrapText="1"/>
      <protection locked="0"/>
    </xf>
    <xf numFmtId="10" fontId="79" fillId="5" borderId="5" xfId="0" applyNumberFormat="1" applyFont="1" applyFill="1" applyBorder="1" applyAlignment="1" applyProtection="1">
      <alignment horizontal="left" vertical="center"/>
    </xf>
    <xf numFmtId="0" fontId="99" fillId="5" borderId="0" xfId="0" applyFont="1" applyFill="1" applyBorder="1" applyAlignment="1" applyProtection="1">
      <alignment horizontal="left" vertical="center"/>
    </xf>
    <xf numFmtId="10" fontId="79" fillId="2" borderId="16" xfId="0" applyNumberFormat="1" applyFont="1" applyFill="1" applyBorder="1" applyAlignment="1" applyProtection="1">
      <alignment horizontal="left" vertical="center" wrapText="1"/>
      <protection locked="0"/>
    </xf>
    <xf numFmtId="0" fontId="79" fillId="5" borderId="48" xfId="4" applyFont="1" applyFill="1" applyBorder="1" applyAlignment="1" applyProtection="1">
      <alignment horizontal="left" vertical="center" wrapText="1"/>
    </xf>
    <xf numFmtId="0" fontId="154" fillId="5" borderId="59" xfId="2" applyFont="1" applyFill="1" applyBorder="1" applyAlignment="1" applyProtection="1">
      <alignment vertical="center"/>
    </xf>
    <xf numFmtId="0" fontId="73" fillId="5" borderId="0" xfId="2" applyFont="1" applyFill="1" applyBorder="1" applyAlignment="1" applyProtection="1">
      <alignment vertical="center"/>
    </xf>
    <xf numFmtId="0" fontId="100" fillId="5" borderId="2" xfId="2" applyFont="1" applyFill="1" applyBorder="1" applyAlignment="1" applyProtection="1">
      <alignment vertical="center"/>
    </xf>
    <xf numFmtId="178" fontId="100" fillId="5" borderId="2" xfId="2" applyNumberFormat="1" applyFont="1" applyFill="1" applyBorder="1" applyAlignment="1" applyProtection="1">
      <alignment horizontal="right" vertical="center"/>
    </xf>
    <xf numFmtId="0" fontId="100" fillId="5" borderId="10" xfId="2" applyFont="1" applyFill="1" applyBorder="1" applyAlignment="1" applyProtection="1">
      <alignment horizontal="right" vertical="center"/>
    </xf>
    <xf numFmtId="0" fontId="86" fillId="5" borderId="10" xfId="0" applyFont="1" applyFill="1" applyBorder="1" applyAlignment="1" applyProtection="1">
      <alignment vertical="center"/>
    </xf>
    <xf numFmtId="0" fontId="100" fillId="5" borderId="2" xfId="0" applyFont="1" applyFill="1" applyBorder="1" applyAlignment="1" applyProtection="1">
      <alignment vertical="center"/>
    </xf>
    <xf numFmtId="0" fontId="101" fillId="5" borderId="0" xfId="0" applyFont="1" applyFill="1" applyAlignment="1" applyProtection="1">
      <alignment horizontal="center" vertical="center"/>
    </xf>
    <xf numFmtId="0" fontId="100" fillId="5" borderId="0" xfId="2" applyFont="1" applyFill="1" applyBorder="1" applyAlignment="1" applyProtection="1">
      <alignment vertical="center"/>
    </xf>
    <xf numFmtId="0" fontId="100" fillId="5" borderId="4" xfId="0" applyFont="1" applyFill="1" applyBorder="1" applyAlignment="1" applyProtection="1">
      <alignment vertical="center"/>
    </xf>
    <xf numFmtId="0" fontId="157" fillId="5" borderId="32" xfId="0" applyFont="1" applyFill="1" applyBorder="1" applyAlignment="1" applyProtection="1">
      <alignment horizontal="left" vertical="center"/>
    </xf>
    <xf numFmtId="0" fontId="73" fillId="5" borderId="59" xfId="0" applyFont="1" applyFill="1" applyBorder="1" applyAlignment="1" applyProtection="1"/>
    <xf numFmtId="0" fontId="73" fillId="5" borderId="30" xfId="0" applyFont="1" applyFill="1" applyBorder="1" applyAlignment="1" applyProtection="1"/>
    <xf numFmtId="0" fontId="78" fillId="5" borderId="11" xfId="0" applyFont="1" applyFill="1" applyBorder="1" applyAlignment="1" applyProtection="1">
      <alignment horizontal="center"/>
    </xf>
    <xf numFmtId="0" fontId="78" fillId="5" borderId="4" xfId="0" applyFont="1" applyFill="1" applyBorder="1" applyAlignment="1" applyProtection="1"/>
    <xf numFmtId="185" fontId="79" fillId="6" borderId="2" xfId="0" applyNumberFormat="1" applyFont="1" applyFill="1" applyBorder="1" applyAlignment="1" applyProtection="1">
      <alignment horizontal="center" vertical="center" wrapText="1"/>
      <protection locked="0"/>
    </xf>
    <xf numFmtId="185" fontId="79" fillId="6" borderId="12" xfId="0" applyNumberFormat="1" applyFont="1" applyFill="1" applyBorder="1" applyAlignment="1" applyProtection="1">
      <alignment horizontal="center" vertical="center" wrapText="1"/>
      <protection locked="0"/>
    </xf>
    <xf numFmtId="0" fontId="79" fillId="5" borderId="5" xfId="0" applyFont="1" applyFill="1" applyBorder="1" applyAlignment="1" applyProtection="1"/>
    <xf numFmtId="185" fontId="79" fillId="0" borderId="2" xfId="0" applyNumberFormat="1" applyFont="1" applyFill="1" applyBorder="1" applyAlignment="1" applyProtection="1">
      <alignment horizontal="center"/>
      <protection locked="0"/>
    </xf>
    <xf numFmtId="185" fontId="79" fillId="0" borderId="12" xfId="0" applyNumberFormat="1" applyFont="1" applyFill="1" applyBorder="1" applyAlignment="1" applyProtection="1">
      <alignment horizontal="center"/>
      <protection locked="0"/>
    </xf>
    <xf numFmtId="177" fontId="155" fillId="5" borderId="2" xfId="0" applyNumberFormat="1" applyFont="1" applyFill="1" applyBorder="1" applyAlignment="1" applyProtection="1">
      <alignment horizontal="center" vertical="center"/>
    </xf>
    <xf numFmtId="177" fontId="155" fillId="5" borderId="12" xfId="0" applyNumberFormat="1" applyFont="1" applyFill="1" applyBorder="1" applyAlignment="1" applyProtection="1">
      <alignment horizontal="center" vertical="center"/>
    </xf>
    <xf numFmtId="0" fontId="78" fillId="5" borderId="11" xfId="0" applyFont="1" applyFill="1" applyBorder="1" applyAlignment="1" applyProtection="1">
      <alignment horizontal="left"/>
    </xf>
    <xf numFmtId="0" fontId="78" fillId="5" borderId="5" xfId="0" applyFont="1" applyFill="1" applyBorder="1" applyAlignment="1" applyProtection="1"/>
    <xf numFmtId="185" fontId="78" fillId="5" borderId="2" xfId="0" applyNumberFormat="1" applyFont="1" applyFill="1" applyBorder="1" applyAlignment="1" applyProtection="1">
      <alignment horizontal="center"/>
    </xf>
    <xf numFmtId="0" fontId="78" fillId="5" borderId="2" xfId="0"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9" fillId="5" borderId="5" xfId="2" applyFont="1" applyFill="1" applyBorder="1" applyAlignment="1" applyProtection="1"/>
    <xf numFmtId="178" fontId="79" fillId="5" borderId="2" xfId="0" applyNumberFormat="1" applyFont="1" applyFill="1" applyBorder="1" applyAlignment="1" applyProtection="1">
      <alignment horizontal="center" vertical="center"/>
    </xf>
    <xf numFmtId="180" fontId="79" fillId="5" borderId="2" xfId="2" applyNumberFormat="1" applyFont="1" applyFill="1" applyBorder="1" applyAlignment="1" applyProtection="1">
      <alignment horizontal="center"/>
    </xf>
    <xf numFmtId="182" fontId="79" fillId="5" borderId="2" xfId="2" applyNumberFormat="1" applyFont="1" applyFill="1" applyBorder="1" applyAlignment="1" applyProtection="1">
      <alignment horizontal="center"/>
    </xf>
    <xf numFmtId="9" fontId="79" fillId="5" borderId="2" xfId="2" applyNumberFormat="1" applyFont="1" applyFill="1" applyBorder="1" applyAlignment="1" applyProtection="1">
      <alignment horizontal="center"/>
    </xf>
    <xf numFmtId="178" fontId="79" fillId="5" borderId="2" xfId="2" applyNumberFormat="1" applyFont="1" applyFill="1" applyBorder="1" applyAlignment="1" applyProtection="1">
      <alignment horizontal="center"/>
    </xf>
    <xf numFmtId="178" fontId="79" fillId="5" borderId="2" xfId="2" applyNumberFormat="1" applyFont="1" applyFill="1" applyBorder="1" applyAlignment="1" applyProtection="1"/>
    <xf numFmtId="10" fontId="79" fillId="5" borderId="2" xfId="2" applyNumberFormat="1" applyFont="1" applyFill="1" applyBorder="1" applyAlignment="1" applyProtection="1">
      <alignment horizontal="center"/>
    </xf>
    <xf numFmtId="0" fontId="79" fillId="5" borderId="8" xfId="0" applyFont="1" applyFill="1" applyBorder="1" applyAlignment="1" applyProtection="1"/>
    <xf numFmtId="0" fontId="79" fillId="5" borderId="16" xfId="0" applyFont="1" applyFill="1" applyBorder="1" applyAlignment="1" applyProtection="1"/>
    <xf numFmtId="0" fontId="78" fillId="5" borderId="5" xfId="2" applyFont="1" applyFill="1" applyBorder="1" applyAlignment="1" applyProtection="1"/>
    <xf numFmtId="178" fontId="78" fillId="5" borderId="2" xfId="2" applyNumberFormat="1" applyFont="1" applyFill="1" applyBorder="1" applyAlignment="1" applyProtection="1">
      <alignment horizontal="center"/>
    </xf>
    <xf numFmtId="0" fontId="78" fillId="5" borderId="2" xfId="2" applyFont="1" applyFill="1" applyBorder="1" applyAlignment="1" applyProtection="1"/>
    <xf numFmtId="178" fontId="78" fillId="5" borderId="2" xfId="2" applyNumberFormat="1" applyFont="1" applyFill="1" applyBorder="1" applyAlignment="1" applyProtection="1"/>
    <xf numFmtId="0" fontId="74" fillId="5" borderId="5" xfId="0" applyFont="1" applyFill="1" applyBorder="1" applyAlignment="1" applyProtection="1"/>
    <xf numFmtId="0" fontId="74" fillId="5" borderId="8" xfId="0" applyFont="1" applyFill="1" applyBorder="1" applyAlignment="1" applyProtection="1"/>
    <xf numFmtId="0" fontId="74" fillId="5" borderId="16" xfId="0" applyFont="1" applyFill="1" applyBorder="1" applyAlignment="1" applyProtection="1"/>
    <xf numFmtId="10" fontId="78" fillId="5" borderId="2" xfId="2" applyNumberFormat="1" applyFont="1" applyFill="1" applyBorder="1" applyAlignment="1" applyProtection="1">
      <alignment horizontal="center"/>
    </xf>
    <xf numFmtId="0" fontId="78" fillId="5" borderId="2" xfId="0" applyFont="1" applyFill="1" applyBorder="1" applyAlignment="1" applyProtection="1">
      <alignment horizontal="right" vertical="center"/>
    </xf>
    <xf numFmtId="178" fontId="78" fillId="5" borderId="2" xfId="2" applyNumberFormat="1" applyFont="1" applyFill="1" applyBorder="1" applyAlignment="1" applyProtection="1">
      <alignment vertical="center"/>
    </xf>
    <xf numFmtId="178" fontId="78" fillId="5" borderId="8" xfId="2" applyNumberFormat="1" applyFont="1" applyFill="1" applyBorder="1" applyAlignment="1" applyProtection="1">
      <alignment vertical="center"/>
    </xf>
    <xf numFmtId="178" fontId="78" fillId="5" borderId="0" xfId="0" applyNumberFormat="1" applyFont="1" applyFill="1" applyBorder="1" applyAlignment="1" applyProtection="1">
      <alignment horizontal="center"/>
    </xf>
    <xf numFmtId="10" fontId="78" fillId="5" borderId="10" xfId="0" applyNumberFormat="1" applyFont="1" applyFill="1" applyBorder="1" applyAlignment="1" applyProtection="1">
      <alignment horizontal="center" vertical="center"/>
    </xf>
    <xf numFmtId="186" fontId="79" fillId="5" borderId="2" xfId="0" applyNumberFormat="1" applyFont="1" applyFill="1" applyBorder="1" applyAlignment="1" applyProtection="1">
      <alignment horizontal="center" vertical="center"/>
    </xf>
    <xf numFmtId="178" fontId="79" fillId="5" borderId="8" xfId="2" applyNumberFormat="1" applyFont="1" applyFill="1" applyBorder="1" applyAlignment="1" applyProtection="1">
      <alignment vertical="center"/>
    </xf>
    <xf numFmtId="10" fontId="79" fillId="5" borderId="10" xfId="0" applyNumberFormat="1" applyFont="1" applyFill="1" applyBorder="1" applyAlignment="1" applyProtection="1">
      <alignment horizontal="center" vertical="center"/>
    </xf>
    <xf numFmtId="178" fontId="79" fillId="5" borderId="2" xfId="2" applyNumberFormat="1" applyFont="1" applyFill="1" applyBorder="1" applyAlignment="1" applyProtection="1">
      <alignment vertical="center"/>
    </xf>
    <xf numFmtId="0" fontId="78" fillId="5" borderId="2" xfId="2" applyFont="1" applyFill="1" applyBorder="1" applyAlignment="1" applyProtection="1">
      <alignment horizontal="left"/>
    </xf>
    <xf numFmtId="186" fontId="78" fillId="5" borderId="2" xfId="0" applyNumberFormat="1" applyFont="1" applyFill="1" applyBorder="1" applyAlignment="1" applyProtection="1">
      <alignment horizontal="right" vertical="center"/>
    </xf>
    <xf numFmtId="178" fontId="78" fillId="5" borderId="9"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0" fontId="79" fillId="5" borderId="2" xfId="0" applyNumberFormat="1" applyFont="1" applyFill="1" applyBorder="1" applyAlignment="1" applyProtection="1">
      <alignment horizontal="center" vertical="center" wrapText="1"/>
    </xf>
    <xf numFmtId="178" fontId="79" fillId="5" borderId="8" xfId="2" applyNumberFormat="1" applyFont="1" applyFill="1" applyBorder="1" applyAlignment="1" applyProtection="1"/>
    <xf numFmtId="0" fontId="78" fillId="5" borderId="60" xfId="0" applyFont="1" applyFill="1" applyBorder="1" applyAlignment="1" applyProtection="1"/>
    <xf numFmtId="0" fontId="78" fillId="5" borderId="56" xfId="0" applyFont="1" applyFill="1" applyBorder="1" applyAlignment="1" applyProtection="1"/>
    <xf numFmtId="185" fontId="73" fillId="5" borderId="44" xfId="0" applyNumberFormat="1" applyFont="1" applyFill="1" applyBorder="1" applyAlignment="1" applyProtection="1">
      <alignment horizontal="center"/>
    </xf>
    <xf numFmtId="0" fontId="78" fillId="5" borderId="48" xfId="0" applyFont="1" applyFill="1" applyBorder="1" applyAlignment="1" applyProtection="1"/>
    <xf numFmtId="10" fontId="78" fillId="5" borderId="2" xfId="0" applyNumberFormat="1" applyFont="1" applyFill="1" applyBorder="1" applyAlignment="1" applyProtection="1">
      <alignment horizontal="center"/>
    </xf>
    <xf numFmtId="0" fontId="79" fillId="5" borderId="9" xfId="0" applyNumberFormat="1" applyFont="1" applyFill="1" applyBorder="1" applyAlignment="1" applyProtection="1">
      <alignment horizontal="center"/>
    </xf>
    <xf numFmtId="0" fontId="79" fillId="5" borderId="0" xfId="0" applyNumberFormat="1" applyFont="1" applyFill="1" applyBorder="1" applyAlignment="1" applyProtection="1">
      <alignment horizontal="center"/>
    </xf>
    <xf numFmtId="0" fontId="78" fillId="5" borderId="2" xfId="0" applyNumberFormat="1" applyFont="1" applyFill="1" applyBorder="1" applyAlignment="1" applyProtection="1">
      <alignment horizontal="right" vertical="center"/>
    </xf>
    <xf numFmtId="0" fontId="79" fillId="5" borderId="2" xfId="0" applyNumberFormat="1" applyFont="1" applyFill="1" applyBorder="1" applyAlignment="1" applyProtection="1">
      <alignment horizontal="center" vertical="center"/>
    </xf>
    <xf numFmtId="0" fontId="79" fillId="5" borderId="2" xfId="0" applyNumberFormat="1" applyFont="1" applyFill="1" applyBorder="1" applyAlignment="1" applyProtection="1">
      <alignment horizontal="center" vertical="center" wrapText="1"/>
    </xf>
    <xf numFmtId="182" fontId="159" fillId="5" borderId="2" xfId="0" applyNumberFormat="1" applyFont="1" applyFill="1" applyBorder="1" applyAlignment="1" applyProtection="1">
      <alignment horizontal="center"/>
    </xf>
    <xf numFmtId="186" fontId="159" fillId="5" borderId="2" xfId="0" applyNumberFormat="1" applyFont="1" applyFill="1" applyBorder="1" applyAlignment="1" applyProtection="1">
      <alignment horizontal="center" vertical="center"/>
    </xf>
    <xf numFmtId="178" fontId="159" fillId="5" borderId="8" xfId="2" applyNumberFormat="1" applyFont="1" applyFill="1" applyBorder="1" applyAlignment="1" applyProtection="1">
      <alignment vertical="center"/>
    </xf>
    <xf numFmtId="10" fontId="159" fillId="5" borderId="10" xfId="0" applyNumberFormat="1" applyFont="1" applyFill="1" applyBorder="1" applyAlignment="1" applyProtection="1">
      <alignment horizontal="center" vertical="center"/>
    </xf>
    <xf numFmtId="0" fontId="159" fillId="5" borderId="8" xfId="0" applyFont="1" applyFill="1" applyBorder="1" applyAlignment="1" applyProtection="1"/>
    <xf numFmtId="0" fontId="159" fillId="5" borderId="5" xfId="0" applyFont="1" applyFill="1" applyBorder="1" applyAlignment="1" applyProtection="1">
      <alignment horizontal="center" vertical="center"/>
    </xf>
    <xf numFmtId="178" fontId="159" fillId="5" borderId="2" xfId="2" applyNumberFormat="1" applyFont="1" applyFill="1" applyBorder="1" applyAlignment="1" applyProtection="1">
      <alignment vertical="center"/>
    </xf>
    <xf numFmtId="10" fontId="159" fillId="5" borderId="2" xfId="0" applyNumberFormat="1"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10" fontId="159" fillId="5" borderId="2" xfId="0" applyNumberFormat="1" applyFont="1" applyFill="1" applyBorder="1" applyAlignment="1" applyProtection="1">
      <alignment vertical="center" wrapText="1"/>
    </xf>
    <xf numFmtId="0" fontId="154" fillId="5" borderId="4" xfId="0" applyFont="1" applyFill="1" applyBorder="1" applyAlignment="1" applyProtection="1">
      <alignment vertical="center"/>
    </xf>
    <xf numFmtId="0" fontId="104" fillId="5" borderId="14" xfId="0" applyFont="1" applyFill="1" applyBorder="1" applyAlignment="1" applyProtection="1">
      <alignment horizontal="right" vertical="center"/>
    </xf>
    <xf numFmtId="0" fontId="104" fillId="5" borderId="0" xfId="0" applyFont="1" applyFill="1" applyAlignment="1" applyProtection="1">
      <alignment horizontal="center" vertical="center"/>
    </xf>
    <xf numFmtId="0" fontId="71" fillId="5" borderId="14" xfId="0" applyFont="1" applyFill="1" applyBorder="1" applyAlignment="1" applyProtection="1">
      <alignment vertical="center"/>
    </xf>
    <xf numFmtId="0" fontId="104" fillId="5" borderId="14" xfId="0" applyFont="1" applyFill="1" applyBorder="1" applyAlignment="1" applyProtection="1">
      <alignment vertical="center"/>
    </xf>
    <xf numFmtId="188" fontId="104" fillId="5" borderId="14" xfId="0" applyNumberFormat="1" applyFont="1" applyFill="1" applyBorder="1" applyAlignment="1" applyProtection="1">
      <alignment horizontal="center" vertical="center"/>
    </xf>
    <xf numFmtId="178" fontId="100" fillId="5" borderId="2" xfId="0" applyNumberFormat="1" applyFont="1" applyFill="1" applyBorder="1" applyAlignment="1" applyProtection="1">
      <alignment horizontal="right" vertical="center"/>
    </xf>
    <xf numFmtId="0" fontId="100" fillId="5" borderId="10" xfId="2" applyFont="1" applyFill="1" applyBorder="1" applyAlignment="1" applyProtection="1">
      <alignment vertical="center"/>
    </xf>
    <xf numFmtId="185" fontId="100" fillId="5" borderId="10" xfId="0" applyNumberFormat="1" applyFont="1" applyFill="1" applyBorder="1" applyAlignment="1" applyProtection="1">
      <alignment horizontal="right" vertical="center"/>
    </xf>
    <xf numFmtId="0" fontId="100" fillId="5" borderId="10" xfId="0" applyFont="1" applyFill="1" applyBorder="1" applyAlignment="1" applyProtection="1">
      <alignment vertical="center"/>
    </xf>
    <xf numFmtId="0" fontId="86" fillId="5" borderId="26" xfId="0" applyFont="1" applyFill="1" applyBorder="1" applyAlignment="1" applyProtection="1">
      <alignment vertical="center" wrapText="1"/>
    </xf>
    <xf numFmtId="0" fontId="86" fillId="5" borderId="28" xfId="0" applyFont="1" applyFill="1" applyBorder="1" applyAlignment="1" applyProtection="1">
      <alignment vertical="center" wrapText="1"/>
    </xf>
    <xf numFmtId="188" fontId="74" fillId="5" borderId="9" xfId="0" applyNumberFormat="1" applyFont="1" applyFill="1" applyBorder="1" applyAlignment="1" applyProtection="1">
      <alignment horizontal="center" vertical="center" wrapText="1"/>
    </xf>
    <xf numFmtId="0" fontId="86" fillId="5" borderId="31" xfId="0" applyFont="1" applyFill="1" applyBorder="1" applyAlignment="1" applyProtection="1">
      <alignment vertical="center" wrapText="1"/>
    </xf>
    <xf numFmtId="0" fontId="86" fillId="5" borderId="0" xfId="0" applyFont="1" applyFill="1" applyBorder="1" applyAlignment="1" applyProtection="1">
      <alignment vertical="center" wrapText="1"/>
    </xf>
    <xf numFmtId="0" fontId="86" fillId="5" borderId="54" xfId="0" applyFont="1" applyFill="1" applyBorder="1" applyAlignment="1" applyProtection="1">
      <alignment vertical="center" wrapText="1"/>
    </xf>
    <xf numFmtId="0" fontId="86" fillId="5" borderId="61" xfId="0" applyFont="1" applyFill="1" applyBorder="1" applyAlignment="1" applyProtection="1">
      <alignment vertical="center" wrapText="1"/>
    </xf>
    <xf numFmtId="184" fontId="74" fillId="5" borderId="33" xfId="0" applyNumberFormat="1" applyFont="1" applyFill="1" applyBorder="1" applyAlignment="1" applyProtection="1">
      <alignment horizontal="center" vertical="center" wrapText="1"/>
    </xf>
    <xf numFmtId="0" fontId="74" fillId="5" borderId="34" xfId="0" applyNumberFormat="1" applyFont="1" applyFill="1" applyBorder="1" applyAlignment="1" applyProtection="1">
      <alignment horizontal="center" vertical="center" wrapText="1"/>
    </xf>
    <xf numFmtId="184" fontId="74" fillId="0" borderId="62" xfId="0" applyNumberFormat="1" applyFont="1" applyFill="1" applyBorder="1" applyAlignment="1" applyProtection="1">
      <alignment horizontal="center" vertical="center" wrapText="1"/>
      <protection locked="0"/>
    </xf>
    <xf numFmtId="0" fontId="74" fillId="5" borderId="49" xfId="0" applyNumberFormat="1" applyFont="1" applyFill="1" applyBorder="1" applyAlignment="1" applyProtection="1">
      <alignment horizontal="center" vertical="center" wrapText="1"/>
    </xf>
    <xf numFmtId="184" fontId="74" fillId="0" borderId="33" xfId="0" applyNumberFormat="1" applyFont="1" applyFill="1" applyBorder="1" applyAlignment="1" applyProtection="1">
      <alignment horizontal="center" vertical="center" wrapText="1"/>
      <protection locked="0"/>
    </xf>
    <xf numFmtId="0" fontId="74" fillId="5" borderId="9" xfId="0" applyNumberFormat="1" applyFont="1" applyFill="1" applyBorder="1" applyAlignment="1" applyProtection="1">
      <alignment horizontal="center" vertical="center" wrapText="1"/>
    </xf>
    <xf numFmtId="49" fontId="74" fillId="2" borderId="33" xfId="0" applyNumberFormat="1" applyFont="1" applyFill="1" applyBorder="1" applyAlignment="1" applyProtection="1">
      <alignment horizontal="center" vertical="center" wrapText="1"/>
      <protection locked="0"/>
    </xf>
    <xf numFmtId="0" fontId="74" fillId="2" borderId="59"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alignment horizontal="center" vertical="center" wrapText="1"/>
    </xf>
    <xf numFmtId="0" fontId="74" fillId="0" borderId="50" xfId="0" applyNumberFormat="1" applyFont="1" applyFill="1" applyBorder="1" applyAlignment="1" applyProtection="1">
      <alignment horizontal="center" vertical="center" wrapText="1"/>
      <protection locked="0"/>
    </xf>
    <xf numFmtId="49" fontId="74" fillId="0" borderId="50" xfId="0" applyNumberFormat="1" applyFont="1" applyFill="1" applyBorder="1" applyAlignment="1" applyProtection="1">
      <alignment horizontal="center" vertical="center" wrapText="1"/>
      <protection locked="0"/>
    </xf>
    <xf numFmtId="49" fontId="74" fillId="0" borderId="20"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86" fillId="5" borderId="24" xfId="0" applyFont="1" applyFill="1" applyBorder="1" applyAlignment="1" applyProtection="1">
      <alignment vertical="center" wrapText="1"/>
    </xf>
    <xf numFmtId="0" fontId="74" fillId="0" borderId="11"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78" fillId="5" borderId="24" xfId="0" applyFont="1" applyFill="1" applyBorder="1" applyAlignment="1" applyProtection="1">
      <alignment vertical="center" wrapText="1"/>
    </xf>
    <xf numFmtId="0" fontId="74" fillId="0" borderId="4" xfId="0" applyFont="1" applyFill="1" applyBorder="1" applyAlignment="1" applyProtection="1">
      <alignment horizontal="center" vertical="center" wrapText="1"/>
      <protection locked="0"/>
    </xf>
    <xf numFmtId="0" fontId="74" fillId="5" borderId="63" xfId="0" applyNumberFormat="1" applyFont="1" applyFill="1" applyBorder="1" applyAlignment="1" applyProtection="1">
      <alignment horizontal="center" vertical="center" wrapText="1"/>
    </xf>
    <xf numFmtId="0" fontId="87" fillId="0" borderId="64" xfId="0" applyNumberFormat="1" applyFont="1" applyFill="1" applyBorder="1" applyAlignment="1" applyProtection="1">
      <alignment horizontal="center" vertical="center" wrapText="1"/>
      <protection locked="0"/>
    </xf>
    <xf numFmtId="0" fontId="87" fillId="5" borderId="12" xfId="0" applyNumberFormat="1" applyFont="1" applyFill="1" applyBorder="1" applyAlignment="1" applyProtection="1">
      <alignment horizontal="center" vertical="center" wrapText="1"/>
    </xf>
    <xf numFmtId="0" fontId="87" fillId="0" borderId="2"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center" vertical="center" wrapText="1"/>
      <protection locked="0"/>
    </xf>
    <xf numFmtId="0" fontId="86" fillId="5" borderId="23" xfId="0" applyFont="1" applyFill="1" applyBorder="1" applyAlignment="1" applyProtection="1">
      <alignment vertical="center" wrapText="1"/>
    </xf>
    <xf numFmtId="0" fontId="74" fillId="0" borderId="45" xfId="0" applyFont="1" applyFill="1" applyBorder="1" applyAlignment="1" applyProtection="1">
      <alignment horizontal="center" vertical="center" wrapText="1"/>
      <protection locked="0"/>
    </xf>
    <xf numFmtId="0" fontId="87" fillId="0" borderId="60" xfId="0" applyNumberFormat="1" applyFont="1" applyFill="1" applyBorder="1" applyAlignment="1" applyProtection="1">
      <alignment horizontal="center" vertical="center" wrapText="1"/>
      <protection locked="0"/>
    </xf>
    <xf numFmtId="0" fontId="87" fillId="5" borderId="46" xfId="0" applyNumberFormat="1" applyFont="1" applyFill="1" applyBorder="1" applyAlignment="1" applyProtection="1">
      <alignment horizontal="center" vertical="center" wrapText="1"/>
    </xf>
    <xf numFmtId="0" fontId="74" fillId="5" borderId="41" xfId="0" applyFont="1" applyFill="1" applyBorder="1" applyAlignment="1" applyProtection="1">
      <alignment horizontal="center" vertical="center" wrapText="1"/>
    </xf>
    <xf numFmtId="49" fontId="87" fillId="5" borderId="58" xfId="0" applyNumberFormat="1" applyFont="1" applyFill="1" applyBorder="1" applyAlignment="1" applyProtection="1">
      <alignment horizontal="center" vertical="center" wrapText="1"/>
    </xf>
    <xf numFmtId="0" fontId="87" fillId="5" borderId="41" xfId="0" applyNumberFormat="1" applyFont="1" applyFill="1" applyBorder="1" applyAlignment="1" applyProtection="1">
      <alignment horizontal="center" vertical="center" wrapText="1"/>
    </xf>
    <xf numFmtId="49" fontId="87" fillId="0" borderId="58" xfId="0" applyNumberFormat="1" applyFont="1" applyFill="1" applyBorder="1" applyAlignment="1" applyProtection="1">
      <alignment horizontal="center" vertical="center" wrapText="1"/>
      <protection locked="0"/>
    </xf>
    <xf numFmtId="0" fontId="87" fillId="5" borderId="40" xfId="0" applyNumberFormat="1" applyFont="1" applyFill="1" applyBorder="1" applyAlignment="1" applyProtection="1">
      <alignment horizontal="center" vertical="center" wrapText="1"/>
    </xf>
    <xf numFmtId="49" fontId="87" fillId="0" borderId="53" xfId="0" applyNumberFormat="1" applyFont="1" applyFill="1" applyBorder="1" applyAlignment="1" applyProtection="1">
      <alignment horizontal="center" vertical="center" wrapText="1"/>
      <protection locked="0"/>
    </xf>
    <xf numFmtId="0" fontId="87" fillId="5" borderId="65" xfId="0" applyFont="1" applyFill="1" applyBorder="1" applyAlignment="1" applyProtection="1">
      <alignment horizontal="center" vertical="center"/>
    </xf>
    <xf numFmtId="0" fontId="87" fillId="2" borderId="20" xfId="0" applyNumberFormat="1" applyFont="1" applyFill="1" applyBorder="1" applyAlignment="1" applyProtection="1">
      <alignment horizontal="center" vertical="center" wrapText="1"/>
      <protection locked="0"/>
    </xf>
    <xf numFmtId="0" fontId="87" fillId="5" borderId="51" xfId="0" applyNumberFormat="1" applyFont="1" applyFill="1" applyBorder="1" applyAlignment="1" applyProtection="1">
      <alignment horizontal="center" vertical="center" wrapText="1"/>
    </xf>
    <xf numFmtId="49" fontId="87" fillId="2" borderId="20" xfId="0" applyNumberFormat="1" applyFont="1" applyFill="1" applyBorder="1" applyAlignment="1" applyProtection="1">
      <alignment horizontal="center" vertical="center" wrapText="1"/>
      <protection locked="0"/>
    </xf>
    <xf numFmtId="0" fontId="87" fillId="5" borderId="17" xfId="0" applyNumberFormat="1" applyFont="1" applyFill="1" applyBorder="1" applyAlignment="1" applyProtection="1">
      <alignment horizontal="center" vertical="center" wrapText="1"/>
    </xf>
    <xf numFmtId="49" fontId="87" fillId="2" borderId="50" xfId="0" applyNumberFormat="1" applyFont="1" applyFill="1" applyBorder="1" applyAlignment="1" applyProtection="1">
      <alignment horizontal="center" vertical="center" wrapText="1"/>
      <protection locked="0"/>
    </xf>
    <xf numFmtId="0" fontId="87" fillId="5" borderId="52" xfId="0" applyNumberFormat="1"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wrapText="1"/>
    </xf>
    <xf numFmtId="49" fontId="87" fillId="5" borderId="32" xfId="0" applyNumberFormat="1" applyFont="1" applyFill="1" applyBorder="1" applyAlignment="1" applyProtection="1">
      <alignment horizontal="center" vertical="center" wrapText="1"/>
    </xf>
    <xf numFmtId="49" fontId="87" fillId="0" borderId="18" xfId="0" applyNumberFormat="1" applyFont="1" applyFill="1" applyBorder="1" applyAlignment="1" applyProtection="1">
      <alignment horizontal="center" vertical="center" wrapText="1"/>
      <protection locked="0"/>
    </xf>
    <xf numFmtId="0" fontId="87" fillId="5" borderId="13" xfId="0" applyNumberFormat="1" applyFont="1" applyFill="1" applyBorder="1" applyAlignment="1" applyProtection="1">
      <alignment horizontal="center" vertical="center" wrapText="1"/>
    </xf>
    <xf numFmtId="49" fontId="87" fillId="0" borderId="24" xfId="0" applyNumberFormat="1" applyFont="1" applyFill="1" applyBorder="1" applyAlignment="1" applyProtection="1">
      <alignment horizontal="center" vertical="center" wrapText="1"/>
      <protection locked="0"/>
    </xf>
    <xf numFmtId="0" fontId="87" fillId="5" borderId="25" xfId="0" applyNumberFormat="1" applyFont="1" applyFill="1" applyBorder="1" applyAlignment="1" applyProtection="1">
      <alignment horizontal="center" vertical="center" wrapText="1"/>
    </xf>
    <xf numFmtId="0" fontId="74" fillId="5" borderId="51" xfId="0" applyFont="1" applyFill="1" applyBorder="1" applyAlignment="1" applyProtection="1">
      <alignment horizontal="center" vertical="center" wrapText="1"/>
    </xf>
    <xf numFmtId="0" fontId="87" fillId="2" borderId="18" xfId="0" applyNumberFormat="1" applyFont="1" applyFill="1" applyBorder="1" applyAlignment="1" applyProtection="1">
      <alignment horizontal="center" vertical="center" wrapText="1"/>
      <protection locked="0"/>
    </xf>
    <xf numFmtId="49" fontId="87" fillId="2" borderId="18" xfId="0" applyNumberFormat="1" applyFont="1" applyFill="1" applyBorder="1" applyAlignment="1" applyProtection="1">
      <alignment horizontal="center" vertical="center" wrapText="1"/>
      <protection locked="0"/>
    </xf>
    <xf numFmtId="49" fontId="87" fillId="2" borderId="24" xfId="0" applyNumberFormat="1" applyFont="1" applyFill="1" applyBorder="1" applyAlignment="1" applyProtection="1">
      <alignment horizontal="center" vertical="center" wrapText="1"/>
      <protection locked="0"/>
    </xf>
    <xf numFmtId="49" fontId="87" fillId="0" borderId="32" xfId="0" applyNumberFormat="1" applyFont="1" applyFill="1" applyBorder="1" applyAlignment="1" applyProtection="1">
      <alignment horizontal="center" vertical="center" wrapText="1"/>
      <protection locked="0"/>
    </xf>
    <xf numFmtId="0" fontId="87" fillId="5" borderId="4" xfId="0" applyNumberFormat="1" applyFont="1" applyFill="1" applyBorder="1" applyAlignment="1" applyProtection="1">
      <alignment horizontal="center" vertical="center" wrapText="1"/>
    </xf>
    <xf numFmtId="49" fontId="87" fillId="0" borderId="22" xfId="0" applyNumberFormat="1" applyFont="1" applyFill="1" applyBorder="1" applyAlignment="1" applyProtection="1">
      <alignment horizontal="center" vertical="center" wrapText="1"/>
      <protection locked="0"/>
    </xf>
    <xf numFmtId="0" fontId="87" fillId="5" borderId="32" xfId="0" applyNumberFormat="1" applyFont="1" applyFill="1" applyBorder="1" applyAlignment="1" applyProtection="1">
      <alignment horizontal="center" vertical="center" wrapText="1"/>
    </xf>
    <xf numFmtId="0" fontId="87" fillId="2" borderId="11" xfId="0" applyNumberFormat="1" applyFont="1" applyFill="1" applyBorder="1" applyAlignment="1" applyProtection="1">
      <alignment horizontal="center" vertical="center" wrapText="1"/>
      <protection locked="0"/>
    </xf>
    <xf numFmtId="0" fontId="87" fillId="5" borderId="5" xfId="0" applyNumberFormat="1" applyFont="1" applyFill="1" applyBorder="1" applyAlignment="1" applyProtection="1">
      <alignment horizontal="center" vertical="center" wrapText="1"/>
    </xf>
    <xf numFmtId="0" fontId="87" fillId="2" borderId="50" xfId="0" applyNumberFormat="1" applyFont="1" applyFill="1" applyBorder="1" applyAlignment="1" applyProtection="1">
      <alignment horizontal="center" vertical="center" wrapText="1"/>
      <protection locked="0"/>
    </xf>
    <xf numFmtId="0" fontId="78" fillId="5" borderId="31" xfId="0" applyFont="1" applyFill="1" applyBorder="1" applyAlignment="1" applyProtection="1">
      <alignment vertical="center" wrapText="1"/>
    </xf>
    <xf numFmtId="0" fontId="74" fillId="5" borderId="52" xfId="0" applyFont="1" applyFill="1" applyBorder="1" applyAlignment="1" applyProtection="1">
      <alignment horizontal="center" vertical="center" wrapText="1"/>
    </xf>
    <xf numFmtId="0" fontId="74" fillId="2" borderId="19" xfId="0" applyNumberFormat="1" applyFont="1" applyFill="1" applyBorder="1" applyAlignment="1" applyProtection="1">
      <alignment horizontal="center" vertical="center" wrapText="1"/>
      <protection locked="0"/>
    </xf>
    <xf numFmtId="0" fontId="87" fillId="2" borderId="8" xfId="0" applyNumberFormat="1" applyFont="1" applyFill="1" applyBorder="1" applyAlignment="1" applyProtection="1">
      <alignment horizontal="center" vertical="center" wrapText="1"/>
      <protection locked="0"/>
    </xf>
    <xf numFmtId="0" fontId="109" fillId="5" borderId="9"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87" fillId="2" borderId="64" xfId="0" applyNumberFormat="1" applyFont="1" applyFill="1" applyBorder="1" applyAlignment="1" applyProtection="1">
      <alignment horizontal="center" vertical="center" wrapText="1"/>
      <protection locked="0"/>
    </xf>
    <xf numFmtId="0" fontId="109" fillId="0" borderId="9" xfId="0" applyNumberFormat="1" applyFont="1" applyFill="1" applyBorder="1" applyAlignment="1" applyProtection="1">
      <alignment horizontal="center" vertical="center" wrapText="1"/>
      <protection locked="0"/>
    </xf>
    <xf numFmtId="0" fontId="74" fillId="0" borderId="12" xfId="0" applyFont="1" applyFill="1" applyBorder="1" applyAlignment="1" applyProtection="1">
      <alignment horizontal="center" vertical="center" wrapText="1"/>
      <protection locked="0"/>
    </xf>
    <xf numFmtId="0" fontId="87" fillId="0" borderId="9" xfId="0" applyNumberFormat="1" applyFont="1" applyFill="1" applyBorder="1" applyAlignment="1" applyProtection="1">
      <alignment horizontal="center" vertical="center" wrapText="1"/>
      <protection locked="0"/>
    </xf>
    <xf numFmtId="0" fontId="87" fillId="5" borderId="31" xfId="0" applyFont="1" applyFill="1" applyBorder="1" applyAlignment="1" applyProtection="1">
      <alignment horizontal="center" vertical="center"/>
    </xf>
    <xf numFmtId="0" fontId="87" fillId="0" borderId="12" xfId="0" applyFont="1" applyFill="1" applyBorder="1" applyAlignment="1" applyProtection="1">
      <alignment horizontal="center" vertical="center"/>
      <protection locked="0"/>
    </xf>
    <xf numFmtId="0" fontId="103" fillId="5" borderId="54" xfId="0" applyFont="1" applyFill="1" applyBorder="1" applyAlignment="1" applyProtection="1">
      <alignment vertical="center" textRotation="255" wrapText="1"/>
    </xf>
    <xf numFmtId="0" fontId="83" fillId="0" borderId="46" xfId="0" applyFont="1" applyFill="1" applyBorder="1" applyAlignment="1" applyProtection="1">
      <alignment horizontal="center" vertical="center"/>
      <protection locked="0"/>
    </xf>
    <xf numFmtId="0" fontId="87" fillId="0" borderId="3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3" xfId="0" applyNumberFormat="1" applyFont="1" applyFill="1" applyBorder="1" applyAlignment="1" applyProtection="1">
      <alignment horizontal="center" vertical="center" wrapText="1"/>
      <protection locked="0"/>
    </xf>
    <xf numFmtId="0" fontId="86" fillId="5" borderId="24" xfId="0" applyFont="1" applyFill="1" applyBorder="1" applyAlignment="1" applyProtection="1">
      <alignment vertical="center" textRotation="255" wrapText="1"/>
    </xf>
    <xf numFmtId="0" fontId="74" fillId="5" borderId="17" xfId="0" applyFont="1" applyFill="1" applyBorder="1" applyAlignment="1" applyProtection="1">
      <alignment horizontal="center" vertical="center" wrapText="1"/>
    </xf>
    <xf numFmtId="0" fontId="87" fillId="0" borderId="1" xfId="0" applyNumberFormat="1" applyFont="1" applyFill="1" applyBorder="1" applyAlignment="1" applyProtection="1">
      <alignment horizontal="center" vertical="center" wrapText="1"/>
      <protection locked="0"/>
    </xf>
    <xf numFmtId="0" fontId="87" fillId="5" borderId="7" xfId="0" applyNumberFormat="1" applyFont="1" applyFill="1" applyBorder="1" applyAlignment="1" applyProtection="1">
      <alignment horizontal="center" vertical="center" wrapText="1"/>
    </xf>
    <xf numFmtId="0" fontId="87" fillId="0" borderId="6" xfId="0" applyNumberFormat="1" applyFont="1" applyFill="1" applyBorder="1" applyAlignment="1" applyProtection="1">
      <alignment horizontal="center" vertical="center" wrapText="1"/>
      <protection locked="0"/>
    </xf>
    <xf numFmtId="49" fontId="87" fillId="2" borderId="11" xfId="0" applyNumberFormat="1" applyFont="1" applyFill="1" applyBorder="1" applyAlignment="1" applyProtection="1">
      <alignment horizontal="center" vertical="center" wrapText="1"/>
      <protection locked="0"/>
    </xf>
    <xf numFmtId="0" fontId="78" fillId="5" borderId="24" xfId="0" applyFont="1" applyFill="1" applyBorder="1" applyAlignment="1" applyProtection="1">
      <alignment vertical="center" textRotation="255" wrapText="1"/>
    </xf>
    <xf numFmtId="9" fontId="74" fillId="2" borderId="64" xfId="0" applyNumberFormat="1" applyFont="1" applyFill="1" applyBorder="1" applyAlignment="1" applyProtection="1">
      <alignment horizontal="center" vertical="center" wrapText="1"/>
      <protection locked="0"/>
    </xf>
    <xf numFmtId="0" fontId="87" fillId="0" borderId="5" xfId="0" applyFont="1" applyFill="1" applyBorder="1" applyAlignment="1" applyProtection="1">
      <alignment horizontal="center" vertical="center"/>
      <protection locked="0"/>
    </xf>
    <xf numFmtId="0" fontId="103" fillId="5" borderId="24" xfId="0" applyFont="1" applyFill="1" applyBorder="1" applyAlignment="1" applyProtection="1">
      <alignment vertical="center" textRotation="255" wrapText="1"/>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110" fillId="5" borderId="9" xfId="0" applyNumberFormat="1" applyFont="1" applyFill="1" applyBorder="1" applyAlignment="1" applyProtection="1">
      <alignment horizontal="center" vertical="center" wrapText="1"/>
    </xf>
    <xf numFmtId="49" fontId="86" fillId="5" borderId="59" xfId="0" applyNumberFormat="1" applyFont="1" applyFill="1" applyBorder="1" applyAlignment="1" applyProtection="1">
      <alignment vertical="center"/>
    </xf>
    <xf numFmtId="49" fontId="86" fillId="2" borderId="7" xfId="0" applyNumberFormat="1" applyFont="1" applyFill="1" applyBorder="1" applyAlignment="1" applyProtection="1">
      <alignment vertical="center"/>
      <protection locked="0"/>
    </xf>
    <xf numFmtId="0" fontId="86" fillId="5" borderId="30" xfId="0" applyFont="1" applyFill="1" applyBorder="1" applyAlignment="1" applyProtection="1">
      <alignment horizontal="right" vertical="center" wrapText="1"/>
    </xf>
    <xf numFmtId="0" fontId="86" fillId="5" borderId="57" xfId="0" applyFont="1" applyFill="1" applyBorder="1" applyAlignment="1" applyProtection="1">
      <alignment vertical="center" wrapText="1"/>
    </xf>
    <xf numFmtId="0" fontId="111" fillId="3" borderId="30" xfId="0" applyFont="1" applyFill="1" applyBorder="1" applyAlignment="1" applyProtection="1">
      <alignment vertical="center" wrapText="1"/>
      <protection locked="0"/>
    </xf>
    <xf numFmtId="0" fontId="111" fillId="5" borderId="30" xfId="0" applyFont="1" applyFill="1" applyBorder="1" applyAlignment="1" applyProtection="1">
      <alignment vertical="center" wrapText="1"/>
    </xf>
    <xf numFmtId="0" fontId="111" fillId="3" borderId="59" xfId="0" applyFont="1" applyFill="1" applyBorder="1" applyAlignment="1" applyProtection="1">
      <alignment vertical="center" wrapText="1"/>
      <protection locked="0"/>
    </xf>
    <xf numFmtId="0" fontId="111" fillId="5" borderId="57" xfId="0" applyFont="1" applyFill="1" applyBorder="1" applyAlignment="1" applyProtection="1">
      <alignment vertical="center" wrapText="1"/>
    </xf>
    <xf numFmtId="49" fontId="86" fillId="5" borderId="60" xfId="0" applyNumberFormat="1" applyFont="1" applyFill="1" applyBorder="1" applyAlignment="1" applyProtection="1">
      <alignment vertical="center"/>
    </xf>
    <xf numFmtId="49" fontId="86" fillId="5" borderId="48" xfId="0" applyNumberFormat="1" applyFont="1" applyFill="1" applyBorder="1" applyAlignment="1" applyProtection="1">
      <alignment vertical="center"/>
    </xf>
    <xf numFmtId="185" fontId="86" fillId="5" borderId="56" xfId="0" applyNumberFormat="1" applyFont="1" applyFill="1" applyBorder="1" applyAlignment="1" applyProtection="1">
      <alignment vertical="center" wrapText="1"/>
    </xf>
    <xf numFmtId="0" fontId="86" fillId="5" borderId="48" xfId="0" applyFont="1" applyFill="1" applyBorder="1" applyAlignment="1" applyProtection="1">
      <alignment vertical="center" wrapText="1"/>
    </xf>
    <xf numFmtId="0" fontId="86" fillId="5" borderId="56" xfId="0" applyFont="1" applyFill="1" applyBorder="1" applyAlignment="1" applyProtection="1">
      <alignment vertical="center" wrapText="1"/>
    </xf>
    <xf numFmtId="185" fontId="86" fillId="5" borderId="60" xfId="0" applyNumberFormat="1" applyFont="1" applyFill="1" applyBorder="1" applyAlignment="1" applyProtection="1">
      <alignment vertical="center" wrapText="1"/>
    </xf>
    <xf numFmtId="49" fontId="86" fillId="0" borderId="54" xfId="0" applyNumberFormat="1" applyFont="1" applyFill="1" applyBorder="1" applyAlignment="1" applyProtection="1">
      <alignment vertical="center"/>
      <protection locked="0"/>
    </xf>
    <xf numFmtId="49" fontId="86" fillId="0" borderId="66" xfId="0" applyNumberFormat="1" applyFont="1" applyFill="1" applyBorder="1" applyAlignment="1" applyProtection="1">
      <alignment vertical="center"/>
      <protection locked="0"/>
    </xf>
    <xf numFmtId="185" fontId="86" fillId="5" borderId="61" xfId="0" applyNumberFormat="1" applyFont="1" applyFill="1" applyBorder="1" applyAlignment="1" applyProtection="1">
      <alignment vertical="center" wrapText="1"/>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wrapText="1"/>
    </xf>
    <xf numFmtId="182" fontId="87" fillId="5" borderId="5" xfId="0" applyNumberFormat="1" applyFont="1" applyFill="1" applyBorder="1" applyAlignment="1" applyProtection="1">
      <alignment horizontal="center" vertical="center"/>
    </xf>
    <xf numFmtId="182" fontId="87" fillId="5" borderId="9" xfId="0" applyNumberFormat="1" applyFont="1" applyFill="1" applyBorder="1" applyAlignment="1" applyProtection="1">
      <alignment vertical="center"/>
    </xf>
    <xf numFmtId="0" fontId="86" fillId="5" borderId="9" xfId="0" applyFont="1" applyFill="1" applyBorder="1" applyAlignment="1" applyProtection="1">
      <alignment horizontal="center" vertical="center" wrapText="1"/>
    </xf>
    <xf numFmtId="14" fontId="87" fillId="5" borderId="1" xfId="0" applyNumberFormat="1" applyFont="1" applyFill="1" applyBorder="1" applyAlignment="1" applyProtection="1">
      <alignment horizontal="left" vertical="center"/>
    </xf>
    <xf numFmtId="177" fontId="87" fillId="5" borderId="6" xfId="0" applyNumberFormat="1" applyFont="1" applyFill="1" applyBorder="1" applyAlignment="1" applyProtection="1">
      <alignment horizontal="center" vertical="center"/>
    </xf>
    <xf numFmtId="0" fontId="87" fillId="5" borderId="6" xfId="0" applyFont="1" applyFill="1" applyBorder="1" applyAlignment="1" applyProtection="1">
      <alignment horizontal="center" vertical="center"/>
    </xf>
    <xf numFmtId="0" fontId="87" fillId="5" borderId="7" xfId="0" applyFont="1" applyFill="1" applyBorder="1" applyAlignment="1" applyProtection="1">
      <alignment horizontal="center" vertical="center"/>
    </xf>
    <xf numFmtId="0" fontId="89" fillId="5" borderId="11" xfId="0" applyFont="1" applyFill="1" applyBorder="1" applyAlignment="1" applyProtection="1"/>
    <xf numFmtId="185" fontId="89" fillId="5" borderId="2" xfId="2" applyNumberFormat="1" applyFont="1" applyFill="1" applyBorder="1" applyAlignment="1" applyProtection="1">
      <alignment horizontal="center"/>
    </xf>
    <xf numFmtId="0" fontId="89" fillId="5" borderId="2" xfId="0" applyFont="1" applyFill="1" applyBorder="1" applyAlignment="1" applyProtection="1">
      <alignment horizontal="center"/>
    </xf>
    <xf numFmtId="178" fontId="89" fillId="5" borderId="12" xfId="2" applyNumberFormat="1" applyFont="1" applyFill="1" applyBorder="1" applyAlignment="1" applyProtection="1">
      <alignment horizontal="center"/>
    </xf>
    <xf numFmtId="0" fontId="89" fillId="5" borderId="11" xfId="2" applyFont="1" applyFill="1" applyBorder="1" applyAlignment="1" applyProtection="1"/>
    <xf numFmtId="0" fontId="89" fillId="5" borderId="2" xfId="2" applyFont="1" applyFill="1" applyBorder="1" applyAlignment="1" applyProtection="1">
      <alignment horizontal="center"/>
    </xf>
    <xf numFmtId="180" fontId="89" fillId="0" borderId="2" xfId="2" applyNumberFormat="1" applyFont="1" applyFill="1" applyBorder="1" applyAlignment="1" applyProtection="1">
      <alignment horizontal="center"/>
      <protection locked="0"/>
    </xf>
    <xf numFmtId="0" fontId="79" fillId="5" borderId="12" xfId="0" applyFont="1" applyFill="1" applyBorder="1" applyAlignment="1" applyProtection="1">
      <alignment horizontal="center" vertical="center"/>
    </xf>
    <xf numFmtId="180" fontId="89" fillId="5" borderId="2" xfId="2" applyNumberFormat="1" applyFont="1" applyFill="1" applyBorder="1" applyAlignment="1" applyProtection="1">
      <alignment horizontal="center"/>
    </xf>
    <xf numFmtId="0" fontId="98" fillId="5" borderId="43" xfId="2" applyFont="1" applyFill="1" applyBorder="1" applyAlignment="1" applyProtection="1"/>
    <xf numFmtId="0" fontId="89" fillId="5" borderId="44" xfId="0" applyFont="1" applyFill="1" applyBorder="1" applyAlignment="1" applyProtection="1">
      <alignment horizontal="center"/>
    </xf>
    <xf numFmtId="178" fontId="98" fillId="5" borderId="46" xfId="0" applyNumberFormat="1" applyFont="1" applyFill="1" applyBorder="1" applyAlignment="1" applyProtection="1">
      <alignment horizontal="center"/>
    </xf>
    <xf numFmtId="0" fontId="78" fillId="5" borderId="26" xfId="0" applyNumberFormat="1" applyFont="1" applyFill="1" applyBorder="1" applyAlignment="1" applyProtection="1">
      <alignment vertical="center" wrapText="1"/>
    </xf>
    <xf numFmtId="0" fontId="78" fillId="5" borderId="58" xfId="0" applyNumberFormat="1" applyFont="1" applyFill="1" applyBorder="1" applyAlignment="1" applyProtection="1">
      <alignment vertical="center" wrapText="1"/>
    </xf>
    <xf numFmtId="0" fontId="78" fillId="5" borderId="31" xfId="0" applyNumberFormat="1" applyFont="1" applyFill="1" applyBorder="1" applyAlignment="1" applyProtection="1">
      <alignment vertical="center" wrapText="1"/>
    </xf>
    <xf numFmtId="0" fontId="78" fillId="5" borderId="18" xfId="0" applyNumberFormat="1" applyFont="1" applyFill="1" applyBorder="1" applyAlignment="1" applyProtection="1">
      <alignment vertical="center" wrapText="1"/>
    </xf>
    <xf numFmtId="0" fontId="74" fillId="5" borderId="32"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74" fillId="0" borderId="25" xfId="0" applyNumberFormat="1" applyFont="1" applyFill="1" applyBorder="1" applyAlignment="1" applyProtection="1">
      <alignment horizontal="center" vertical="center" wrapText="1"/>
      <protection locked="0"/>
    </xf>
    <xf numFmtId="0" fontId="78" fillId="5" borderId="54" xfId="0" applyNumberFormat="1" applyFont="1" applyFill="1" applyBorder="1" applyAlignment="1" applyProtection="1">
      <alignment vertical="center"/>
    </xf>
    <xf numFmtId="0" fontId="78" fillId="5" borderId="67" xfId="0" applyNumberFormat="1" applyFont="1" applyFill="1" applyBorder="1" applyAlignment="1" applyProtection="1">
      <alignment vertical="center" wrapText="1"/>
    </xf>
    <xf numFmtId="0" fontId="74" fillId="0" borderId="67" xfId="0" applyNumberFormat="1" applyFont="1" applyFill="1" applyBorder="1" applyAlignment="1" applyProtection="1">
      <alignment horizontal="center" vertical="center" wrapText="1"/>
      <protection locked="0"/>
    </xf>
    <xf numFmtId="0" fontId="74" fillId="0" borderId="55" xfId="0" applyNumberFormat="1" applyFont="1" applyFill="1" applyBorder="1" applyAlignment="1" applyProtection="1">
      <alignment horizontal="center" vertical="center" wrapText="1"/>
      <protection locked="0"/>
    </xf>
    <xf numFmtId="0" fontId="74" fillId="0" borderId="6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vertical="center" wrapText="1"/>
    </xf>
    <xf numFmtId="0" fontId="74" fillId="5" borderId="20" xfId="0" applyNumberFormat="1" applyFont="1" applyFill="1" applyBorder="1" applyAlignment="1" applyProtection="1">
      <alignment horizontal="center" vertical="center" wrapText="1"/>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0" borderId="51"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vertical="center" wrapText="1"/>
    </xf>
    <xf numFmtId="0" fontId="74" fillId="5" borderId="27" xfId="0" applyNumberFormat="1" applyFont="1" applyFill="1" applyBorder="1" applyAlignment="1" applyProtection="1">
      <alignment horizontal="center" vertical="center" wrapText="1"/>
    </xf>
    <xf numFmtId="0" fontId="108" fillId="0" borderId="6" xfId="0" applyNumberFormat="1" applyFont="1" applyFill="1" applyBorder="1" applyAlignment="1" applyProtection="1">
      <alignment horizontal="center" vertical="center" wrapText="1"/>
      <protection locked="0"/>
    </xf>
    <xf numFmtId="0" fontId="108" fillId="0" borderId="6" xfId="0" applyNumberFormat="1" applyFont="1" applyFill="1" applyBorder="1" applyAlignment="1" applyProtection="1">
      <alignment horizontal="left" vertical="center" wrapText="1"/>
      <protection locked="0"/>
    </xf>
    <xf numFmtId="0" fontId="108" fillId="0" borderId="7" xfId="0" applyNumberFormat="1" applyFont="1" applyFill="1" applyBorder="1" applyAlignment="1" applyProtection="1">
      <alignment horizontal="center" vertical="center" wrapText="1"/>
      <protection locked="0"/>
    </xf>
    <xf numFmtId="0" fontId="86" fillId="5" borderId="24" xfId="0" applyNumberFormat="1" applyFont="1" applyFill="1" applyBorder="1" applyAlignment="1" applyProtection="1">
      <alignment vertical="center" wrapText="1"/>
    </xf>
    <xf numFmtId="0" fontId="83" fillId="5" borderId="70" xfId="0" applyNumberFormat="1" applyFont="1" applyFill="1" applyBorder="1" applyAlignment="1" applyProtection="1">
      <alignment horizontal="center" vertical="center" wrapText="1"/>
    </xf>
    <xf numFmtId="0" fontId="87" fillId="0" borderId="71" xfId="0" applyNumberFormat="1" applyFont="1" applyFill="1" applyBorder="1" applyAlignment="1" applyProtection="1">
      <alignment horizontal="center" vertical="center" wrapText="1"/>
      <protection locked="0"/>
    </xf>
    <xf numFmtId="0" fontId="87" fillId="0" borderId="72" xfId="0" applyNumberFormat="1" applyFont="1" applyFill="1" applyBorder="1" applyAlignment="1" applyProtection="1">
      <alignment horizontal="center" vertical="center" wrapText="1"/>
      <protection locked="0"/>
    </xf>
    <xf numFmtId="0" fontId="74" fillId="5" borderId="73" xfId="0" applyNumberFormat="1" applyFont="1" applyFill="1" applyBorder="1" applyAlignment="1" applyProtection="1">
      <alignment horizontal="center" vertical="center" wrapText="1"/>
    </xf>
    <xf numFmtId="0" fontId="87" fillId="5" borderId="74" xfId="0" applyNumberFormat="1" applyFont="1" applyFill="1" applyBorder="1" applyAlignment="1" applyProtection="1">
      <alignment horizontal="center" vertical="center" wrapText="1"/>
    </xf>
    <xf numFmtId="0" fontId="108" fillId="5" borderId="74" xfId="0" applyNumberFormat="1" applyFont="1" applyFill="1" applyBorder="1" applyAlignment="1" applyProtection="1">
      <alignment horizontal="center" vertical="center" wrapText="1"/>
    </xf>
    <xf numFmtId="0" fontId="108" fillId="5" borderId="74" xfId="0" applyNumberFormat="1" applyFont="1" applyFill="1" applyBorder="1" applyAlignment="1" applyProtection="1">
      <alignment horizontal="left" vertical="center" wrapText="1"/>
    </xf>
    <xf numFmtId="0" fontId="108" fillId="5" borderId="75" xfId="0" applyNumberFormat="1" applyFont="1" applyFill="1" applyBorder="1" applyAlignment="1" applyProtection="1">
      <alignment horizontal="center" vertical="center" wrapText="1"/>
    </xf>
    <xf numFmtId="0" fontId="74" fillId="5" borderId="70" xfId="0" applyNumberFormat="1" applyFont="1" applyFill="1" applyBorder="1" applyAlignment="1" applyProtection="1">
      <alignment horizontal="center" vertical="center" wrapText="1"/>
    </xf>
    <xf numFmtId="0" fontId="87" fillId="5" borderId="71" xfId="0" applyNumberFormat="1" applyFont="1" applyFill="1" applyBorder="1" applyAlignment="1" applyProtection="1">
      <alignment horizontal="center" vertical="center" wrapText="1"/>
    </xf>
    <xf numFmtId="0" fontId="87" fillId="5" borderId="72" xfId="0" applyNumberFormat="1" applyFont="1" applyFill="1" applyBorder="1" applyAlignment="1" applyProtection="1">
      <alignment horizontal="center" vertical="center" wrapText="1"/>
    </xf>
    <xf numFmtId="0" fontId="74" fillId="5" borderId="3" xfId="0" applyNumberFormat="1" applyFont="1" applyFill="1" applyBorder="1" applyAlignment="1" applyProtection="1">
      <alignment horizontal="center" vertical="center" wrapText="1"/>
    </xf>
    <xf numFmtId="0" fontId="87" fillId="5" borderId="2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108" fillId="0" borderId="2"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left" vertical="center" wrapText="1"/>
      <protection locked="0"/>
    </xf>
    <xf numFmtId="0" fontId="108" fillId="0" borderId="12" xfId="0" applyNumberFormat="1" applyFont="1" applyFill="1" applyBorder="1" applyAlignment="1" applyProtection="1">
      <alignment horizontal="center" vertical="center" wrapText="1"/>
      <protection locked="0"/>
    </xf>
    <xf numFmtId="0" fontId="103" fillId="5" borderId="24" xfId="0" applyNumberFormat="1" applyFont="1" applyFill="1" applyBorder="1" applyAlignment="1" applyProtection="1">
      <alignment vertical="center" wrapText="1"/>
    </xf>
    <xf numFmtId="0" fontId="74"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4" fillId="0" borderId="71" xfId="0" applyNumberFormat="1" applyFont="1" applyFill="1" applyBorder="1" applyAlignment="1" applyProtection="1">
      <alignment horizontal="center" vertical="center" wrapText="1"/>
      <protection locked="0"/>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left" vertical="center" wrapText="1"/>
      <protection locked="0"/>
    </xf>
    <xf numFmtId="0" fontId="83" fillId="0" borderId="51" xfId="0" applyNumberFormat="1" applyFont="1" applyFill="1" applyBorder="1" applyAlignment="1" applyProtection="1">
      <alignment horizontal="center" vertical="center" wrapText="1"/>
      <protection locked="0"/>
    </xf>
    <xf numFmtId="0" fontId="103" fillId="5" borderId="23" xfId="0" applyNumberFormat="1" applyFont="1" applyFill="1" applyBorder="1" applyAlignment="1" applyProtection="1">
      <alignment vertical="center" wrapText="1"/>
    </xf>
    <xf numFmtId="0" fontId="74" fillId="5" borderId="55" xfId="0" applyNumberFormat="1" applyFont="1" applyFill="1" applyBorder="1" applyAlignment="1" applyProtection="1">
      <alignment horizontal="center" vertical="center" wrapText="1"/>
    </xf>
    <xf numFmtId="0" fontId="74" fillId="0" borderId="44"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74" fillId="5" borderId="6" xfId="0" applyNumberFormat="1" applyFont="1" applyFill="1" applyBorder="1" applyAlignment="1" applyProtection="1">
      <alignment horizontal="center" vertical="center" wrapText="1"/>
    </xf>
    <xf numFmtId="0" fontId="87" fillId="5" borderId="6" xfId="0" applyNumberFormat="1" applyFont="1" applyFill="1" applyBorder="1" applyAlignment="1" applyProtection="1">
      <alignment horizontal="center" vertical="center" wrapText="1"/>
    </xf>
    <xf numFmtId="0" fontId="108" fillId="5" borderId="6" xfId="0" applyNumberFormat="1" applyFont="1" applyFill="1" applyBorder="1" applyAlignment="1" applyProtection="1">
      <alignment horizontal="center" vertical="center" wrapText="1"/>
    </xf>
    <xf numFmtId="0" fontId="108" fillId="5" borderId="6" xfId="0" applyNumberFormat="1" applyFont="1" applyFill="1" applyBorder="1" applyAlignment="1" applyProtection="1">
      <alignment horizontal="left" vertical="center" wrapText="1"/>
    </xf>
    <xf numFmtId="0" fontId="108" fillId="5" borderId="7" xfId="0" applyNumberFormat="1" applyFont="1" applyFill="1" applyBorder="1" applyAlignment="1" applyProtection="1">
      <alignment horizontal="center" vertical="center" wrapText="1"/>
    </xf>
    <xf numFmtId="0" fontId="74" fillId="5" borderId="74" xfId="0" applyNumberFormat="1" applyFont="1" applyFill="1" applyBorder="1" applyAlignment="1" applyProtection="1">
      <alignment horizontal="center" vertical="center" wrapText="1"/>
    </xf>
    <xf numFmtId="0" fontId="78" fillId="5" borderId="24" xfId="0" applyNumberFormat="1" applyFont="1" applyFill="1" applyBorder="1" applyAlignment="1" applyProtection="1">
      <alignment vertical="center" wrapText="1"/>
    </xf>
    <xf numFmtId="0" fontId="74" fillId="5" borderId="74" xfId="0" applyNumberFormat="1" applyFont="1" applyFill="1" applyBorder="1" applyAlignment="1" applyProtection="1">
      <alignment horizontal="left" vertical="center" wrapText="1"/>
    </xf>
    <xf numFmtId="0" fontId="74" fillId="5" borderId="75" xfId="0" applyNumberFormat="1" applyFont="1" applyFill="1" applyBorder="1" applyAlignment="1" applyProtection="1">
      <alignment horizontal="center" vertical="center" wrapText="1"/>
    </xf>
    <xf numFmtId="0" fontId="74" fillId="5" borderId="71"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left" vertical="center" wrapText="1"/>
    </xf>
    <xf numFmtId="0" fontId="83" fillId="5" borderId="75"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87" fillId="0" borderId="74" xfId="0" applyNumberFormat="1" applyFont="1" applyFill="1" applyBorder="1" applyAlignment="1" applyProtection="1">
      <alignment horizontal="center" vertical="center" wrapText="1"/>
      <protection locked="0"/>
    </xf>
    <xf numFmtId="0" fontId="108" fillId="0" borderId="74" xfId="0" applyNumberFormat="1" applyFont="1" applyFill="1" applyBorder="1" applyAlignment="1" applyProtection="1">
      <alignment horizontal="center" vertical="center" wrapText="1"/>
      <protection locked="0"/>
    </xf>
    <xf numFmtId="0" fontId="108" fillId="0" borderId="74" xfId="0" applyNumberFormat="1" applyFont="1" applyFill="1" applyBorder="1" applyAlignment="1" applyProtection="1">
      <alignment horizontal="left" vertical="center" wrapText="1"/>
      <protection locked="0"/>
    </xf>
    <xf numFmtId="0" fontId="108" fillId="0" borderId="75" xfId="0" applyNumberFormat="1" applyFont="1" applyFill="1" applyBorder="1" applyAlignment="1" applyProtection="1">
      <alignment horizontal="center" vertical="center" wrapText="1"/>
      <protection locked="0"/>
    </xf>
    <xf numFmtId="0" fontId="87" fillId="0" borderId="21" xfId="0" applyNumberFormat="1" applyFont="1" applyFill="1" applyBorder="1" applyAlignment="1" applyProtection="1">
      <alignment horizontal="center" vertical="center" wrapText="1"/>
      <protection locked="0"/>
    </xf>
    <xf numFmtId="0" fontId="108" fillId="0" borderId="21" xfId="0" applyNumberFormat="1" applyFont="1" applyFill="1" applyBorder="1" applyAlignment="1" applyProtection="1">
      <alignment horizontal="center" vertical="center" wrapText="1"/>
      <protection locked="0"/>
    </xf>
    <xf numFmtId="0" fontId="108" fillId="0" borderId="21" xfId="0" applyNumberFormat="1" applyFont="1" applyFill="1" applyBorder="1" applyAlignment="1" applyProtection="1">
      <alignment horizontal="left" vertical="center" wrapText="1"/>
      <protection locked="0"/>
    </xf>
    <xf numFmtId="0" fontId="108" fillId="0" borderId="51" xfId="0" applyNumberFormat="1" applyFont="1" applyFill="1" applyBorder="1" applyAlignment="1" applyProtection="1">
      <alignment horizontal="center" vertical="center" wrapText="1"/>
      <protection locked="0"/>
    </xf>
    <xf numFmtId="0" fontId="87" fillId="0" borderId="44" xfId="0" applyNumberFormat="1" applyFont="1" applyFill="1" applyBorder="1" applyAlignment="1" applyProtection="1">
      <alignment horizontal="center" vertical="center" wrapText="1"/>
      <protection locked="0"/>
    </xf>
    <xf numFmtId="0" fontId="87" fillId="0" borderId="46" xfId="0" applyNumberFormat="1" applyFont="1" applyFill="1" applyBorder="1" applyAlignment="1" applyProtection="1">
      <alignment horizontal="center" vertical="center" wrapText="1"/>
      <protection locked="0"/>
    </xf>
    <xf numFmtId="0" fontId="103" fillId="5" borderId="24" xfId="0" applyNumberFormat="1" applyFont="1" applyFill="1" applyBorder="1" applyAlignment="1" applyProtection="1">
      <alignment vertical="center" textRotation="255" wrapText="1"/>
    </xf>
    <xf numFmtId="0" fontId="74" fillId="5" borderId="13" xfId="0" applyNumberFormat="1" applyFont="1" applyFill="1" applyBorder="1" applyAlignment="1" applyProtection="1">
      <alignment horizontal="center" vertical="center"/>
    </xf>
    <xf numFmtId="0" fontId="74"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0" borderId="12" xfId="0" applyNumberFormat="1" applyFont="1" applyFill="1" applyBorder="1" applyAlignment="1" applyProtection="1">
      <alignment horizontal="center" vertical="center" wrapText="1"/>
      <protection locked="0"/>
    </xf>
    <xf numFmtId="0" fontId="87" fillId="0" borderId="25" xfId="0" applyNumberFormat="1" applyFont="1" applyFill="1" applyBorder="1" applyAlignment="1" applyProtection="1">
      <alignment horizontal="center" vertical="center" wrapText="1"/>
      <protection locked="0"/>
    </xf>
    <xf numFmtId="0" fontId="86" fillId="5" borderId="24" xfId="0" applyNumberFormat="1" applyFont="1" applyFill="1" applyBorder="1" applyAlignment="1" applyProtection="1">
      <alignment vertical="center" textRotation="255" wrapText="1"/>
    </xf>
    <xf numFmtId="0" fontId="83" fillId="5" borderId="55" xfId="0" applyNumberFormat="1" applyFont="1" applyFill="1" applyBorder="1" applyAlignment="1" applyProtection="1">
      <alignment horizontal="center" vertical="center" wrapText="1"/>
    </xf>
    <xf numFmtId="0" fontId="114" fillId="5" borderId="14" xfId="0" applyFont="1" applyFill="1" applyBorder="1" applyAlignment="1" applyProtection="1">
      <alignment vertical="center"/>
    </xf>
    <xf numFmtId="0" fontId="115" fillId="5" borderId="0" xfId="0" applyFont="1" applyFill="1" applyAlignment="1" applyProtection="1">
      <alignment horizontal="center" vertical="center"/>
    </xf>
    <xf numFmtId="188" fontId="114" fillId="5" borderId="14" xfId="0" applyNumberFormat="1" applyFont="1" applyFill="1" applyBorder="1" applyAlignment="1" applyProtection="1">
      <alignment horizontal="center" vertical="center"/>
    </xf>
    <xf numFmtId="0" fontId="74" fillId="5" borderId="4" xfId="0" applyNumberFormat="1" applyFont="1" applyFill="1" applyBorder="1" applyAlignment="1" applyProtection="1">
      <alignment horizontal="center" vertical="center" wrapText="1"/>
    </xf>
    <xf numFmtId="0" fontId="87" fillId="0" borderId="47" xfId="0" applyNumberFormat="1" applyFont="1" applyFill="1" applyBorder="1" applyAlignment="1" applyProtection="1">
      <alignment horizontal="center" vertical="center" wrapText="1"/>
      <protection locked="0"/>
    </xf>
    <xf numFmtId="0" fontId="100" fillId="5" borderId="30" xfId="2" applyFont="1" applyFill="1" applyBorder="1" applyAlignment="1" applyProtection="1">
      <alignment vertical="center"/>
    </xf>
    <xf numFmtId="0" fontId="98" fillId="5" borderId="1" xfId="2" applyFont="1" applyFill="1" applyBorder="1" applyAlignment="1" applyProtection="1">
      <alignment horizontal="left" vertical="center"/>
    </xf>
    <xf numFmtId="0" fontId="98" fillId="5" borderId="29" xfId="2" applyFont="1" applyFill="1" applyBorder="1" applyAlignment="1" applyProtection="1">
      <alignment vertical="center"/>
    </xf>
    <xf numFmtId="178" fontId="98" fillId="5" borderId="6" xfId="2" applyNumberFormat="1" applyFont="1" applyFill="1" applyBorder="1" applyAlignment="1" applyProtection="1">
      <alignment horizontal="center" vertical="center"/>
    </xf>
    <xf numFmtId="0" fontId="98" fillId="5" borderId="6" xfId="2" applyFont="1" applyFill="1" applyBorder="1" applyAlignment="1" applyProtection="1">
      <alignment horizontal="center" vertical="center"/>
    </xf>
    <xf numFmtId="0" fontId="98" fillId="5" borderId="7" xfId="2" applyFont="1" applyFill="1" applyBorder="1" applyAlignment="1" applyProtection="1">
      <alignment horizontal="left" vertical="center"/>
    </xf>
    <xf numFmtId="0" fontId="98" fillId="5" borderId="5" xfId="2" applyFont="1" applyFill="1" applyBorder="1" applyAlignment="1" applyProtection="1">
      <alignment vertical="center"/>
    </xf>
    <xf numFmtId="178" fontId="98" fillId="5" borderId="2" xfId="2" applyNumberFormat="1" applyFont="1" applyFill="1" applyBorder="1" applyAlignment="1" applyProtection="1">
      <alignment horizontal="center" vertical="center"/>
    </xf>
    <xf numFmtId="0" fontId="98" fillId="5" borderId="2" xfId="2" applyFont="1" applyFill="1" applyBorder="1" applyAlignment="1" applyProtection="1">
      <alignment horizontal="center" vertical="center"/>
    </xf>
    <xf numFmtId="0" fontId="98" fillId="5" borderId="12" xfId="2" applyFont="1" applyFill="1" applyBorder="1" applyAlignment="1" applyProtection="1">
      <alignment horizontal="left" vertical="center"/>
    </xf>
    <xf numFmtId="0" fontId="89" fillId="5" borderId="5" xfId="2" applyFont="1" applyFill="1" applyBorder="1" applyAlignment="1" applyProtection="1">
      <alignment vertical="center"/>
    </xf>
    <xf numFmtId="178" fontId="89" fillId="5" borderId="2" xfId="2" applyNumberFormat="1" applyFont="1" applyFill="1" applyBorder="1" applyAlignment="1" applyProtection="1">
      <alignment horizontal="center" vertical="center"/>
    </xf>
    <xf numFmtId="178" fontId="89" fillId="5" borderId="2" xfId="2" applyNumberFormat="1" applyFont="1" applyFill="1" applyBorder="1" applyAlignment="1" applyProtection="1">
      <alignment vertical="center"/>
    </xf>
    <xf numFmtId="10" fontId="89" fillId="5" borderId="2" xfId="2" applyNumberFormat="1" applyFont="1" applyFill="1" applyBorder="1" applyAlignment="1" applyProtection="1">
      <alignment horizontal="center" vertical="center"/>
    </xf>
    <xf numFmtId="0" fontId="116" fillId="5" borderId="5" xfId="2" applyFont="1" applyFill="1" applyBorder="1" applyAlignment="1" applyProtection="1">
      <alignment vertical="center"/>
    </xf>
    <xf numFmtId="178" fontId="116" fillId="5" borderId="2" xfId="2" applyNumberFormat="1" applyFont="1" applyFill="1" applyBorder="1" applyAlignment="1" applyProtection="1">
      <alignment horizontal="center" vertical="center"/>
    </xf>
    <xf numFmtId="178" fontId="116" fillId="5" borderId="2" xfId="2" applyNumberFormat="1" applyFont="1" applyFill="1" applyBorder="1" applyAlignment="1" applyProtection="1">
      <alignment vertical="center"/>
    </xf>
    <xf numFmtId="0" fontId="89" fillId="5" borderId="12" xfId="2" applyFont="1" applyFill="1" applyBorder="1" applyAlignment="1" applyProtection="1">
      <alignment vertical="center" wrapText="1"/>
    </xf>
    <xf numFmtId="180" fontId="98" fillId="5" borderId="2" xfId="2" applyNumberFormat="1" applyFont="1" applyFill="1" applyBorder="1" applyAlignment="1" applyProtection="1">
      <alignment horizontal="center" vertical="center"/>
    </xf>
    <xf numFmtId="9" fontId="98" fillId="5" borderId="5" xfId="2" applyNumberFormat="1" applyFont="1" applyFill="1" applyBorder="1" applyAlignment="1" applyProtection="1">
      <alignment horizontal="center" vertical="center"/>
    </xf>
    <xf numFmtId="0" fontId="98" fillId="5" borderId="2" xfId="0" applyFont="1" applyFill="1" applyBorder="1" applyAlignment="1" applyProtection="1">
      <alignment horizontal="right" vertical="center"/>
    </xf>
    <xf numFmtId="0" fontId="98" fillId="5" borderId="2" xfId="0" applyFont="1" applyFill="1" applyBorder="1" applyAlignment="1" applyProtection="1">
      <alignment horizontal="left" vertical="center"/>
    </xf>
    <xf numFmtId="10" fontId="98" fillId="5" borderId="5" xfId="2" applyNumberFormat="1" applyFont="1" applyFill="1" applyBorder="1" applyAlignment="1" applyProtection="1">
      <alignment horizontal="center" vertical="center"/>
    </xf>
    <xf numFmtId="0" fontId="98" fillId="5" borderId="12" xfId="0" applyFont="1" applyFill="1" applyBorder="1" applyAlignment="1" applyProtection="1">
      <alignment vertical="center" wrapText="1"/>
    </xf>
    <xf numFmtId="0" fontId="98" fillId="5" borderId="5" xfId="2" applyNumberFormat="1" applyFont="1" applyFill="1" applyBorder="1" applyAlignment="1" applyProtection="1">
      <alignment horizontal="center" vertical="center"/>
    </xf>
    <xf numFmtId="0" fontId="98" fillId="5" borderId="45" xfId="2" applyFont="1" applyFill="1" applyBorder="1" applyAlignment="1" applyProtection="1">
      <alignment vertical="center"/>
    </xf>
    <xf numFmtId="178" fontId="98" fillId="5" borderId="44" xfId="2" applyNumberFormat="1" applyFont="1" applyFill="1" applyBorder="1" applyAlignment="1" applyProtection="1">
      <alignment horizontal="center" vertical="center"/>
    </xf>
    <xf numFmtId="180" fontId="98" fillId="5" borderId="44" xfId="2" applyNumberFormat="1" applyFont="1" applyFill="1" applyBorder="1" applyAlignment="1" applyProtection="1">
      <alignment horizontal="center" vertical="center"/>
    </xf>
    <xf numFmtId="9" fontId="98" fillId="5" borderId="45" xfId="2" applyNumberFormat="1" applyFont="1" applyFill="1" applyBorder="1" applyAlignment="1" applyProtection="1">
      <alignment horizontal="center" vertical="center"/>
    </xf>
    <xf numFmtId="0" fontId="98" fillId="5" borderId="46" xfId="0" applyFont="1" applyFill="1" applyBorder="1" applyAlignment="1" applyProtection="1">
      <alignment vertical="center" wrapText="1"/>
    </xf>
    <xf numFmtId="49" fontId="105" fillId="5" borderId="19" xfId="0" applyNumberFormat="1" applyFont="1" applyFill="1" applyBorder="1" applyAlignment="1" applyProtection="1"/>
    <xf numFmtId="49" fontId="104" fillId="2" borderId="35" xfId="0" applyNumberFormat="1" applyFont="1" applyFill="1" applyBorder="1" applyAlignment="1" applyProtection="1">
      <alignment horizontal="left"/>
      <protection locked="0"/>
    </xf>
    <xf numFmtId="178" fontId="104" fillId="5" borderId="19" xfId="0" applyNumberFormat="1" applyFont="1" applyFill="1" applyBorder="1" applyAlignment="1" applyProtection="1"/>
    <xf numFmtId="0" fontId="73" fillId="5" borderId="2" xfId="0" applyFont="1" applyFill="1" applyBorder="1" applyAlignment="1" applyProtection="1">
      <alignment horizontal="center" vertical="center"/>
    </xf>
    <xf numFmtId="49" fontId="104" fillId="5" borderId="0" xfId="0" applyNumberFormat="1" applyFont="1" applyFill="1" applyBorder="1" applyAlignment="1" applyProtection="1">
      <alignment horizontal="center"/>
    </xf>
    <xf numFmtId="49" fontId="79" fillId="5" borderId="1" xfId="0" applyNumberFormat="1" applyFont="1" applyFill="1" applyBorder="1" applyAlignment="1" applyProtection="1">
      <alignment horizontal="center" vertical="center"/>
    </xf>
    <xf numFmtId="0" fontId="79" fillId="5" borderId="6" xfId="0" applyFont="1" applyFill="1" applyBorder="1" applyAlignment="1" applyProtection="1">
      <alignment horizontal="center" vertical="center"/>
    </xf>
    <xf numFmtId="0" fontId="79" fillId="5" borderId="29" xfId="0" applyFont="1" applyFill="1" applyBorder="1" applyAlignment="1" applyProtection="1">
      <alignment horizontal="right" vertical="center"/>
    </xf>
    <xf numFmtId="0" fontId="79" fillId="5" borderId="57" xfId="0" applyFont="1" applyFill="1" applyBorder="1" applyAlignment="1" applyProtection="1">
      <alignment horizontal="center" vertical="center"/>
    </xf>
    <xf numFmtId="49" fontId="88" fillId="5" borderId="22" xfId="0" applyNumberFormat="1" applyFont="1" applyFill="1" applyBorder="1" applyAlignment="1" applyProtection="1">
      <alignment vertical="center"/>
    </xf>
    <xf numFmtId="0" fontId="88" fillId="5" borderId="10" xfId="0" applyFont="1" applyFill="1" applyBorder="1" applyAlignment="1" applyProtection="1">
      <alignment vertical="center" wrapText="1"/>
    </xf>
    <xf numFmtId="0" fontId="88" fillId="5" borderId="10" xfId="0" applyFont="1" applyFill="1" applyBorder="1" applyAlignment="1" applyProtection="1">
      <alignment horizontal="center" vertical="center"/>
    </xf>
    <xf numFmtId="0" fontId="79" fillId="5" borderId="2" xfId="0" applyFont="1" applyFill="1" applyBorder="1" applyAlignment="1" applyProtection="1">
      <alignment horizontal="left" vertical="center"/>
    </xf>
    <xf numFmtId="0" fontId="88" fillId="5" borderId="12" xfId="0" applyFont="1" applyFill="1" applyBorder="1" applyAlignment="1" applyProtection="1">
      <alignment horizontal="center" vertical="center"/>
    </xf>
    <xf numFmtId="49" fontId="88" fillId="5" borderId="24" xfId="0" applyNumberFormat="1" applyFont="1" applyFill="1" applyBorder="1" applyAlignment="1" applyProtection="1">
      <alignment vertical="center"/>
    </xf>
    <xf numFmtId="0" fontId="88" fillId="5" borderId="3" xfId="0" applyFont="1" applyFill="1" applyBorder="1" applyAlignment="1" applyProtection="1">
      <alignment vertical="center" wrapText="1"/>
    </xf>
    <xf numFmtId="0" fontId="88" fillId="5" borderId="3" xfId="0" applyFont="1" applyFill="1" applyBorder="1" applyAlignment="1" applyProtection="1">
      <alignment horizontal="center" vertical="center"/>
    </xf>
    <xf numFmtId="0" fontId="79" fillId="5" borderId="3" xfId="0" applyFont="1" applyFill="1" applyBorder="1" applyAlignment="1" applyProtection="1">
      <alignment vertical="center"/>
    </xf>
    <xf numFmtId="49" fontId="88" fillId="5" borderId="50" xfId="0" applyNumberFormat="1" applyFont="1" applyFill="1" applyBorder="1" applyAlignment="1" applyProtection="1">
      <alignment vertical="center"/>
    </xf>
    <xf numFmtId="0" fontId="88" fillId="5" borderId="21" xfId="0" applyFont="1" applyFill="1" applyBorder="1" applyAlignment="1" applyProtection="1">
      <alignment vertical="center" wrapText="1"/>
    </xf>
    <xf numFmtId="0" fontId="88" fillId="5" borderId="21" xfId="0" applyFont="1" applyFill="1" applyBorder="1" applyAlignment="1" applyProtection="1">
      <alignment horizontal="center" vertical="center"/>
    </xf>
    <xf numFmtId="0" fontId="79" fillId="5" borderId="21" xfId="0" applyFont="1" applyFill="1" applyBorder="1" applyAlignment="1" applyProtection="1">
      <alignment vertical="center"/>
    </xf>
    <xf numFmtId="182" fontId="88" fillId="5" borderId="12" xfId="0" applyNumberFormat="1" applyFont="1" applyFill="1" applyBorder="1" applyAlignment="1" applyProtection="1">
      <alignment horizontal="center" vertical="center"/>
    </xf>
    <xf numFmtId="0" fontId="79" fillId="5" borderId="10" xfId="0" applyFont="1" applyFill="1" applyBorder="1" applyAlignment="1" applyProtection="1">
      <alignment horizontal="left" vertical="center"/>
    </xf>
    <xf numFmtId="182" fontId="88" fillId="5" borderId="25" xfId="0" applyNumberFormat="1" applyFont="1" applyFill="1" applyBorder="1" applyAlignment="1" applyProtection="1">
      <alignment horizontal="center" vertical="center"/>
    </xf>
    <xf numFmtId="49" fontId="88" fillId="5" borderId="11" xfId="0" applyNumberFormat="1" applyFont="1" applyFill="1" applyBorder="1" applyAlignment="1" applyProtection="1">
      <alignment horizontal="left" vertical="center"/>
    </xf>
    <xf numFmtId="0" fontId="88" fillId="5" borderId="2" xfId="0" applyFont="1" applyFill="1" applyBorder="1" applyAlignment="1" applyProtection="1">
      <alignment horizontal="left" vertical="center"/>
    </xf>
    <xf numFmtId="0" fontId="88" fillId="5" borderId="2" xfId="0" applyFont="1" applyFill="1" applyBorder="1" applyAlignment="1" applyProtection="1">
      <alignment horizontal="center" vertical="center"/>
    </xf>
    <xf numFmtId="182" fontId="79" fillId="5" borderId="25" xfId="0" applyNumberFormat="1" applyFont="1" applyFill="1" applyBorder="1" applyAlignment="1" applyProtection="1">
      <alignment horizontal="center" vertical="center"/>
    </xf>
    <xf numFmtId="0" fontId="102" fillId="5" borderId="8" xfId="0" applyFont="1" applyFill="1" applyBorder="1" applyAlignment="1" applyProtection="1">
      <alignment vertical="center"/>
    </xf>
    <xf numFmtId="0" fontId="102" fillId="5" borderId="16" xfId="0" applyFont="1" applyFill="1" applyBorder="1" applyAlignment="1" applyProtection="1">
      <alignment vertical="center"/>
    </xf>
    <xf numFmtId="49" fontId="79" fillId="5" borderId="11" xfId="0" applyNumberFormat="1" applyFont="1" applyFill="1" applyBorder="1" applyAlignment="1" applyProtection="1">
      <alignment horizontal="left" vertical="center"/>
    </xf>
    <xf numFmtId="0" fontId="155" fillId="5" borderId="5" xfId="0" applyFont="1" applyFill="1" applyBorder="1" applyAlignment="1" applyProtection="1">
      <alignment horizontal="center" vertical="center"/>
    </xf>
    <xf numFmtId="180" fontId="88" fillId="5" borderId="16" xfId="0" applyNumberFormat="1" applyFont="1" applyFill="1" applyBorder="1" applyAlignment="1" applyProtection="1">
      <alignment horizontal="center" vertical="center"/>
    </xf>
    <xf numFmtId="0" fontId="79" fillId="5" borderId="21" xfId="0" applyFont="1" applyFill="1" applyBorder="1" applyAlignment="1" applyProtection="1">
      <alignment horizontal="left" vertical="center"/>
    </xf>
    <xf numFmtId="182" fontId="79" fillId="5" borderId="51" xfId="0" applyNumberFormat="1" applyFont="1" applyFill="1" applyBorder="1" applyAlignment="1" applyProtection="1">
      <alignment horizontal="center" vertical="center"/>
    </xf>
    <xf numFmtId="182" fontId="88" fillId="5" borderId="10" xfId="0" applyNumberFormat="1" applyFont="1" applyFill="1" applyBorder="1" applyAlignment="1" applyProtection="1">
      <alignment horizontal="center" vertical="center"/>
    </xf>
    <xf numFmtId="182" fontId="79" fillId="5" borderId="12" xfId="0" applyNumberFormat="1" applyFont="1" applyFill="1" applyBorder="1" applyAlignment="1" applyProtection="1">
      <alignment horizontal="center" vertical="center"/>
    </xf>
    <xf numFmtId="182" fontId="79" fillId="5" borderId="16" xfId="0" applyNumberFormat="1" applyFont="1" applyFill="1" applyBorder="1" applyAlignment="1" applyProtection="1">
      <alignment horizontal="center" vertical="center" wrapText="1"/>
    </xf>
    <xf numFmtId="0" fontId="79" fillId="2"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49" fontId="79" fillId="5" borderId="22" xfId="0" applyNumberFormat="1" applyFont="1" applyFill="1" applyBorder="1" applyAlignment="1" applyProtection="1">
      <alignment vertical="center"/>
    </xf>
    <xf numFmtId="0" fontId="79" fillId="5" borderId="10" xfId="0" applyFont="1" applyFill="1" applyBorder="1" applyAlignment="1" applyProtection="1">
      <alignment horizontal="left" vertical="center" wrapText="1"/>
    </xf>
    <xf numFmtId="49" fontId="79" fillId="5" borderId="50" xfId="0" applyNumberFormat="1" applyFont="1" applyFill="1" applyBorder="1" applyAlignment="1" applyProtection="1">
      <alignment vertical="center"/>
    </xf>
    <xf numFmtId="0" fontId="79" fillId="5" borderId="21" xfId="0" applyFont="1" applyFill="1" applyBorder="1" applyAlignment="1" applyProtection="1">
      <alignment horizontal="left" vertical="center" wrapText="1"/>
    </xf>
    <xf numFmtId="10" fontId="88" fillId="5" borderId="12" xfId="0" applyNumberFormat="1" applyFont="1" applyFill="1" applyBorder="1" applyAlignment="1" applyProtection="1">
      <alignment horizontal="center" vertical="center"/>
    </xf>
    <xf numFmtId="183" fontId="88" fillId="5" borderId="12" xfId="0" applyNumberFormat="1" applyFont="1" applyFill="1" applyBorder="1" applyAlignment="1" applyProtection="1">
      <alignment horizontal="center" vertical="center"/>
    </xf>
    <xf numFmtId="10" fontId="79" fillId="5" borderId="12" xfId="0" applyNumberFormat="1" applyFont="1" applyFill="1" applyBorder="1" applyAlignment="1" applyProtection="1">
      <alignment horizontal="center" vertical="center"/>
    </xf>
    <xf numFmtId="0" fontId="79" fillId="5" borderId="16"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wrapText="1"/>
    </xf>
    <xf numFmtId="180" fontId="88" fillId="5" borderId="12" xfId="0" applyNumberFormat="1" applyFont="1" applyFill="1" applyBorder="1" applyAlignment="1" applyProtection="1">
      <alignment horizontal="center" vertical="center"/>
    </xf>
    <xf numFmtId="49" fontId="88" fillId="5" borderId="43" xfId="0" applyNumberFormat="1" applyFont="1" applyFill="1" applyBorder="1" applyAlignment="1" applyProtection="1">
      <alignment horizontal="left" vertical="center"/>
    </xf>
    <xf numFmtId="0" fontId="88" fillId="5" borderId="44" xfId="0" applyFont="1" applyFill="1" applyBorder="1" applyAlignment="1" applyProtection="1">
      <alignment horizontal="left" vertical="center"/>
    </xf>
    <xf numFmtId="0" fontId="88" fillId="5" borderId="44" xfId="0" applyFont="1" applyFill="1" applyBorder="1" applyAlignment="1" applyProtection="1">
      <alignment horizontal="center" vertical="center"/>
    </xf>
    <xf numFmtId="0" fontId="79" fillId="5" borderId="44" xfId="0" applyFont="1" applyFill="1" applyBorder="1" applyAlignment="1" applyProtection="1">
      <alignment vertical="center"/>
    </xf>
    <xf numFmtId="0" fontId="79" fillId="5" borderId="44" xfId="0" applyFont="1" applyFill="1" applyBorder="1" applyAlignment="1" applyProtection="1">
      <alignment horizontal="left" vertical="center"/>
    </xf>
    <xf numFmtId="180" fontId="88" fillId="5" borderId="46" xfId="0" applyNumberFormat="1" applyFont="1" applyFill="1" applyBorder="1" applyAlignment="1" applyProtection="1">
      <alignment horizontal="center" vertical="center"/>
    </xf>
    <xf numFmtId="0" fontId="88" fillId="5" borderId="9" xfId="0" applyFont="1" applyFill="1" applyBorder="1" applyAlignment="1" applyProtection="1">
      <alignment horizontal="center" vertical="center"/>
    </xf>
    <xf numFmtId="182" fontId="88" fillId="5" borderId="51" xfId="0" applyNumberFormat="1" applyFont="1" applyFill="1" applyBorder="1" applyAlignment="1" applyProtection="1">
      <alignment horizontal="center" vertical="center"/>
    </xf>
    <xf numFmtId="49" fontId="79" fillId="5" borderId="23" xfId="0" applyNumberFormat="1" applyFont="1" applyFill="1" applyBorder="1" applyAlignment="1" applyProtection="1">
      <alignment horizontal="left" vertical="center"/>
    </xf>
    <xf numFmtId="49" fontId="104" fillId="5" borderId="19" xfId="0" applyNumberFormat="1" applyFont="1" applyFill="1" applyBorder="1" applyAlignment="1" applyProtection="1"/>
    <xf numFmtId="0" fontId="100" fillId="5" borderId="44" xfId="2" applyFont="1" applyFill="1" applyBorder="1" applyAlignment="1" applyProtection="1">
      <alignment vertical="center"/>
    </xf>
    <xf numFmtId="0" fontId="73" fillId="5" borderId="44" xfId="0" applyFont="1" applyFill="1" applyBorder="1" applyAlignment="1" applyProtection="1">
      <alignment horizontal="center" vertical="center"/>
    </xf>
    <xf numFmtId="0" fontId="74" fillId="5" borderId="2" xfId="0" applyFont="1" applyFill="1" applyBorder="1" applyAlignment="1" applyProtection="1"/>
    <xf numFmtId="0" fontId="74" fillId="5" borderId="2" xfId="0" applyFont="1" applyFill="1" applyBorder="1" applyAlignment="1" applyProtection="1">
      <alignment horizontal="center"/>
    </xf>
    <xf numFmtId="0" fontId="89" fillId="5" borderId="2" xfId="0" applyFont="1" applyFill="1" applyBorder="1" applyAlignment="1" applyProtection="1">
      <alignment horizontal="left"/>
    </xf>
    <xf numFmtId="185" fontId="89" fillId="5" borderId="2" xfId="0" applyNumberFormat="1" applyFont="1" applyFill="1" applyBorder="1" applyAlignment="1" applyProtection="1">
      <alignment horizontal="center"/>
    </xf>
    <xf numFmtId="0" fontId="89" fillId="5" borderId="2" xfId="0" applyFont="1" applyFill="1" applyBorder="1" applyAlignment="1" applyProtection="1">
      <alignment vertical="center" wrapText="1"/>
    </xf>
    <xf numFmtId="182" fontId="88" fillId="5" borderId="2" xfId="0" applyNumberFormat="1" applyFont="1" applyFill="1" applyBorder="1" applyAlignment="1" applyProtection="1">
      <alignment horizontal="center" vertical="center"/>
    </xf>
    <xf numFmtId="0" fontId="160" fillId="5" borderId="2" xfId="0" applyFont="1" applyFill="1" applyBorder="1" applyAlignment="1" applyProtection="1">
      <alignment horizontal="left"/>
    </xf>
    <xf numFmtId="0" fontId="160" fillId="5" borderId="2" xfId="0" applyFont="1" applyFill="1" applyBorder="1" applyAlignment="1" applyProtection="1">
      <alignment horizontal="center"/>
    </xf>
    <xf numFmtId="0" fontId="120" fillId="5" borderId="2" xfId="0" applyFont="1" applyFill="1" applyBorder="1" applyAlignment="1" applyProtection="1">
      <alignment horizontal="left"/>
    </xf>
    <xf numFmtId="0" fontId="120" fillId="5" borderId="2" xfId="0" applyFont="1" applyFill="1" applyBorder="1" applyAlignment="1" applyProtection="1">
      <alignment horizontal="center"/>
    </xf>
    <xf numFmtId="182" fontId="89" fillId="5" borderId="2" xfId="0" applyNumberFormat="1" applyFont="1" applyFill="1" applyBorder="1" applyAlignment="1" applyProtection="1">
      <alignment horizontal="center"/>
    </xf>
    <xf numFmtId="0" fontId="109" fillId="5" borderId="2" xfId="0" applyFont="1" applyFill="1" applyBorder="1" applyAlignment="1" applyProtection="1">
      <alignment horizontal="center" vertical="center"/>
    </xf>
    <xf numFmtId="0" fontId="79" fillId="5" borderId="2" xfId="0" applyFont="1" applyFill="1" applyBorder="1" applyAlignment="1" applyProtection="1"/>
    <xf numFmtId="182" fontId="79" fillId="5" borderId="2" xfId="0" applyNumberFormat="1" applyFont="1" applyFill="1" applyBorder="1" applyAlignment="1" applyProtection="1">
      <alignment horizontal="center"/>
    </xf>
    <xf numFmtId="0" fontId="104" fillId="2" borderId="14" xfId="0" applyFont="1" applyFill="1" applyBorder="1" applyAlignment="1" applyProtection="1">
      <alignment vertical="center"/>
      <protection locked="0"/>
    </xf>
    <xf numFmtId="0" fontId="100" fillId="5" borderId="2" xfId="0" applyFont="1" applyFill="1" applyBorder="1" applyAlignment="1" applyProtection="1">
      <alignment horizontal="right" vertical="center"/>
    </xf>
    <xf numFmtId="0" fontId="100" fillId="5" borderId="10" xfId="0" applyFont="1" applyFill="1" applyBorder="1" applyAlignment="1" applyProtection="1">
      <alignment horizontal="right" vertical="center"/>
    </xf>
    <xf numFmtId="0" fontId="100" fillId="5" borderId="10" xfId="0" applyFont="1" applyFill="1" applyBorder="1" applyAlignment="1" applyProtection="1">
      <alignment horizontal="center" vertical="center"/>
    </xf>
    <xf numFmtId="188" fontId="74" fillId="5" borderId="57" xfId="0" applyNumberFormat="1" applyFont="1" applyFill="1" applyBorder="1" applyAlignment="1" applyProtection="1">
      <alignment horizontal="center" vertical="center" wrapText="1"/>
    </xf>
    <xf numFmtId="188" fontId="74" fillId="5" borderId="16" xfId="0" applyNumberFormat="1" applyFont="1" applyFill="1" applyBorder="1" applyAlignment="1" applyProtection="1">
      <alignment horizontal="center" vertical="center" wrapText="1"/>
    </xf>
    <xf numFmtId="0" fontId="74" fillId="5" borderId="16" xfId="0" applyNumberFormat="1" applyFont="1" applyFill="1" applyBorder="1" applyAlignment="1" applyProtection="1">
      <alignment horizontal="center" vertical="center" wrapText="1"/>
    </xf>
    <xf numFmtId="49" fontId="74" fillId="2" borderId="62" xfId="0" applyNumberFormat="1" applyFont="1" applyFill="1" applyBorder="1" applyAlignment="1" applyProtection="1">
      <alignment horizontal="center" vertical="center" wrapText="1"/>
      <protection locked="0"/>
    </xf>
    <xf numFmtId="0" fontId="74" fillId="0" borderId="59" xfId="0" applyNumberFormat="1" applyFont="1" applyFill="1" applyBorder="1" applyAlignment="1" applyProtection="1">
      <alignment horizontal="center" vertical="center" wrapText="1"/>
      <protection locked="0"/>
    </xf>
    <xf numFmtId="49" fontId="74" fillId="2" borderId="42" xfId="0" applyNumberFormat="1" applyFont="1" applyFill="1" applyBorder="1" applyAlignment="1" applyProtection="1">
      <alignment horizontal="center" vertical="center" wrapText="1"/>
      <protection locked="0"/>
    </xf>
    <xf numFmtId="0" fontId="74" fillId="5" borderId="29" xfId="0" applyNumberFormat="1" applyFont="1" applyFill="1" applyBorder="1" applyAlignment="1" applyProtection="1">
      <alignment horizontal="center" vertical="center" wrapText="1"/>
    </xf>
    <xf numFmtId="49" fontId="74" fillId="2" borderId="1" xfId="0" applyNumberFormat="1" applyFont="1" applyFill="1" applyBorder="1" applyAlignment="1" applyProtection="1">
      <alignment horizontal="center" vertical="center" wrapText="1"/>
      <protection locked="0"/>
    </xf>
    <xf numFmtId="49" fontId="74" fillId="2" borderId="11" xfId="0" applyNumberFormat="1" applyFont="1" applyFill="1" applyBorder="1" applyAlignment="1" applyProtection="1">
      <alignment horizontal="center" vertical="center" wrapText="1"/>
      <protection locked="0"/>
    </xf>
    <xf numFmtId="49" fontId="74" fillId="2" borderId="9" xfId="0" applyNumberFormat="1" applyFont="1" applyFill="1" applyBorder="1" applyAlignment="1" applyProtection="1">
      <alignment horizontal="center" vertical="center" wrapText="1"/>
      <protection locked="0"/>
    </xf>
    <xf numFmtId="0" fontId="74" fillId="5" borderId="5" xfId="0" applyNumberFormat="1" applyFont="1" applyFill="1" applyBorder="1" applyAlignment="1" applyProtection="1">
      <alignment horizontal="center" vertical="center" wrapText="1"/>
    </xf>
    <xf numFmtId="0" fontId="109" fillId="0" borderId="16" xfId="0" applyNumberFormat="1" applyFont="1" applyFill="1" applyBorder="1" applyAlignment="1" applyProtection="1">
      <alignment horizontal="center" vertical="center" wrapText="1"/>
      <protection locked="0"/>
    </xf>
    <xf numFmtId="0" fontId="109" fillId="5" borderId="16" xfId="0" applyNumberFormat="1" applyFont="1" applyFill="1" applyBorder="1" applyAlignment="1" applyProtection="1">
      <alignment horizontal="center" vertical="center" wrapText="1"/>
    </xf>
    <xf numFmtId="0" fontId="87" fillId="5" borderId="45" xfId="0" applyNumberFormat="1" applyFont="1" applyFill="1" applyBorder="1" applyAlignment="1" applyProtection="1">
      <alignment horizontal="center" vertical="center" wrapText="1"/>
    </xf>
    <xf numFmtId="49" fontId="87" fillId="5" borderId="53" xfId="0" applyNumberFormat="1" applyFont="1" applyFill="1" applyBorder="1" applyAlignment="1" applyProtection="1">
      <alignment horizontal="center" vertical="center" wrapText="1"/>
    </xf>
    <xf numFmtId="0" fontId="109" fillId="0" borderId="76" xfId="0" applyNumberFormat="1" applyFont="1" applyFill="1" applyBorder="1" applyAlignment="1" applyProtection="1">
      <alignment horizontal="center" vertical="center" wrapText="1"/>
      <protection locked="0"/>
    </xf>
    <xf numFmtId="0" fontId="87" fillId="5" borderId="0" xfId="0" applyFont="1" applyFill="1" applyBorder="1" applyAlignment="1" applyProtection="1">
      <alignment horizontal="center" vertical="center"/>
    </xf>
    <xf numFmtId="0" fontId="109" fillId="5" borderId="77" xfId="0" applyNumberFormat="1" applyFont="1" applyFill="1" applyBorder="1" applyAlignment="1" applyProtection="1">
      <alignment horizontal="center" vertical="center" wrapText="1"/>
    </xf>
    <xf numFmtId="0" fontId="74" fillId="5" borderId="4" xfId="0" applyFont="1" applyFill="1" applyBorder="1" applyAlignment="1" applyProtection="1">
      <alignment horizontal="center" vertical="center" wrapText="1"/>
    </xf>
    <xf numFmtId="0" fontId="87" fillId="5" borderId="22" xfId="0" applyNumberFormat="1" applyFont="1" applyFill="1" applyBorder="1" applyAlignment="1" applyProtection="1">
      <alignment horizontal="center" vertical="center" wrapText="1"/>
    </xf>
    <xf numFmtId="0" fontId="87" fillId="2" borderId="24" xfId="0" applyNumberFormat="1" applyFont="1" applyFill="1" applyBorder="1" applyAlignment="1" applyProtection="1">
      <alignment horizontal="center" vertical="center" wrapText="1"/>
      <protection locked="0"/>
    </xf>
    <xf numFmtId="49" fontId="87" fillId="2" borderId="9" xfId="0" applyNumberFormat="1" applyFont="1" applyFill="1" applyBorder="1" applyAlignment="1" applyProtection="1">
      <alignment horizontal="center" vertical="center" wrapText="1"/>
      <protection locked="0"/>
    </xf>
    <xf numFmtId="0" fontId="74" fillId="5" borderId="51" xfId="0" applyNumberFormat="1" applyFont="1" applyFill="1" applyBorder="1" applyAlignment="1" applyProtection="1">
      <alignment horizontal="center" vertical="center" wrapText="1"/>
    </xf>
    <xf numFmtId="0" fontId="74" fillId="5" borderId="17" xfId="0" applyNumberFormat="1" applyFont="1" applyFill="1" applyBorder="1" applyAlignment="1" applyProtection="1">
      <alignment horizontal="center" vertical="center" wrapText="1"/>
    </xf>
    <xf numFmtId="0" fontId="74" fillId="0" borderId="5" xfId="0" applyFont="1" applyFill="1" applyBorder="1" applyAlignment="1" applyProtection="1">
      <alignment horizontal="center" vertical="center" wrapText="1"/>
      <protection locked="0"/>
    </xf>
    <xf numFmtId="0" fontId="87" fillId="2" borderId="1" xfId="0" applyFont="1" applyFill="1" applyBorder="1" applyAlignment="1" applyProtection="1">
      <alignment horizontal="center" vertical="center" wrapText="1"/>
      <protection locked="0"/>
    </xf>
    <xf numFmtId="0" fontId="87" fillId="2" borderId="42" xfId="0" applyFont="1" applyFill="1" applyBorder="1" applyAlignment="1" applyProtection="1">
      <alignment horizontal="center" vertical="center" wrapText="1"/>
      <protection locked="0"/>
    </xf>
    <xf numFmtId="0" fontId="74" fillId="0" borderId="64" xfId="0" applyNumberFormat="1" applyFont="1" applyFill="1" applyBorder="1" applyAlignment="1" applyProtection="1">
      <alignment horizontal="center" vertical="center" wrapText="1"/>
      <protection locked="0"/>
    </xf>
    <xf numFmtId="0" fontId="87" fillId="2" borderId="11" xfId="0" applyFont="1" applyFill="1" applyBorder="1" applyAlignment="1" applyProtection="1">
      <alignment horizontal="center" vertical="center" wrapText="1"/>
      <protection locked="0"/>
    </xf>
    <xf numFmtId="0" fontId="87" fillId="2" borderId="9" xfId="0" applyFont="1" applyFill="1" applyBorder="1" applyAlignment="1" applyProtection="1">
      <alignment horizontal="center" vertical="center" wrapText="1"/>
      <protection locked="0"/>
    </xf>
    <xf numFmtId="9" fontId="74" fillId="0" borderId="64" xfId="0" applyNumberFormat="1" applyFont="1" applyFill="1" applyBorder="1" applyAlignment="1" applyProtection="1">
      <alignment horizontal="center" vertical="center" wrapText="1"/>
      <protection locked="0"/>
    </xf>
    <xf numFmtId="9" fontId="74" fillId="0" borderId="9" xfId="0" applyNumberFormat="1" applyFont="1" applyFill="1" applyBorder="1" applyAlignment="1" applyProtection="1">
      <alignment horizontal="center" vertical="center" wrapText="1"/>
      <protection locked="0"/>
    </xf>
    <xf numFmtId="9" fontId="74" fillId="0" borderId="11" xfId="0" applyNumberFormat="1" applyFont="1" applyFill="1" applyBorder="1" applyAlignment="1" applyProtection="1">
      <alignment horizontal="center" vertical="center" wrapText="1"/>
      <protection locked="0"/>
    </xf>
    <xf numFmtId="0" fontId="86" fillId="5" borderId="23" xfId="0" applyFont="1" applyFill="1" applyBorder="1" applyAlignment="1" applyProtection="1">
      <alignment vertical="center" textRotation="255" wrapText="1"/>
    </xf>
    <xf numFmtId="49" fontId="86" fillId="5" borderId="30" xfId="0" applyNumberFormat="1" applyFont="1" applyFill="1" applyBorder="1" applyAlignment="1" applyProtection="1">
      <alignment vertical="center"/>
    </xf>
    <xf numFmtId="49" fontId="86" fillId="5" borderId="56" xfId="0" applyNumberFormat="1" applyFont="1" applyFill="1" applyBorder="1" applyAlignment="1" applyProtection="1">
      <alignment vertical="center"/>
    </xf>
    <xf numFmtId="0" fontId="74" fillId="0" borderId="32" xfId="0" applyNumberFormat="1" applyFont="1" applyFill="1" applyBorder="1" applyAlignment="1" applyProtection="1">
      <alignment horizontal="center" vertical="center" wrapText="1"/>
      <protection locked="0"/>
    </xf>
    <xf numFmtId="0" fontId="74" fillId="0" borderId="74" xfId="0" applyNumberFormat="1" applyFont="1" applyFill="1" applyBorder="1" applyAlignment="1" applyProtection="1">
      <alignment horizontal="left" vertical="center" wrapText="1"/>
      <protection locked="0"/>
    </xf>
    <xf numFmtId="0" fontId="74" fillId="0" borderId="7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protection locked="0"/>
    </xf>
    <xf numFmtId="0" fontId="86" fillId="5" borderId="23" xfId="0" applyNumberFormat="1" applyFont="1" applyFill="1" applyBorder="1" applyAlignment="1" applyProtection="1">
      <alignment vertical="center" wrapText="1"/>
    </xf>
    <xf numFmtId="0" fontId="74" fillId="5"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wrapText="1"/>
    </xf>
    <xf numFmtId="0" fontId="83" fillId="5" borderId="12" xfId="0" applyNumberFormat="1" applyFont="1" applyFill="1" applyBorder="1" applyAlignment="1" applyProtection="1">
      <alignment horizontal="center" vertical="center" wrapText="1"/>
    </xf>
    <xf numFmtId="0" fontId="109" fillId="0" borderId="22" xfId="0" applyNumberFormat="1" applyFont="1" applyFill="1" applyBorder="1" applyAlignment="1" applyProtection="1">
      <alignment horizontal="center" vertical="center" wrapText="1"/>
      <protection locked="0"/>
    </xf>
    <xf numFmtId="0" fontId="109" fillId="5" borderId="50"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108" fillId="0" borderId="3" xfId="0" applyNumberFormat="1" applyFont="1" applyFill="1" applyBorder="1" applyAlignment="1" applyProtection="1">
      <alignment horizontal="center" vertical="center" wrapText="1"/>
      <protection locked="0"/>
    </xf>
    <xf numFmtId="0" fontId="108" fillId="0" borderId="3" xfId="0" applyNumberFormat="1" applyFont="1" applyFill="1" applyBorder="1" applyAlignment="1" applyProtection="1">
      <alignment horizontal="left" vertical="center" wrapText="1"/>
      <protection locked="0"/>
    </xf>
    <xf numFmtId="0" fontId="108" fillId="0" borderId="52" xfId="0" applyNumberFormat="1" applyFont="1" applyFill="1" applyBorder="1" applyAlignment="1" applyProtection="1">
      <alignment horizontal="center" vertical="center" wrapText="1"/>
      <protection locked="0"/>
    </xf>
    <xf numFmtId="0" fontId="74" fillId="0" borderId="20" xfId="0" applyNumberFormat="1" applyFont="1" applyFill="1" applyBorder="1" applyAlignment="1" applyProtection="1">
      <alignment horizontal="center" vertical="center" wrapText="1"/>
      <protection locked="0"/>
    </xf>
    <xf numFmtId="0" fontId="74" fillId="0" borderId="23" xfId="0" applyNumberFormat="1" applyFont="1" applyFill="1" applyBorder="1" applyAlignment="1" applyProtection="1">
      <alignment horizontal="center" vertical="center" wrapText="1"/>
      <protection locked="0"/>
    </xf>
    <xf numFmtId="0" fontId="87" fillId="0" borderId="8" xfId="0" applyNumberFormat="1" applyFont="1" applyFill="1" applyBorder="1" applyAlignment="1" applyProtection="1">
      <alignment horizontal="center" vertical="center" wrapText="1"/>
      <protection locked="0"/>
    </xf>
    <xf numFmtId="0" fontId="74" fillId="0" borderId="46" xfId="0" applyFont="1" applyFill="1" applyBorder="1" applyAlignment="1" applyProtection="1">
      <alignment horizontal="center" vertical="center" wrapText="1"/>
      <protection locked="0"/>
    </xf>
    <xf numFmtId="0" fontId="87" fillId="0" borderId="56" xfId="0" applyNumberFormat="1" applyFont="1" applyFill="1" applyBorder="1" applyAlignment="1" applyProtection="1">
      <alignment horizontal="center" vertical="center" wrapText="1"/>
      <protection locked="0"/>
    </xf>
    <xf numFmtId="0" fontId="87" fillId="2" borderId="1" xfId="0" applyNumberFormat="1" applyFont="1" applyFill="1" applyBorder="1" applyAlignment="1" applyProtection="1">
      <alignment horizontal="center" vertical="center" wrapText="1"/>
      <protection locked="0"/>
    </xf>
    <xf numFmtId="0" fontId="87" fillId="5" borderId="73" xfId="0" applyNumberFormat="1" applyFont="1" applyFill="1" applyBorder="1" applyAlignment="1" applyProtection="1">
      <alignment horizontal="center" vertical="center" wrapText="1"/>
    </xf>
    <xf numFmtId="0" fontId="74" fillId="0" borderId="8" xfId="0" applyNumberFormat="1" applyFont="1" applyFill="1" applyBorder="1" applyAlignment="1" applyProtection="1">
      <alignment horizontal="center" vertical="center" wrapText="1"/>
      <protection locked="0"/>
    </xf>
    <xf numFmtId="0" fontId="87" fillId="5" borderId="53" xfId="0" applyNumberFormat="1"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104" fillId="2" borderId="14" xfId="0" applyFont="1" applyFill="1" applyBorder="1" applyAlignment="1" applyProtection="1">
      <alignment horizontal="right" vertical="center"/>
      <protection locked="0"/>
    </xf>
    <xf numFmtId="0" fontId="87" fillId="5" borderId="52" xfId="0" applyFont="1" applyFill="1" applyBorder="1" applyAlignment="1" applyProtection="1">
      <alignment horizontal="center" vertical="center"/>
    </xf>
    <xf numFmtId="0" fontId="74" fillId="0" borderId="25" xfId="0" applyFont="1" applyFill="1" applyBorder="1" applyAlignment="1" applyProtection="1">
      <alignment horizontal="center" vertical="center" wrapText="1"/>
      <protection locked="0"/>
    </xf>
    <xf numFmtId="0" fontId="74" fillId="5" borderId="69" xfId="0" applyNumberFormat="1" applyFont="1" applyFill="1" applyBorder="1" applyAlignment="1" applyProtection="1">
      <alignment horizontal="center" vertical="center" wrapText="1"/>
    </xf>
    <xf numFmtId="0" fontId="74" fillId="5" borderId="68" xfId="0" applyNumberFormat="1" applyFont="1" applyFill="1" applyBorder="1" applyAlignment="1" applyProtection="1">
      <alignment horizontal="center" vertical="center" wrapText="1"/>
    </xf>
    <xf numFmtId="0" fontId="87" fillId="5" borderId="50" xfId="0" applyNumberFormat="1" applyFont="1" applyFill="1" applyBorder="1" applyAlignment="1" applyProtection="1">
      <alignment horizontal="center" vertical="center" wrapText="1"/>
    </xf>
    <xf numFmtId="0" fontId="103" fillId="5" borderId="31" xfId="0" applyFont="1" applyFill="1" applyBorder="1" applyAlignment="1" applyProtection="1">
      <alignment vertical="center" textRotation="255" wrapText="1"/>
    </xf>
    <xf numFmtId="49" fontId="74" fillId="0" borderId="64"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vertical="center" textRotation="255" wrapText="1"/>
    </xf>
    <xf numFmtId="0" fontId="74" fillId="2" borderId="64" xfId="0" applyNumberFormat="1" applyFont="1" applyFill="1" applyBorder="1" applyAlignment="1" applyProtection="1">
      <alignment horizontal="center" vertical="center" wrapText="1"/>
      <protection locked="0"/>
    </xf>
    <xf numFmtId="0" fontId="78" fillId="5" borderId="31" xfId="0" applyFont="1" applyFill="1" applyBorder="1" applyAlignment="1" applyProtection="1">
      <alignment vertical="center" textRotation="255" wrapText="1"/>
    </xf>
    <xf numFmtId="0" fontId="86" fillId="5" borderId="54" xfId="0" applyFont="1" applyFill="1" applyBorder="1" applyAlignment="1" applyProtection="1">
      <alignment vertical="center" textRotation="255" wrapText="1"/>
    </xf>
    <xf numFmtId="0" fontId="87" fillId="5" borderId="3" xfId="0" applyNumberFormat="1" applyFont="1" applyFill="1" applyBorder="1" applyAlignment="1" applyProtection="1">
      <alignment horizontal="center" vertical="center" wrapText="1"/>
    </xf>
    <xf numFmtId="49" fontId="87" fillId="0" borderId="6" xfId="0" applyNumberFormat="1" applyFont="1" applyFill="1" applyBorder="1" applyAlignment="1" applyProtection="1">
      <alignment horizontal="center" vertical="center" wrapText="1"/>
      <protection locked="0"/>
    </xf>
    <xf numFmtId="49" fontId="108" fillId="0" borderId="6" xfId="0" applyNumberFormat="1" applyFont="1" applyFill="1" applyBorder="1" applyAlignment="1" applyProtection="1">
      <alignment horizontal="center" vertical="center" wrapText="1"/>
      <protection locked="0"/>
    </xf>
    <xf numFmtId="49" fontId="108" fillId="0" borderId="6" xfId="0" applyNumberFormat="1" applyFont="1" applyFill="1" applyBorder="1" applyAlignment="1" applyProtection="1">
      <alignment horizontal="left" vertical="center" wrapText="1"/>
      <protection locked="0"/>
    </xf>
    <xf numFmtId="49" fontId="108" fillId="0" borderId="7"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center" vertical="center" wrapText="1"/>
      <protection locked="0"/>
    </xf>
    <xf numFmtId="0" fontId="74" fillId="5" borderId="52" xfId="0" applyNumberFormat="1" applyFont="1" applyFill="1" applyBorder="1" applyAlignment="1" applyProtection="1">
      <alignment horizontal="center" vertical="center" wrapText="1"/>
    </xf>
    <xf numFmtId="0" fontId="74" fillId="5" borderId="13" xfId="0" applyNumberFormat="1" applyFont="1" applyFill="1" applyBorder="1" applyAlignment="1" applyProtection="1">
      <alignment horizontal="center" vertical="center" wrapText="1"/>
    </xf>
    <xf numFmtId="0" fontId="87" fillId="5" borderId="29" xfId="0" applyNumberFormat="1" applyFont="1" applyFill="1" applyBorder="1" applyAlignment="1" applyProtection="1">
      <alignment horizontal="center" vertical="center" wrapText="1"/>
    </xf>
    <xf numFmtId="0" fontId="74" fillId="0" borderId="60" xfId="0" applyNumberFormat="1" applyFont="1" applyFill="1" applyBorder="1" applyAlignment="1" applyProtection="1">
      <alignment horizontal="center" vertical="center" wrapText="1"/>
      <protection locked="0"/>
    </xf>
    <xf numFmtId="0" fontId="108" fillId="5" borderId="3" xfId="0" applyNumberFormat="1" applyFont="1" applyFill="1" applyBorder="1" applyAlignment="1" applyProtection="1">
      <alignment horizontal="center" vertical="center" wrapText="1"/>
    </xf>
    <xf numFmtId="0" fontId="108" fillId="5" borderId="3" xfId="0" applyNumberFormat="1" applyFont="1" applyFill="1" applyBorder="1" applyAlignment="1" applyProtection="1">
      <alignment horizontal="left" vertical="center" wrapText="1"/>
    </xf>
    <xf numFmtId="0" fontId="108" fillId="5" borderId="52" xfId="0" applyNumberFormat="1" applyFont="1" applyFill="1" applyBorder="1" applyAlignment="1" applyProtection="1">
      <alignment horizontal="center" vertical="center" wrapText="1"/>
    </xf>
    <xf numFmtId="0" fontId="79" fillId="5" borderId="0" xfId="0" applyFont="1" applyFill="1" applyAlignment="1" applyProtection="1">
      <alignment horizontal="center" vertical="center"/>
    </xf>
    <xf numFmtId="0" fontId="79" fillId="5" borderId="26" xfId="0" applyNumberFormat="1" applyFont="1" applyFill="1" applyBorder="1" applyAlignment="1" applyProtection="1">
      <alignment horizontal="center" vertical="center" wrapText="1"/>
    </xf>
    <xf numFmtId="0" fontId="79" fillId="5" borderId="1" xfId="0" applyNumberFormat="1" applyFont="1" applyFill="1" applyBorder="1" applyAlignment="1" applyProtection="1">
      <alignment horizontal="center" vertical="center" wrapText="1"/>
    </xf>
    <xf numFmtId="0" fontId="79" fillId="5" borderId="6" xfId="0" applyNumberFormat="1" applyFont="1" applyFill="1" applyBorder="1" applyAlignment="1" applyProtection="1">
      <alignment horizontal="center" vertical="center" wrapText="1"/>
    </xf>
    <xf numFmtId="0" fontId="79" fillId="5" borderId="39" xfId="0" applyNumberFormat="1" applyFont="1" applyFill="1" applyBorder="1" applyAlignment="1" applyProtection="1">
      <alignment horizontal="center" vertical="center" wrapText="1"/>
    </xf>
    <xf numFmtId="0" fontId="79" fillId="5" borderId="31" xfId="0" applyNumberFormat="1" applyFont="1" applyFill="1" applyBorder="1" applyAlignment="1" applyProtection="1">
      <alignment horizontal="center" vertical="center"/>
    </xf>
    <xf numFmtId="0" fontId="79" fillId="0" borderId="1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15" xfId="0" applyNumberFormat="1" applyFont="1" applyFill="1" applyBorder="1" applyAlignment="1" applyProtection="1">
      <alignment horizontal="center" vertical="center" wrapText="1"/>
    </xf>
    <xf numFmtId="0" fontId="79" fillId="0" borderId="65" xfId="0" applyNumberFormat="1" applyFont="1" applyFill="1" applyBorder="1" applyAlignment="1" applyProtection="1">
      <alignment horizontal="center" vertical="center" wrapText="1"/>
      <protection locked="0"/>
    </xf>
    <xf numFmtId="0" fontId="73" fillId="5" borderId="2" xfId="0" applyFont="1" applyFill="1" applyBorder="1" applyProtection="1">
      <alignment vertical="center"/>
    </xf>
    <xf numFmtId="0" fontId="120" fillId="0" borderId="2" xfId="0" applyFont="1" applyFill="1" applyBorder="1" applyAlignment="1" applyProtection="1">
      <alignment horizontal="center" vertical="center"/>
      <protection locked="0"/>
    </xf>
    <xf numFmtId="0" fontId="120" fillId="5" borderId="2" xfId="0" applyFont="1" applyFill="1" applyBorder="1" applyAlignment="1" applyProtection="1">
      <alignment horizontal="center" vertical="center"/>
    </xf>
    <xf numFmtId="0" fontId="120" fillId="2" borderId="2" xfId="0" applyFont="1" applyFill="1" applyBorder="1" applyAlignment="1" applyProtection="1">
      <alignment horizontal="center" vertical="center"/>
      <protection locked="0"/>
    </xf>
    <xf numFmtId="0" fontId="120" fillId="0" borderId="2" xfId="0" applyNumberFormat="1" applyFont="1" applyBorder="1" applyAlignment="1" applyProtection="1">
      <alignment horizontal="center" vertical="center"/>
      <protection locked="0"/>
    </xf>
    <xf numFmtId="0" fontId="79" fillId="0" borderId="2" xfId="0" applyFont="1" applyBorder="1" applyProtection="1">
      <alignment vertical="center"/>
      <protection locked="0"/>
    </xf>
    <xf numFmtId="0" fontId="85" fillId="5" borderId="9" xfId="0" applyFont="1" applyFill="1" applyBorder="1" applyAlignment="1" applyProtection="1">
      <alignment horizontal="center" vertical="center" wrapText="1"/>
    </xf>
    <xf numFmtId="0" fontId="55" fillId="5" borderId="18" xfId="0" applyFont="1" applyFill="1" applyBorder="1" applyAlignment="1" applyProtection="1">
      <alignment horizontal="center" vertical="center" wrapText="1"/>
    </xf>
    <xf numFmtId="0" fontId="78" fillId="5" borderId="59" xfId="0" applyFont="1" applyFill="1" applyBorder="1" applyAlignment="1" applyProtection="1">
      <alignment horizontal="left" vertical="center"/>
    </xf>
    <xf numFmtId="0" fontId="74" fillId="5" borderId="57" xfId="0" applyFont="1" applyFill="1" applyBorder="1" applyAlignment="1" applyProtection="1">
      <alignment horizontal="left" vertical="center"/>
    </xf>
    <xf numFmtId="0" fontId="78" fillId="5" borderId="81" xfId="0" applyFont="1" applyFill="1" applyBorder="1" applyAlignment="1" applyProtection="1">
      <alignment horizontal="right" vertical="center"/>
    </xf>
    <xf numFmtId="180" fontId="78" fillId="2" borderId="12" xfId="0" applyNumberFormat="1" applyFont="1" applyFill="1" applyBorder="1" applyAlignment="1" applyProtection="1">
      <alignment horizontal="center" vertical="center"/>
      <protection locked="0"/>
    </xf>
    <xf numFmtId="0" fontId="74" fillId="5" borderId="11" xfId="0" applyFont="1" applyFill="1" applyBorder="1" applyAlignment="1" applyProtection="1">
      <alignment horizontal="center" vertical="center"/>
    </xf>
    <xf numFmtId="180" fontId="74"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vertical="center"/>
    </xf>
    <xf numFmtId="177" fontId="74" fillId="5" borderId="43" xfId="0" applyNumberFormat="1" applyFont="1" applyFill="1" applyBorder="1" applyAlignment="1" applyProtection="1">
      <alignment vertical="center"/>
    </xf>
    <xf numFmtId="177" fontId="74" fillId="5" borderId="69" xfId="0" applyNumberFormat="1" applyFont="1" applyFill="1" applyBorder="1" applyAlignment="1" applyProtection="1">
      <alignment vertical="center"/>
    </xf>
    <xf numFmtId="0" fontId="74" fillId="5" borderId="82" xfId="0" applyFont="1" applyFill="1" applyBorder="1" applyAlignment="1" applyProtection="1">
      <alignment horizontal="center" vertical="center"/>
    </xf>
    <xf numFmtId="0" fontId="89" fillId="0" borderId="51" xfId="2" applyNumberFormat="1" applyFont="1" applyFill="1" applyBorder="1" applyAlignment="1" applyProtection="1">
      <alignment horizontal="center" vertical="center"/>
      <protection locked="0"/>
    </xf>
    <xf numFmtId="0" fontId="74" fillId="5" borderId="22" xfId="0" applyFont="1" applyFill="1" applyBorder="1" applyAlignment="1" applyProtection="1">
      <alignment horizontal="left" vertical="center" wrapText="1"/>
    </xf>
    <xf numFmtId="0" fontId="79" fillId="6" borderId="37" xfId="0" applyFont="1" applyFill="1" applyBorder="1" applyProtection="1">
      <alignment vertical="center"/>
      <protection locked="0"/>
    </xf>
    <xf numFmtId="0" fontId="74" fillId="0" borderId="38" xfId="0" applyFont="1" applyFill="1" applyBorder="1" applyProtection="1">
      <alignment vertical="center"/>
      <protection locked="0"/>
    </xf>
    <xf numFmtId="0" fontId="78" fillId="0" borderId="44" xfId="0" applyFont="1" applyFill="1" applyBorder="1" applyAlignment="1" applyProtection="1">
      <alignment horizontal="center" vertical="center"/>
      <protection locked="0"/>
    </xf>
    <xf numFmtId="0" fontId="161" fillId="0" borderId="12" xfId="0" applyFont="1" applyFill="1" applyBorder="1" applyAlignment="1" applyProtection="1">
      <alignment vertical="center" wrapText="1"/>
      <protection locked="0"/>
    </xf>
    <xf numFmtId="0" fontId="161" fillId="0" borderId="46" xfId="0" applyFont="1" applyFill="1" applyBorder="1" applyAlignment="1" applyProtection="1">
      <alignment vertical="center" wrapText="1"/>
      <protection locked="0"/>
    </xf>
    <xf numFmtId="10" fontId="79" fillId="5" borderId="5" xfId="0" applyNumberFormat="1" applyFont="1" applyFill="1" applyBorder="1" applyAlignment="1" applyProtection="1">
      <alignment horizontal="left" vertical="center" wrapText="1"/>
    </xf>
    <xf numFmtId="10" fontId="79" fillId="5" borderId="8" xfId="0" applyNumberFormat="1" applyFont="1" applyFill="1" applyBorder="1" applyAlignment="1" applyProtection="1">
      <alignment horizontal="left" vertical="center" wrapText="1"/>
    </xf>
    <xf numFmtId="10" fontId="79" fillId="5" borderId="16" xfId="0" applyNumberFormat="1" applyFont="1" applyFill="1" applyBorder="1" applyAlignment="1" applyProtection="1">
      <alignment horizontal="left" vertical="center" wrapText="1"/>
    </xf>
    <xf numFmtId="0" fontId="79" fillId="5" borderId="5" xfId="0" applyFont="1" applyFill="1" applyBorder="1" applyAlignment="1" applyProtection="1">
      <alignment horizontal="center" vertical="center" wrapText="1"/>
    </xf>
    <xf numFmtId="0" fontId="79" fillId="5" borderId="8" xfId="0" applyFont="1" applyFill="1" applyBorder="1" applyAlignment="1" applyProtection="1">
      <alignment horizontal="center" vertical="center" wrapText="1"/>
    </xf>
    <xf numFmtId="0" fontId="79" fillId="5" borderId="8" xfId="0" applyFont="1" applyFill="1" applyBorder="1" applyAlignment="1" applyProtection="1">
      <alignment horizontal="left" vertical="center" wrapText="1"/>
    </xf>
    <xf numFmtId="0" fontId="79"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98" fillId="5" borderId="6" xfId="0" applyFont="1" applyFill="1" applyBorder="1" applyAlignment="1" applyProtection="1">
      <alignment horizontal="center" vertical="center" wrapText="1"/>
    </xf>
    <xf numFmtId="0" fontId="79" fillId="5" borderId="19" xfId="0" applyFont="1" applyFill="1" applyBorder="1" applyAlignment="1" applyProtection="1">
      <alignment horizontal="center" vertical="center"/>
    </xf>
    <xf numFmtId="0" fontId="79" fillId="5" borderId="9" xfId="0" applyFont="1" applyFill="1" applyBorder="1" applyAlignment="1" applyProtection="1">
      <alignment horizontal="center" vertical="center" wrapText="1"/>
    </xf>
    <xf numFmtId="0" fontId="79" fillId="5" borderId="25" xfId="0" applyFont="1" applyFill="1" applyBorder="1" applyAlignment="1" applyProtection="1">
      <alignment horizontal="center" vertical="center"/>
    </xf>
    <xf numFmtId="0" fontId="79" fillId="5" borderId="51" xfId="0" applyFont="1" applyFill="1" applyBorder="1" applyAlignment="1" applyProtection="1">
      <alignment horizontal="center" vertical="center"/>
    </xf>
    <xf numFmtId="0" fontId="79" fillId="5" borderId="16" xfId="0" applyFont="1" applyFill="1" applyBorder="1" applyAlignment="1" applyProtection="1">
      <alignment horizontal="left" vertical="center" wrapText="1"/>
    </xf>
    <xf numFmtId="0" fontId="79" fillId="5" borderId="5" xfId="0" applyFont="1" applyFill="1" applyBorder="1" applyAlignment="1" applyProtection="1">
      <alignment horizontal="center" vertical="center"/>
    </xf>
    <xf numFmtId="0" fontId="79" fillId="5" borderId="8"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79" fillId="5" borderId="0"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5" fillId="5" borderId="12" xfId="0" applyNumberFormat="1" applyFont="1" applyFill="1" applyBorder="1" applyAlignment="1" applyProtection="1">
      <alignment horizontal="center" vertical="center" wrapText="1"/>
    </xf>
    <xf numFmtId="0" fontId="163" fillId="5" borderId="0" xfId="0" applyFont="1" applyFill="1" applyAlignment="1" applyProtection="1">
      <alignment horizontal="center" vertical="center"/>
    </xf>
    <xf numFmtId="0" fontId="74" fillId="5" borderId="21" xfId="0" applyFont="1" applyFill="1" applyBorder="1" applyAlignment="1" applyProtection="1">
      <alignment horizontal="center" vertical="center" wrapText="1"/>
    </xf>
    <xf numFmtId="0" fontId="102" fillId="0" borderId="11" xfId="0" applyNumberFormat="1" applyFont="1" applyFill="1" applyBorder="1" applyAlignment="1" applyProtection="1">
      <alignment horizontal="center" vertical="center" wrapText="1"/>
      <protection locked="0"/>
    </xf>
    <xf numFmtId="180" fontId="50" fillId="0" borderId="19" xfId="5" applyNumberFormat="1" applyFont="1" applyBorder="1" applyAlignment="1" applyProtection="1">
      <alignment vertical="center"/>
    </xf>
    <xf numFmtId="0" fontId="50" fillId="0" borderId="19" xfId="5" applyNumberFormat="1" applyFont="1" applyBorder="1" applyAlignment="1" applyProtection="1">
      <alignment vertical="center"/>
    </xf>
    <xf numFmtId="0" fontId="148" fillId="0" borderId="0" xfId="5" applyNumberFormat="1" applyProtection="1">
      <alignment vertical="center"/>
    </xf>
    <xf numFmtId="180" fontId="43" fillId="5" borderId="2" xfId="5" applyNumberFormat="1" applyFont="1" applyFill="1" applyBorder="1" applyAlignment="1" applyProtection="1">
      <alignment horizontal="center" vertical="center"/>
    </xf>
    <xf numFmtId="0" fontId="43" fillId="5" borderId="2" xfId="5" applyNumberFormat="1" applyFont="1" applyFill="1" applyBorder="1" applyAlignment="1" applyProtection="1">
      <alignment horizontal="center" vertical="center"/>
    </xf>
    <xf numFmtId="0" fontId="43" fillId="5" borderId="2" xfId="5" applyNumberFormat="1" applyFont="1" applyFill="1" applyBorder="1" applyAlignment="1" applyProtection="1">
      <alignment horizontal="center" vertical="center" wrapText="1"/>
    </xf>
    <xf numFmtId="0" fontId="43" fillId="5" borderId="3" xfId="5" applyNumberFormat="1" applyFont="1" applyFill="1" applyBorder="1" applyAlignment="1" applyProtection="1">
      <alignment horizontal="center" vertical="center"/>
    </xf>
    <xf numFmtId="0" fontId="89" fillId="5" borderId="3" xfId="5" applyNumberFormat="1" applyFont="1" applyFill="1" applyBorder="1" applyAlignment="1" applyProtection="1">
      <alignment horizontal="center" vertical="center" wrapText="1"/>
    </xf>
    <xf numFmtId="0" fontId="89" fillId="5" borderId="27" xfId="5" applyNumberFormat="1" applyFont="1" applyFill="1" applyBorder="1" applyAlignment="1" applyProtection="1">
      <alignment horizontal="center" vertical="center" wrapText="1"/>
    </xf>
    <xf numFmtId="0" fontId="161" fillId="5" borderId="28" xfId="5" applyNumberFormat="1" applyFont="1" applyFill="1" applyBorder="1" applyAlignment="1" applyProtection="1">
      <alignment horizontal="center" vertical="center" wrapText="1"/>
    </xf>
    <xf numFmtId="0" fontId="129" fillId="5" borderId="2" xfId="5" applyNumberFormat="1" applyFont="1" applyFill="1" applyBorder="1" applyAlignment="1" applyProtection="1">
      <alignment horizontal="center" vertical="center" wrapText="1"/>
    </xf>
    <xf numFmtId="0" fontId="164" fillId="5" borderId="2" xfId="5" applyNumberFormat="1" applyFont="1" applyFill="1" applyBorder="1" applyAlignment="1" applyProtection="1">
      <alignment horizontal="center" vertical="center"/>
    </xf>
    <xf numFmtId="0" fontId="165" fillId="5" borderId="2" xfId="5" applyNumberFormat="1" applyFont="1" applyFill="1" applyBorder="1" applyAlignment="1" applyProtection="1">
      <alignment horizontal="center" vertical="center"/>
    </xf>
    <xf numFmtId="0" fontId="148" fillId="0" borderId="0" xfId="5" applyNumberFormat="1" applyFont="1" applyProtection="1">
      <alignment vertical="center"/>
    </xf>
    <xf numFmtId="0" fontId="89" fillId="5" borderId="26" xfId="5" applyNumberFormat="1" applyFont="1" applyFill="1" applyBorder="1" applyAlignment="1" applyProtection="1">
      <alignment vertical="center" wrapText="1"/>
    </xf>
    <xf numFmtId="0" fontId="43" fillId="5" borderId="6" xfId="5" applyNumberFormat="1" applyFont="1" applyFill="1" applyBorder="1" applyAlignment="1" applyProtection="1">
      <alignment horizontal="center" vertical="center"/>
    </xf>
    <xf numFmtId="0" fontId="43" fillId="5" borderId="21" xfId="5" applyNumberFormat="1" applyFont="1" applyFill="1" applyBorder="1" applyAlignment="1" applyProtection="1">
      <alignment horizontal="center" vertical="center"/>
    </xf>
    <xf numFmtId="0" fontId="43" fillId="5" borderId="21" xfId="5" applyNumberFormat="1" applyFont="1" applyFill="1" applyBorder="1" applyAlignment="1" applyProtection="1">
      <alignment horizontal="center" vertical="center" wrapText="1"/>
    </xf>
    <xf numFmtId="0" fontId="43" fillId="5" borderId="27" xfId="5" applyNumberFormat="1" applyFont="1" applyFill="1" applyBorder="1" applyAlignment="1" applyProtection="1">
      <alignment horizontal="center" vertical="center"/>
    </xf>
    <xf numFmtId="0" fontId="43" fillId="5" borderId="41" xfId="5" applyNumberFormat="1" applyFont="1" applyFill="1" applyBorder="1" applyAlignment="1" applyProtection="1">
      <alignment horizontal="center" vertical="center"/>
    </xf>
    <xf numFmtId="0" fontId="89" fillId="5" borderId="11"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wrapText="1"/>
    </xf>
    <xf numFmtId="0" fontId="161" fillId="5" borderId="12" xfId="5" applyNumberFormat="1" applyFont="1" applyFill="1" applyBorder="1" applyAlignment="1" applyProtection="1">
      <alignment horizontal="center" vertical="center" wrapText="1"/>
    </xf>
    <xf numFmtId="0" fontId="129" fillId="5" borderId="11" xfId="5" applyNumberFormat="1" applyFont="1" applyFill="1" applyBorder="1" applyAlignment="1" applyProtection="1">
      <alignment horizontal="center" vertical="center" wrapText="1"/>
    </xf>
    <xf numFmtId="0" fontId="89" fillId="5" borderId="43" xfId="5" applyNumberFormat="1" applyFont="1" applyFill="1" applyBorder="1" applyAlignment="1" applyProtection="1">
      <alignment horizontal="center" vertical="center" wrapText="1"/>
    </xf>
    <xf numFmtId="0" fontId="161" fillId="5" borderId="44" xfId="5" applyNumberFormat="1" applyFont="1" applyFill="1" applyBorder="1" applyAlignment="1" applyProtection="1">
      <alignment horizontal="center" vertical="center" wrapText="1"/>
    </xf>
    <xf numFmtId="0" fontId="161" fillId="5" borderId="46" xfId="5" applyNumberFormat="1" applyFont="1" applyFill="1" applyBorder="1" applyAlignment="1" applyProtection="1">
      <alignment horizontal="center" vertical="center" wrapText="1"/>
    </xf>
    <xf numFmtId="180" fontId="43" fillId="5" borderId="2" xfId="5" applyNumberFormat="1" applyFont="1" applyFill="1" applyBorder="1" applyAlignment="1" applyProtection="1">
      <alignment horizontal="center" vertical="center" wrapText="1"/>
    </xf>
    <xf numFmtId="180" fontId="148" fillId="0" borderId="0" xfId="5" applyNumberFormat="1" applyProtection="1">
      <alignment vertical="center"/>
    </xf>
    <xf numFmtId="0" fontId="100" fillId="5" borderId="10" xfId="3" applyFont="1" applyFill="1" applyBorder="1" applyAlignment="1" applyProtection="1">
      <alignment horizontal="right" vertical="center"/>
    </xf>
    <xf numFmtId="180" fontId="87" fillId="5" borderId="2" xfId="3" applyNumberFormat="1" applyFont="1" applyFill="1" applyBorder="1" applyAlignment="1" applyProtection="1">
      <alignment horizontal="center" vertical="center" wrapText="1"/>
    </xf>
    <xf numFmtId="178" fontId="87" fillId="0" borderId="2" xfId="3" applyNumberFormat="1" applyFont="1" applyFill="1" applyBorder="1" applyAlignment="1" applyProtection="1">
      <alignment horizontal="center" vertical="center" wrapText="1"/>
      <protection locked="0"/>
    </xf>
    <xf numFmtId="0" fontId="86" fillId="5" borderId="14" xfId="3" applyFont="1" applyFill="1" applyBorder="1" applyAlignment="1" applyProtection="1">
      <alignment horizontal="center" vertical="center"/>
    </xf>
    <xf numFmtId="0" fontId="98" fillId="5" borderId="49" xfId="3" applyFont="1" applyFill="1" applyBorder="1" applyAlignment="1" applyProtection="1">
      <alignment horizontal="center" vertical="center"/>
    </xf>
    <xf numFmtId="0" fontId="98" fillId="5" borderId="29" xfId="3" applyNumberFormat="1" applyFont="1" applyFill="1" applyBorder="1" applyAlignment="1" applyProtection="1">
      <alignment horizontal="center" vertical="center" wrapText="1"/>
    </xf>
    <xf numFmtId="0" fontId="89" fillId="0" borderId="6" xfId="3" applyFont="1" applyFill="1" applyBorder="1" applyAlignment="1" applyProtection="1">
      <alignment horizontal="center" vertical="center" wrapText="1"/>
      <protection locked="0"/>
    </xf>
    <xf numFmtId="0" fontId="89" fillId="5" borderId="21" xfId="3" applyFont="1" applyFill="1" applyBorder="1" applyAlignment="1" applyProtection="1">
      <alignment horizontal="center" vertical="center" wrapText="1"/>
    </xf>
    <xf numFmtId="0" fontId="89" fillId="5" borderId="17" xfId="3" applyFont="1" applyFill="1" applyBorder="1" applyAlignment="1" applyProtection="1">
      <alignment horizontal="center" vertical="center" wrapText="1"/>
    </xf>
    <xf numFmtId="9" fontId="89" fillId="5" borderId="2" xfId="3" applyNumberFormat="1" applyFont="1" applyFill="1" applyBorder="1" applyAlignment="1" applyProtection="1">
      <alignment horizontal="center" vertical="center" wrapText="1"/>
    </xf>
    <xf numFmtId="0" fontId="89" fillId="5" borderId="2" xfId="3" applyFont="1" applyFill="1" applyBorder="1" applyAlignment="1" applyProtection="1">
      <alignment horizontal="center" vertical="center" wrapText="1"/>
    </xf>
    <xf numFmtId="0" fontId="89" fillId="5" borderId="10" xfId="3" applyFont="1" applyFill="1" applyBorder="1" applyAlignment="1" applyProtection="1">
      <alignment horizontal="center" vertical="center" wrapText="1"/>
    </xf>
    <xf numFmtId="0" fontId="166" fillId="6" borderId="2" xfId="3" applyFont="1" applyFill="1" applyBorder="1" applyAlignment="1" applyProtection="1">
      <alignment horizontal="center" vertical="center" wrapText="1"/>
      <protection locked="0"/>
    </xf>
    <xf numFmtId="0" fontId="89" fillId="5" borderId="44" xfId="3" applyFont="1" applyFill="1" applyBorder="1" applyAlignment="1" applyProtection="1">
      <alignment horizontal="center" vertical="center" wrapText="1"/>
    </xf>
    <xf numFmtId="0" fontId="98" fillId="5" borderId="6" xfId="3" applyFont="1" applyFill="1" applyBorder="1" applyAlignment="1" applyProtection="1">
      <alignment horizontal="center" vertical="center" wrapText="1"/>
    </xf>
    <xf numFmtId="186" fontId="86" fillId="5" borderId="83" xfId="3" applyNumberFormat="1" applyFont="1" applyFill="1" applyBorder="1" applyAlignment="1" applyProtection="1">
      <alignment horizontal="center" vertical="center" wrapText="1"/>
    </xf>
    <xf numFmtId="14" fontId="87" fillId="5" borderId="83" xfId="3" applyNumberFormat="1" applyFont="1" applyFill="1" applyBorder="1" applyAlignment="1" applyProtection="1">
      <alignment horizontal="center" vertical="center" wrapText="1"/>
    </xf>
    <xf numFmtId="14" fontId="87" fillId="5" borderId="37"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6" fillId="5" borderId="21" xfId="3" applyFont="1" applyFill="1" applyBorder="1" applyAlignment="1" applyProtection="1">
      <alignment horizontal="center" vertical="center" wrapText="1"/>
    </xf>
    <xf numFmtId="186" fontId="86" fillId="5" borderId="10" xfId="3" applyNumberFormat="1" applyFont="1" applyFill="1" applyBorder="1" applyAlignment="1" applyProtection="1">
      <alignment horizontal="center" vertical="center" wrapText="1"/>
    </xf>
    <xf numFmtId="0" fontId="98" fillId="5" borderId="2" xfId="3" applyFont="1" applyFill="1" applyBorder="1" applyAlignment="1" applyProtection="1">
      <alignment horizontal="center" vertical="center" wrapText="1"/>
    </xf>
    <xf numFmtId="0" fontId="98" fillId="5" borderId="3" xfId="3" applyFont="1" applyFill="1" applyBorder="1" applyAlignment="1" applyProtection="1">
      <alignment horizontal="center" vertical="center" wrapText="1"/>
    </xf>
    <xf numFmtId="0" fontId="98" fillId="5" borderId="44" xfId="3" applyFont="1" applyFill="1" applyBorder="1" applyAlignment="1" applyProtection="1">
      <alignment horizontal="center" vertical="center" wrapText="1"/>
    </xf>
    <xf numFmtId="0" fontId="148" fillId="5" borderId="0" xfId="3" applyFill="1" applyProtection="1">
      <alignment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31" xfId="3" applyFill="1" applyBorder="1" applyProtection="1">
      <alignment vertical="center"/>
    </xf>
    <xf numFmtId="0" fontId="149" fillId="5" borderId="0" xfId="3" applyFont="1" applyFill="1" applyProtection="1">
      <alignment vertical="center"/>
    </xf>
    <xf numFmtId="0" fontId="148" fillId="5" borderId="53" xfId="3" applyFill="1" applyBorder="1" applyAlignment="1" applyProtection="1">
      <alignment horizontal="center" vertical="center"/>
    </xf>
    <xf numFmtId="0" fontId="148" fillId="5" borderId="27" xfId="3" applyFill="1" applyBorder="1" applyAlignment="1" applyProtection="1">
      <alignment horizontal="center" vertical="center"/>
    </xf>
    <xf numFmtId="0" fontId="148" fillId="5" borderId="41" xfId="3" applyFill="1" applyBorder="1" applyAlignment="1" applyProtection="1">
      <alignment horizontal="center" vertical="center"/>
    </xf>
    <xf numFmtId="0" fontId="168" fillId="5" borderId="11" xfId="3" applyFont="1" applyFill="1" applyBorder="1" applyAlignment="1" applyProtection="1">
      <alignment horizontal="center" vertical="center" wrapText="1"/>
    </xf>
    <xf numFmtId="0" fontId="168" fillId="5" borderId="2" xfId="3" applyFont="1" applyFill="1" applyBorder="1" applyAlignment="1" applyProtection="1">
      <alignment horizontal="center" vertical="center" wrapText="1"/>
    </xf>
    <xf numFmtId="0" fontId="149" fillId="5" borderId="28" xfId="3" applyFont="1" applyFill="1" applyBorder="1" applyProtection="1">
      <alignment vertical="center"/>
    </xf>
    <xf numFmtId="0" fontId="169" fillId="5" borderId="29" xfId="3" applyFont="1" applyFill="1" applyBorder="1" applyAlignment="1" applyProtection="1">
      <alignment horizontal="center" vertical="center"/>
    </xf>
    <xf numFmtId="0" fontId="149" fillId="5" borderId="31" xfId="3" applyFont="1" applyFill="1" applyBorder="1" applyProtection="1">
      <alignment vertical="center"/>
    </xf>
    <xf numFmtId="0" fontId="169" fillId="5" borderId="44" xfId="3" applyFont="1" applyFill="1" applyBorder="1" applyAlignment="1" applyProtection="1">
      <alignment horizontal="center" vertical="center"/>
    </xf>
    <xf numFmtId="0" fontId="169" fillId="5" borderId="45" xfId="3" applyFont="1" applyFill="1" applyBorder="1" applyAlignment="1" applyProtection="1">
      <alignment horizontal="center" vertical="center"/>
    </xf>
    <xf numFmtId="0" fontId="168" fillId="5" borderId="53" xfId="3" applyFont="1" applyFill="1" applyBorder="1" applyAlignment="1" applyProtection="1">
      <alignment vertical="center" wrapText="1"/>
    </xf>
    <xf numFmtId="0" fontId="168" fillId="5" borderId="6" xfId="3" applyFont="1" applyFill="1" applyBorder="1" applyAlignment="1" applyProtection="1">
      <alignment horizontal="center" vertical="center" wrapText="1"/>
    </xf>
    <xf numFmtId="0" fontId="168" fillId="5" borderId="29" xfId="3" applyFont="1" applyFill="1" applyBorder="1" applyAlignment="1" applyProtection="1">
      <alignment horizontal="center" vertical="center" wrapText="1"/>
    </xf>
    <xf numFmtId="0" fontId="150" fillId="5" borderId="1" xfId="3" applyFont="1" applyFill="1" applyBorder="1" applyAlignment="1" applyProtection="1">
      <alignment horizontal="center" vertical="center"/>
    </xf>
    <xf numFmtId="0" fontId="150" fillId="5" borderId="29" xfId="3" applyFont="1" applyFill="1" applyBorder="1" applyProtection="1">
      <alignment vertical="center"/>
    </xf>
    <xf numFmtId="0" fontId="168" fillId="5" borderId="17" xfId="3" applyFont="1" applyFill="1" applyBorder="1" applyAlignment="1" applyProtection="1">
      <alignment horizontal="center" vertical="center" wrapText="1"/>
    </xf>
    <xf numFmtId="0" fontId="150" fillId="5" borderId="11" xfId="3" applyFont="1" applyFill="1" applyBorder="1" applyAlignment="1" applyProtection="1">
      <alignment horizontal="center" vertical="center"/>
    </xf>
    <xf numFmtId="0" fontId="150" fillId="5" borderId="5" xfId="3" applyFont="1" applyFill="1" applyBorder="1" applyProtection="1">
      <alignment vertical="center"/>
    </xf>
    <xf numFmtId="0" fontId="168" fillId="5" borderId="21" xfId="3" applyFont="1" applyFill="1" applyBorder="1" applyAlignment="1" applyProtection="1">
      <alignment horizontal="center" vertical="center" wrapText="1"/>
    </xf>
    <xf numFmtId="0" fontId="168" fillId="5" borderId="55" xfId="3" applyFont="1" applyFill="1" applyBorder="1" applyAlignment="1" applyProtection="1">
      <alignment horizontal="center" vertical="center" wrapText="1"/>
    </xf>
    <xf numFmtId="0" fontId="168" fillId="5" borderId="44" xfId="3" applyFont="1" applyFill="1" applyBorder="1" applyAlignment="1" applyProtection="1">
      <alignment horizontal="center" vertical="center" wrapText="1"/>
    </xf>
    <xf numFmtId="0" fontId="163" fillId="5" borderId="45" xfId="3" applyFont="1" applyFill="1" applyBorder="1" applyProtection="1">
      <alignment vertical="center"/>
    </xf>
    <xf numFmtId="0" fontId="168" fillId="5" borderId="5" xfId="3" applyFont="1" applyFill="1" applyBorder="1" applyAlignment="1" applyProtection="1">
      <alignment horizontal="center" vertical="center" wrapText="1"/>
    </xf>
    <xf numFmtId="0" fontId="150" fillId="5" borderId="43" xfId="3" applyFont="1" applyFill="1" applyBorder="1" applyAlignment="1" applyProtection="1">
      <alignment horizontal="center" vertical="center"/>
    </xf>
    <xf numFmtId="0" fontId="150" fillId="5" borderId="45" xfId="3" applyFont="1" applyFill="1" applyBorder="1" applyProtection="1">
      <alignment vertical="center"/>
    </xf>
    <xf numFmtId="0" fontId="163" fillId="5" borderId="5" xfId="3" applyFont="1" applyFill="1" applyBorder="1" applyProtection="1">
      <alignment vertical="center"/>
    </xf>
    <xf numFmtId="0" fontId="170" fillId="5" borderId="0" xfId="3" applyFont="1" applyFill="1" applyBorder="1" applyProtection="1">
      <alignment vertical="center"/>
    </xf>
    <xf numFmtId="0" fontId="168" fillId="5" borderId="33" xfId="3" applyFont="1" applyFill="1" applyBorder="1" applyAlignment="1" applyProtection="1">
      <alignment vertical="center" wrapText="1"/>
    </xf>
    <xf numFmtId="0" fontId="171" fillId="5" borderId="0" xfId="3" applyFont="1" applyFill="1" applyProtection="1">
      <alignment vertical="center"/>
    </xf>
    <xf numFmtId="0" fontId="170" fillId="5" borderId="0" xfId="3" applyFont="1" applyFill="1" applyProtection="1">
      <alignment vertical="center"/>
    </xf>
    <xf numFmtId="0" fontId="168" fillId="5" borderId="45" xfId="3" applyFont="1" applyFill="1" applyBorder="1" applyAlignment="1" applyProtection="1">
      <alignment horizontal="center" vertical="center" wrapText="1"/>
    </xf>
    <xf numFmtId="0" fontId="148" fillId="5" borderId="5" xfId="3" applyFill="1" applyBorder="1" applyProtection="1">
      <alignment vertical="center"/>
    </xf>
    <xf numFmtId="0" fontId="148" fillId="5" borderId="2" xfId="3" applyFill="1" applyBorder="1" applyProtection="1">
      <alignment vertical="center"/>
    </xf>
    <xf numFmtId="0" fontId="148" fillId="5" borderId="29" xfId="3" applyFill="1" applyBorder="1" applyProtection="1">
      <alignment vertical="center"/>
    </xf>
    <xf numFmtId="0" fontId="148" fillId="5" borderId="0" xfId="3" applyFill="1" applyAlignment="1" applyProtection="1">
      <alignment horizontal="center" vertical="center"/>
    </xf>
    <xf numFmtId="0" fontId="148" fillId="5" borderId="53" xfId="3" applyFill="1" applyBorder="1" applyAlignment="1" applyProtection="1">
      <alignment horizontal="right" vertical="center"/>
    </xf>
    <xf numFmtId="0" fontId="148" fillId="5" borderId="1" xfId="3" applyFill="1" applyBorder="1" applyAlignment="1" applyProtection="1">
      <alignment horizontal="center" vertical="center"/>
    </xf>
    <xf numFmtId="179" fontId="148" fillId="5" borderId="6" xfId="3" applyNumberFormat="1" applyFill="1" applyBorder="1" applyAlignment="1" applyProtection="1">
      <alignment horizontal="center" vertical="center"/>
    </xf>
    <xf numFmtId="179" fontId="148" fillId="5" borderId="29" xfId="3" applyNumberFormat="1" applyFill="1" applyBorder="1" applyAlignment="1" applyProtection="1">
      <alignment horizontal="center" vertical="center"/>
    </xf>
    <xf numFmtId="179" fontId="148" fillId="5" borderId="7" xfId="3" applyNumberFormat="1" applyFill="1" applyBorder="1" applyAlignment="1" applyProtection="1">
      <alignment horizontal="center" vertical="center"/>
    </xf>
    <xf numFmtId="0" fontId="148" fillId="5" borderId="11" xfId="3" applyFill="1" applyBorder="1" applyAlignment="1" applyProtection="1">
      <alignment horizontal="center" vertical="center"/>
    </xf>
    <xf numFmtId="179" fontId="148" fillId="5" borderId="2" xfId="3" applyNumberFormat="1" applyFill="1" applyBorder="1" applyAlignment="1" applyProtection="1">
      <alignment horizontal="center" vertical="center"/>
    </xf>
    <xf numFmtId="179" fontId="148" fillId="5" borderId="5" xfId="3" applyNumberFormat="1" applyFill="1" applyBorder="1" applyAlignment="1" applyProtection="1">
      <alignment horizontal="center" vertical="center"/>
    </xf>
    <xf numFmtId="179" fontId="148" fillId="5" borderId="12" xfId="3" applyNumberFormat="1" applyFill="1" applyBorder="1" applyAlignment="1" applyProtection="1">
      <alignment horizontal="center" vertical="center"/>
    </xf>
    <xf numFmtId="0" fontId="148" fillId="5" borderId="43" xfId="3" applyFill="1" applyBorder="1" applyAlignment="1" applyProtection="1">
      <alignment horizontal="center" vertical="center"/>
    </xf>
    <xf numFmtId="179" fontId="148" fillId="5" borderId="45" xfId="3" applyNumberFormat="1" applyFill="1" applyBorder="1" applyAlignment="1" applyProtection="1">
      <alignment horizontal="center" vertical="center"/>
    </xf>
    <xf numFmtId="179" fontId="148" fillId="5" borderId="44" xfId="3" applyNumberFormat="1" applyFill="1" applyBorder="1" applyAlignment="1" applyProtection="1">
      <alignment horizontal="center" vertical="center"/>
    </xf>
    <xf numFmtId="179" fontId="148" fillId="5" borderId="46" xfId="3" applyNumberFormat="1" applyFill="1" applyBorder="1" applyAlignment="1" applyProtection="1">
      <alignment horizontal="center" vertical="center"/>
    </xf>
    <xf numFmtId="0" fontId="167" fillId="5" borderId="1" xfId="3" applyFont="1" applyFill="1" applyBorder="1" applyAlignment="1" applyProtection="1">
      <alignment horizontal="center" vertical="center" wrapText="1"/>
    </xf>
    <xf numFmtId="0" fontId="167" fillId="5" borderId="6" xfId="3" applyFont="1" applyFill="1" applyBorder="1" applyAlignment="1" applyProtection="1">
      <alignment horizontal="center" vertical="center" wrapText="1"/>
    </xf>
    <xf numFmtId="0" fontId="167" fillId="5" borderId="7" xfId="3" applyFont="1" applyFill="1" applyBorder="1" applyAlignment="1" applyProtection="1">
      <alignment horizontal="center" vertical="center" wrapText="1"/>
    </xf>
    <xf numFmtId="0" fontId="167" fillId="5" borderId="12" xfId="3" applyFont="1" applyFill="1" applyBorder="1" applyAlignment="1" applyProtection="1">
      <alignment horizontal="center" vertical="center" wrapText="1"/>
    </xf>
    <xf numFmtId="0" fontId="167" fillId="5" borderId="22" xfId="3" applyFont="1" applyFill="1" applyBorder="1" applyAlignment="1" applyProtection="1">
      <alignment horizontal="center" vertical="center" wrapText="1"/>
    </xf>
    <xf numFmtId="0" fontId="167" fillId="5" borderId="25" xfId="3" applyFont="1" applyFill="1" applyBorder="1" applyAlignment="1" applyProtection="1">
      <alignment horizontal="center" vertical="center" wrapText="1"/>
    </xf>
    <xf numFmtId="0" fontId="148" fillId="5" borderId="2" xfId="3" applyFill="1" applyBorder="1" applyAlignment="1" applyProtection="1">
      <alignment horizontal="center" vertical="center"/>
    </xf>
    <xf numFmtId="0" fontId="172" fillId="5" borderId="19" xfId="3" applyFont="1" applyFill="1" applyBorder="1" applyAlignment="1" applyProtection="1">
      <alignment vertical="center"/>
    </xf>
    <xf numFmtId="0" fontId="172" fillId="5" borderId="0" xfId="3" applyFont="1" applyFill="1" applyBorder="1" applyAlignment="1" applyProtection="1">
      <alignment vertical="center"/>
    </xf>
    <xf numFmtId="0" fontId="167" fillId="5" borderId="5" xfId="3" applyFont="1" applyFill="1" applyBorder="1" applyAlignment="1" applyProtection="1">
      <alignment horizontal="center" vertical="center" wrapText="1"/>
    </xf>
    <xf numFmtId="0" fontId="167" fillId="5" borderId="9" xfId="3" applyFont="1" applyFill="1" applyBorder="1" applyAlignment="1" applyProtection="1">
      <alignment horizontal="center" vertical="center" wrapText="1"/>
    </xf>
    <xf numFmtId="0" fontId="167" fillId="5" borderId="0" xfId="3" applyFont="1" applyFill="1" applyBorder="1" applyAlignment="1" applyProtection="1">
      <alignment horizontal="center" vertical="center" wrapText="1"/>
    </xf>
    <xf numFmtId="0" fontId="167" fillId="5" borderId="5" xfId="3" applyFont="1" applyFill="1" applyBorder="1" applyAlignment="1" applyProtection="1">
      <alignment horizontal="left" vertical="center"/>
    </xf>
    <xf numFmtId="0" fontId="167" fillId="5" borderId="9" xfId="3" applyFont="1" applyFill="1" applyBorder="1" applyAlignment="1" applyProtection="1">
      <alignment horizontal="left" vertical="center"/>
    </xf>
    <xf numFmtId="0" fontId="167" fillId="5" borderId="0" xfId="3" applyFont="1" applyFill="1" applyBorder="1" applyAlignment="1" applyProtection="1">
      <alignment vertical="center"/>
    </xf>
    <xf numFmtId="0" fontId="167" fillId="5" borderId="0" xfId="3" applyFont="1" applyFill="1" applyBorder="1" applyAlignment="1" applyProtection="1">
      <alignment horizontal="center" vertical="center"/>
    </xf>
    <xf numFmtId="0" fontId="167" fillId="5" borderId="17" xfId="3" applyFont="1" applyFill="1" applyBorder="1" applyAlignment="1" applyProtection="1">
      <alignment vertical="center" wrapText="1"/>
    </xf>
    <xf numFmtId="0" fontId="167" fillId="5" borderId="21" xfId="3" applyFont="1" applyFill="1" applyBorder="1" applyAlignment="1" applyProtection="1">
      <alignment vertical="center" wrapText="1"/>
    </xf>
    <xf numFmtId="0" fontId="167" fillId="5" borderId="20" xfId="3" applyFont="1" applyFill="1" applyBorder="1" applyAlignment="1" applyProtection="1">
      <alignment vertical="center" wrapText="1"/>
    </xf>
    <xf numFmtId="0" fontId="167" fillId="5" borderId="0" xfId="3" applyFont="1" applyFill="1" applyAlignment="1" applyProtection="1">
      <alignment horizontal="center" vertical="center"/>
    </xf>
    <xf numFmtId="9" fontId="167" fillId="5" borderId="2" xfId="3" applyNumberFormat="1" applyFont="1" applyFill="1" applyBorder="1" applyAlignment="1" applyProtection="1">
      <alignment horizontal="center" vertical="center"/>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9" xfId="3" applyFont="1" applyFill="1" applyBorder="1" applyAlignment="1" applyProtection="1">
      <alignment vertical="center"/>
    </xf>
    <xf numFmtId="185"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xf>
    <xf numFmtId="178" fontId="173" fillId="5" borderId="2" xfId="3" applyNumberFormat="1" applyFont="1" applyFill="1" applyBorder="1" applyAlignment="1" applyProtection="1">
      <alignment horizontal="center" vertical="center"/>
    </xf>
    <xf numFmtId="186" fontId="173" fillId="5" borderId="2" xfId="3" applyNumberFormat="1" applyFont="1" applyFill="1" applyBorder="1" applyAlignment="1" applyProtection="1">
      <alignment horizontal="center" vertical="center" wrapText="1"/>
    </xf>
    <xf numFmtId="185" fontId="167" fillId="5" borderId="21" xfId="3" applyNumberFormat="1" applyFont="1" applyFill="1" applyBorder="1" applyAlignment="1" applyProtection="1">
      <alignment horizontal="center" vertical="center" wrapText="1"/>
    </xf>
    <xf numFmtId="180" fontId="173" fillId="5" borderId="2" xfId="3" applyNumberFormat="1" applyFont="1" applyFill="1" applyBorder="1" applyAlignment="1" applyProtection="1">
      <alignment horizontal="center" vertical="center"/>
    </xf>
    <xf numFmtId="0" fontId="55" fillId="0" borderId="2" xfId="0" applyFont="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74" fillId="5" borderId="2" xfId="0" applyFont="1" applyFill="1" applyBorder="1" applyAlignment="1" applyProtection="1">
      <alignment horizontal="center" vertical="center" wrapText="1"/>
    </xf>
    <xf numFmtId="0" fontId="167" fillId="5" borderId="21" xfId="3" applyFont="1" applyFill="1" applyBorder="1" applyAlignment="1" applyProtection="1">
      <alignment horizontal="center" vertical="center"/>
    </xf>
    <xf numFmtId="0" fontId="167" fillId="5" borderId="10"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xf>
    <xf numFmtId="0" fontId="172" fillId="5" borderId="0" xfId="3" applyFont="1" applyFill="1" applyAlignment="1" applyProtection="1">
      <alignment horizontal="center" vertical="center"/>
    </xf>
    <xf numFmtId="0" fontId="20" fillId="5" borderId="5" xfId="0" applyFont="1" applyFill="1" applyBorder="1" applyProtection="1">
      <alignment vertical="center"/>
    </xf>
    <xf numFmtId="0" fontId="20" fillId="5" borderId="9" xfId="0" applyFont="1" applyFill="1" applyBorder="1" applyProtection="1">
      <alignment vertical="center"/>
    </xf>
    <xf numFmtId="0" fontId="87" fillId="5" borderId="21" xfId="3" applyFont="1" applyFill="1" applyBorder="1" applyAlignment="1" applyProtection="1">
      <alignment horizontal="center" vertical="center" wrapText="1"/>
    </xf>
    <xf numFmtId="0" fontId="166" fillId="6" borderId="2" xfId="0" applyFont="1" applyFill="1" applyBorder="1" applyAlignment="1" applyProtection="1">
      <alignment horizontal="center" vertical="center" wrapText="1"/>
      <protection locked="0"/>
    </xf>
    <xf numFmtId="0" fontId="153" fillId="0" borderId="0" xfId="0" applyFont="1" applyProtection="1">
      <alignment vertical="center"/>
    </xf>
    <xf numFmtId="0" fontId="174" fillId="0" borderId="0" xfId="0" applyFont="1" applyProtection="1">
      <alignment vertical="center"/>
    </xf>
    <xf numFmtId="0" fontId="73" fillId="0" borderId="2" xfId="0" applyFont="1" applyBorder="1" applyAlignment="1" applyProtection="1">
      <alignment horizontal="center" vertical="center" wrapText="1"/>
    </xf>
    <xf numFmtId="0" fontId="152" fillId="0" borderId="0" xfId="0" applyFont="1" applyProtection="1">
      <alignment vertical="center"/>
    </xf>
    <xf numFmtId="0" fontId="152" fillId="0" borderId="0" xfId="0" applyFont="1" applyAlignment="1" applyProtection="1">
      <alignment horizontal="left" vertical="center"/>
    </xf>
    <xf numFmtId="0" fontId="73" fillId="0" borderId="0" xfId="0" applyFont="1" applyProtection="1">
      <alignment vertical="center"/>
    </xf>
    <xf numFmtId="0" fontId="73" fillId="2" borderId="2" xfId="0" applyFont="1" applyFill="1" applyBorder="1" applyAlignment="1" applyProtection="1">
      <alignment horizontal="center" vertical="center" wrapText="1"/>
    </xf>
    <xf numFmtId="0" fontId="73" fillId="5" borderId="2" xfId="0" applyFont="1" applyFill="1" applyBorder="1" applyAlignment="1" applyProtection="1">
      <alignment horizontal="center" vertical="center" wrapText="1"/>
    </xf>
    <xf numFmtId="0" fontId="75" fillId="4" borderId="2" xfId="0" applyFont="1" applyFill="1" applyBorder="1" applyAlignment="1" applyProtection="1">
      <alignment horizontal="center" vertical="center"/>
    </xf>
    <xf numFmtId="0" fontId="76" fillId="0" borderId="2" xfId="0" applyFont="1" applyFill="1" applyBorder="1" applyAlignment="1" applyProtection="1">
      <alignment horizontal="center" vertical="center"/>
    </xf>
    <xf numFmtId="0" fontId="55" fillId="0" borderId="0" xfId="0" applyFont="1" applyProtection="1">
      <alignment vertical="center"/>
    </xf>
    <xf numFmtId="0" fontId="157" fillId="0" borderId="2" xfId="0" applyFont="1" applyBorder="1" applyAlignment="1" applyProtection="1">
      <alignment horizontal="center" vertical="center"/>
    </xf>
    <xf numFmtId="0" fontId="152" fillId="0" borderId="2" xfId="0" applyFont="1" applyBorder="1" applyAlignment="1" applyProtection="1">
      <alignment horizontal="left" vertical="center"/>
    </xf>
    <xf numFmtId="0" fontId="152" fillId="7" borderId="5" xfId="0" applyFont="1" applyFill="1" applyBorder="1" applyAlignment="1" applyProtection="1">
      <alignment vertical="center"/>
    </xf>
    <xf numFmtId="0" fontId="152" fillId="0" borderId="8" xfId="0" applyFont="1" applyBorder="1" applyAlignment="1" applyProtection="1">
      <alignment vertical="center"/>
    </xf>
    <xf numFmtId="0" fontId="152" fillId="0" borderId="9" xfId="0" applyFont="1" applyBorder="1" applyAlignment="1" applyProtection="1">
      <alignment vertical="center"/>
    </xf>
    <xf numFmtId="0" fontId="55" fillId="0" borderId="2" xfId="0" applyFont="1" applyBorder="1" applyAlignment="1" applyProtection="1">
      <alignment horizontal="left" vertical="center"/>
    </xf>
    <xf numFmtId="0" fontId="175" fillId="0" borderId="0" xfId="0" applyFont="1" applyProtection="1">
      <alignment vertical="center"/>
    </xf>
    <xf numFmtId="0" fontId="74" fillId="0" borderId="0" xfId="0" applyFont="1" applyAlignment="1" applyProtection="1">
      <alignment horizontal="left" vertical="center"/>
    </xf>
    <xf numFmtId="0" fontId="77" fillId="0" borderId="0" xfId="0" applyFont="1" applyAlignment="1" applyProtection="1">
      <alignment horizontal="left" vertical="center"/>
    </xf>
    <xf numFmtId="177" fontId="74" fillId="0" borderId="0" xfId="0" applyNumberFormat="1" applyFont="1" applyAlignment="1" applyProtection="1">
      <alignment horizontal="left" vertical="center"/>
    </xf>
    <xf numFmtId="0" fontId="152" fillId="0" borderId="3" xfId="0" applyFont="1" applyBorder="1" applyAlignment="1" applyProtection="1">
      <alignment vertical="center"/>
    </xf>
    <xf numFmtId="0" fontId="170" fillId="0" borderId="3" xfId="0" applyFont="1" applyBorder="1" applyAlignment="1" applyProtection="1">
      <alignment vertical="center"/>
    </xf>
    <xf numFmtId="0" fontId="170" fillId="0" borderId="21" xfId="0" applyFont="1" applyBorder="1" applyAlignment="1" applyProtection="1">
      <alignment vertical="center"/>
    </xf>
    <xf numFmtId="0" fontId="152" fillId="0" borderId="0" xfId="0" applyFont="1" applyAlignment="1" applyProtection="1">
      <alignment horizontal="center" vertical="center" wrapText="1"/>
    </xf>
    <xf numFmtId="0" fontId="152" fillId="0" borderId="0" xfId="0" applyFont="1" applyBorder="1" applyAlignment="1" applyProtection="1">
      <alignment horizontal="center" vertical="center"/>
    </xf>
    <xf numFmtId="0" fontId="79" fillId="5" borderId="2" xfId="0" applyFont="1" applyFill="1" applyBorder="1" applyAlignment="1" applyProtection="1">
      <alignment horizontal="center" vertical="center" wrapText="1"/>
      <protection locked="0"/>
    </xf>
    <xf numFmtId="0" fontId="79" fillId="5" borderId="5" xfId="0" applyFont="1" applyFill="1" applyBorder="1" applyAlignment="1" applyProtection="1">
      <alignment horizontal="left" vertical="center"/>
      <protection locked="0"/>
    </xf>
    <xf numFmtId="0" fontId="79" fillId="5" borderId="5" xfId="0" applyFont="1" applyFill="1" applyBorder="1" applyAlignment="1" applyProtection="1">
      <alignment horizontal="center" vertical="center"/>
      <protection locked="0"/>
    </xf>
    <xf numFmtId="0" fontId="79" fillId="5" borderId="9" xfId="0" applyFont="1" applyFill="1" applyBorder="1" applyAlignment="1" applyProtection="1">
      <alignment horizontal="left" vertical="center"/>
      <protection locked="0"/>
    </xf>
    <xf numFmtId="0" fontId="79" fillId="5" borderId="9" xfId="0" applyFont="1" applyFill="1" applyBorder="1" applyAlignment="1" applyProtection="1">
      <alignment horizontal="center" vertical="center"/>
      <protection locked="0"/>
    </xf>
    <xf numFmtId="0" fontId="79" fillId="5" borderId="17" xfId="0" applyFont="1" applyFill="1" applyBorder="1" applyAlignment="1" applyProtection="1">
      <alignment horizontal="center" vertical="center" wrapText="1"/>
      <protection locked="0"/>
    </xf>
    <xf numFmtId="0" fontId="79" fillId="5" borderId="21" xfId="0"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wrapText="1"/>
    </xf>
    <xf numFmtId="0" fontId="82" fillId="5" borderId="17" xfId="0" applyFont="1" applyFill="1" applyBorder="1" applyAlignment="1" applyProtection="1">
      <alignment horizontal="left" vertical="center"/>
    </xf>
    <xf numFmtId="180" fontId="79" fillId="5" borderId="0" xfId="0" applyNumberFormat="1" applyFont="1" applyFill="1" applyBorder="1" applyAlignment="1" applyProtection="1">
      <alignment horizontal="center" vertical="center" wrapText="1"/>
    </xf>
    <xf numFmtId="180" fontId="82" fillId="5" borderId="0" xfId="0" applyNumberFormat="1" applyFont="1" applyFill="1" applyBorder="1" applyAlignment="1" applyProtection="1">
      <alignment horizontal="center" vertical="center" wrapText="1"/>
    </xf>
    <xf numFmtId="177" fontId="79" fillId="5" borderId="0" xfId="0" applyNumberFormat="1" applyFont="1" applyFill="1" applyAlignment="1" applyProtection="1">
      <alignment horizontal="center" vertical="center" wrapText="1"/>
    </xf>
    <xf numFmtId="0" fontId="74" fillId="5" borderId="5" xfId="0" applyFont="1" applyFill="1" applyBorder="1" applyProtection="1">
      <alignment vertical="center"/>
    </xf>
    <xf numFmtId="0" fontId="74" fillId="5" borderId="8" xfId="0" applyFont="1" applyFill="1" applyBorder="1" applyProtection="1">
      <alignment vertical="center"/>
    </xf>
    <xf numFmtId="0" fontId="78" fillId="5" borderId="9" xfId="0" applyFont="1" applyFill="1" applyBorder="1" applyAlignment="1" applyProtection="1">
      <alignment horizontal="center" vertical="center"/>
    </xf>
    <xf numFmtId="0" fontId="74" fillId="5" borderId="21" xfId="0" applyFont="1" applyFill="1" applyBorder="1" applyProtection="1">
      <alignment vertical="center"/>
    </xf>
    <xf numFmtId="0" fontId="79" fillId="5" borderId="0" xfId="0" applyFont="1" applyFill="1" applyAlignment="1" applyProtection="1">
      <alignment vertical="center"/>
    </xf>
    <xf numFmtId="0" fontId="79" fillId="0" borderId="0" xfId="0" applyFont="1" applyAlignment="1" applyProtection="1">
      <alignment vertical="center"/>
    </xf>
    <xf numFmtId="0" fontId="74" fillId="5" borderId="0" xfId="0" applyFont="1" applyFill="1" applyAlignment="1" applyProtection="1">
      <alignment vertical="center"/>
    </xf>
    <xf numFmtId="0" fontId="74" fillId="0" borderId="0" xfId="0" applyFont="1" applyAlignment="1" applyProtection="1">
      <alignment vertical="center"/>
    </xf>
    <xf numFmtId="0" fontId="74" fillId="5" borderId="0" xfId="0" applyFont="1" applyFill="1" applyAlignment="1" applyProtection="1">
      <alignment vertical="center" wrapText="1"/>
    </xf>
    <xf numFmtId="180" fontId="74" fillId="5" borderId="37" xfId="0" applyNumberFormat="1" applyFont="1" applyFill="1" applyBorder="1" applyAlignment="1" applyProtection="1">
      <alignment vertical="center"/>
    </xf>
    <xf numFmtId="0" fontId="84" fillId="5" borderId="37" xfId="0" applyFont="1" applyFill="1" applyBorder="1" applyAlignment="1" applyProtection="1">
      <alignment vertical="center"/>
    </xf>
    <xf numFmtId="0" fontId="74" fillId="5" borderId="36" xfId="0" applyFont="1" applyFill="1" applyBorder="1" applyAlignment="1" applyProtection="1">
      <alignment horizontal="center" vertical="center"/>
    </xf>
    <xf numFmtId="0" fontId="74" fillId="5" borderId="37" xfId="0" applyFont="1" applyFill="1" applyBorder="1" applyAlignment="1" applyProtection="1">
      <alignment horizontal="center" vertical="center"/>
    </xf>
    <xf numFmtId="0" fontId="74" fillId="0" borderId="0" xfId="0" applyFont="1" applyAlignment="1" applyProtection="1">
      <alignment vertical="center" wrapText="1"/>
    </xf>
    <xf numFmtId="0" fontId="152" fillId="5" borderId="12" xfId="0" applyFont="1" applyFill="1" applyBorder="1" applyAlignment="1" applyProtection="1">
      <alignment horizontal="center" vertical="center"/>
    </xf>
    <xf numFmtId="0" fontId="88" fillId="5" borderId="0" xfId="0" applyFont="1" applyFill="1" applyAlignment="1" applyProtection="1">
      <alignment vertical="center" wrapText="1"/>
    </xf>
    <xf numFmtId="0" fontId="79" fillId="0" borderId="0" xfId="0" applyFont="1" applyFill="1" applyAlignment="1" applyProtection="1">
      <alignment vertical="center"/>
    </xf>
    <xf numFmtId="0" fontId="79" fillId="0" borderId="0" xfId="0" applyFont="1" applyAlignment="1" applyProtection="1">
      <alignment vertical="center" wrapText="1"/>
    </xf>
    <xf numFmtId="180" fontId="79" fillId="0" borderId="0" xfId="0" applyNumberFormat="1" applyFont="1" applyAlignment="1" applyProtection="1">
      <alignment vertical="center"/>
    </xf>
    <xf numFmtId="0" fontId="79" fillId="0" borderId="0" xfId="0" applyFont="1" applyAlignment="1" applyProtection="1">
      <alignment horizontal="center" vertical="center"/>
    </xf>
    <xf numFmtId="0" fontId="74" fillId="6" borderId="6" xfId="2"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xf>
    <xf numFmtId="0" fontId="51" fillId="5" borderId="36" xfId="0" applyFont="1" applyFill="1" applyBorder="1" applyAlignment="1" applyProtection="1">
      <alignment horizontal="center" vertical="center" wrapText="1"/>
    </xf>
    <xf numFmtId="0" fontId="51" fillId="5" borderId="49" xfId="0" applyFont="1" applyFill="1" applyBorder="1" applyAlignment="1" applyProtection="1">
      <alignment horizontal="right" vertical="center" wrapText="1"/>
    </xf>
    <xf numFmtId="0" fontId="51" fillId="5" borderId="38" xfId="0" applyFont="1" applyFill="1" applyBorder="1" applyAlignment="1" applyProtection="1">
      <alignment horizontal="center" vertical="center"/>
    </xf>
    <xf numFmtId="0" fontId="51" fillId="5" borderId="0" xfId="0" applyFont="1" applyFill="1" applyBorder="1" applyAlignment="1" applyProtection="1">
      <alignment horizontal="right" vertical="center" wrapText="1"/>
    </xf>
    <xf numFmtId="0" fontId="51" fillId="5" borderId="36" xfId="0" applyFont="1" applyFill="1" applyBorder="1" applyAlignment="1" applyProtection="1">
      <alignment horizontal="right" vertical="center" wrapText="1"/>
    </xf>
    <xf numFmtId="0" fontId="55" fillId="5" borderId="37" xfId="0" applyFont="1" applyFill="1" applyBorder="1" applyAlignment="1" applyProtection="1">
      <alignment horizontal="center" vertical="center"/>
    </xf>
    <xf numFmtId="0" fontId="51" fillId="5" borderId="53" xfId="0" applyFont="1" applyFill="1" applyBorder="1" applyAlignment="1" applyProtection="1">
      <alignment vertical="center" wrapText="1"/>
    </xf>
    <xf numFmtId="0" fontId="55" fillId="5" borderId="6" xfId="0" applyFont="1" applyFill="1" applyBorder="1" applyAlignment="1" applyProtection="1">
      <alignment horizontal="center" vertical="center" wrapText="1"/>
    </xf>
    <xf numFmtId="0" fontId="51" fillId="5" borderId="24" xfId="0" applyFont="1" applyFill="1" applyBorder="1" applyAlignment="1" applyProtection="1">
      <alignment vertical="center" wrapText="1"/>
    </xf>
    <xf numFmtId="0" fontId="55" fillId="5" borderId="20"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xf>
    <xf numFmtId="49" fontId="55" fillId="5" borderId="24" xfId="0" applyNumberFormat="1"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xf>
    <xf numFmtId="49" fontId="55" fillId="5" borderId="23" xfId="0" applyNumberFormat="1" applyFont="1" applyFill="1" applyBorder="1" applyAlignment="1" applyProtection="1">
      <alignment horizontal="center" vertical="center" wrapText="1"/>
    </xf>
    <xf numFmtId="0" fontId="55" fillId="5" borderId="47" xfId="0" applyFont="1" applyFill="1" applyBorder="1" applyAlignment="1" applyProtection="1">
      <alignment horizontal="center" vertical="center" wrapText="1"/>
    </xf>
    <xf numFmtId="0" fontId="51" fillId="5" borderId="23" xfId="0" applyFont="1" applyFill="1" applyBorder="1" applyAlignment="1" applyProtection="1">
      <alignment vertical="center" wrapText="1"/>
    </xf>
    <xf numFmtId="0" fontId="55" fillId="5" borderId="44" xfId="0" applyFont="1" applyFill="1" applyBorder="1" applyAlignment="1" applyProtection="1">
      <alignment horizontal="center" vertical="center" wrapText="1"/>
    </xf>
    <xf numFmtId="0" fontId="51" fillId="5" borderId="26" xfId="0" applyFont="1" applyFill="1" applyBorder="1" applyAlignment="1" applyProtection="1">
      <alignment horizontal="center" vertical="center" wrapText="1"/>
    </xf>
    <xf numFmtId="0" fontId="51" fillId="5" borderId="26" xfId="0" applyFont="1" applyFill="1" applyBorder="1" applyAlignment="1" applyProtection="1">
      <alignment horizontal="right" vertical="center" wrapText="1"/>
    </xf>
    <xf numFmtId="0" fontId="51" fillId="5" borderId="39" xfId="0" applyFont="1" applyFill="1" applyBorder="1" applyAlignment="1" applyProtection="1">
      <alignment horizontal="center" vertical="center" wrapText="1"/>
    </xf>
    <xf numFmtId="0" fontId="51" fillId="5" borderId="82" xfId="0" applyFont="1" applyFill="1" applyBorder="1" applyAlignment="1" applyProtection="1">
      <alignment horizontal="right" vertical="center" wrapText="1"/>
    </xf>
    <xf numFmtId="0" fontId="55" fillId="5" borderId="1" xfId="0" applyFont="1" applyFill="1" applyBorder="1" applyAlignment="1" applyProtection="1">
      <alignment horizontal="center" vertical="center" wrapText="1"/>
    </xf>
    <xf numFmtId="49" fontId="55" fillId="5" borderId="41" xfId="0" applyNumberFormat="1" applyFont="1" applyFill="1" applyBorder="1" applyAlignment="1" applyProtection="1">
      <alignment horizontal="center" vertical="center" wrapText="1"/>
    </xf>
    <xf numFmtId="0" fontId="55" fillId="5" borderId="7" xfId="0" applyNumberFormat="1" applyFont="1" applyFill="1" applyBorder="1" applyAlignment="1" applyProtection="1">
      <alignment horizontal="center" vertical="center" wrapText="1"/>
    </xf>
    <xf numFmtId="0" fontId="55" fillId="5" borderId="50" xfId="0" applyFont="1" applyFill="1" applyBorder="1" applyAlignment="1" applyProtection="1">
      <alignment horizontal="center" vertical="center" wrapText="1"/>
    </xf>
    <xf numFmtId="49" fontId="55" fillId="5" borderId="12" xfId="0" applyNumberFormat="1" applyFont="1" applyFill="1" applyBorder="1" applyAlignment="1" applyProtection="1">
      <alignment horizontal="center" vertical="center" wrapText="1"/>
    </xf>
    <xf numFmtId="0" fontId="55" fillId="5" borderId="11" xfId="0" applyFont="1" applyFill="1" applyBorder="1" applyAlignment="1" applyProtection="1">
      <alignment horizontal="center" vertical="center" wrapText="1"/>
    </xf>
    <xf numFmtId="0" fontId="55" fillId="5" borderId="43" xfId="0" applyFont="1" applyFill="1" applyBorder="1" applyAlignment="1" applyProtection="1">
      <alignment horizontal="center" vertical="center" wrapText="1"/>
    </xf>
    <xf numFmtId="0" fontId="55" fillId="5" borderId="46" xfId="0" applyNumberFormat="1" applyFont="1" applyFill="1" applyBorder="1" applyAlignment="1" applyProtection="1">
      <alignment horizontal="center" vertical="center" wrapText="1"/>
    </xf>
    <xf numFmtId="0" fontId="79" fillId="0" borderId="0" xfId="0" applyFont="1" applyProtection="1">
      <alignment vertical="center"/>
    </xf>
    <xf numFmtId="0" fontId="79" fillId="5" borderId="16" xfId="0" applyFont="1" applyFill="1" applyBorder="1" applyProtection="1">
      <alignment vertical="center"/>
    </xf>
    <xf numFmtId="0" fontId="79" fillId="5" borderId="8" xfId="0" applyFont="1" applyFill="1" applyBorder="1" applyProtection="1">
      <alignment vertical="center"/>
    </xf>
    <xf numFmtId="0" fontId="79" fillId="5" borderId="5" xfId="0" applyFont="1" applyFill="1" applyBorder="1" applyProtection="1">
      <alignment vertical="center"/>
    </xf>
    <xf numFmtId="0" fontId="79" fillId="0" borderId="0" xfId="0" applyFont="1" applyFill="1" applyProtection="1">
      <alignment vertical="center"/>
    </xf>
    <xf numFmtId="0" fontId="174" fillId="5" borderId="59" xfId="0" applyFont="1" applyFill="1" applyBorder="1" applyAlignment="1" applyProtection="1">
      <alignment horizontal="left" vertical="center"/>
    </xf>
    <xf numFmtId="0" fontId="79" fillId="5" borderId="30" xfId="0" applyFont="1" applyFill="1" applyBorder="1" applyProtection="1">
      <alignment vertical="center"/>
    </xf>
    <xf numFmtId="0" fontId="79" fillId="5" borderId="57" xfId="0" applyFont="1" applyFill="1" applyBorder="1" applyProtection="1">
      <alignment vertical="center"/>
    </xf>
    <xf numFmtId="0" fontId="174" fillId="5" borderId="64" xfId="0" applyFont="1" applyFill="1" applyBorder="1" applyAlignment="1" applyProtection="1">
      <alignment horizontal="left" vertical="center"/>
    </xf>
    <xf numFmtId="0" fontId="79" fillId="5" borderId="38" xfId="0" applyFont="1" applyFill="1" applyBorder="1" applyProtection="1">
      <alignment vertical="center"/>
    </xf>
    <xf numFmtId="0" fontId="79" fillId="5" borderId="79" xfId="0" applyFont="1" applyFill="1" applyBorder="1" applyProtection="1">
      <alignment vertical="center"/>
    </xf>
    <xf numFmtId="0" fontId="174" fillId="5" borderId="54" xfId="0" applyFont="1" applyFill="1" applyBorder="1" applyAlignment="1" applyProtection="1">
      <alignment horizontal="left" vertical="center"/>
    </xf>
    <xf numFmtId="0" fontId="79" fillId="5" borderId="61" xfId="0" applyFont="1" applyFill="1" applyBorder="1" applyProtection="1">
      <alignment vertical="center"/>
    </xf>
    <xf numFmtId="0" fontId="79" fillId="5" borderId="66" xfId="0" applyFont="1" applyFill="1" applyBorder="1" applyProtection="1">
      <alignment vertical="center"/>
    </xf>
    <xf numFmtId="0" fontId="176" fillId="5" borderId="39" xfId="0" applyFont="1" applyFill="1" applyBorder="1" applyAlignment="1" applyProtection="1">
      <alignment horizontal="center" vertical="center" wrapText="1"/>
    </xf>
    <xf numFmtId="0" fontId="79" fillId="5" borderId="80" xfId="0" applyFont="1" applyFill="1" applyBorder="1" applyProtection="1">
      <alignment vertical="center"/>
    </xf>
    <xf numFmtId="0" fontId="176" fillId="5" borderId="65" xfId="0" applyFont="1" applyFill="1" applyBorder="1" applyAlignment="1" applyProtection="1">
      <alignment horizontal="center" vertical="center" wrapText="1"/>
    </xf>
    <xf numFmtId="0" fontId="152" fillId="5" borderId="66" xfId="0" applyFont="1" applyFill="1" applyBorder="1" applyAlignment="1" applyProtection="1">
      <alignment vertical="center" wrapText="1"/>
    </xf>
    <xf numFmtId="0" fontId="176" fillId="5" borderId="82"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79" fillId="5" borderId="53" xfId="0" applyFont="1" applyFill="1" applyBorder="1" applyAlignment="1" applyProtection="1">
      <alignment horizontal="justify" vertical="center" wrapText="1"/>
    </xf>
    <xf numFmtId="0" fontId="179" fillId="5" borderId="27" xfId="0" applyFont="1" applyFill="1" applyBorder="1" applyAlignment="1" applyProtection="1">
      <alignment horizontal="center" vertical="center" wrapText="1"/>
    </xf>
    <xf numFmtId="0" fontId="180" fillId="5" borderId="11"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80" fontId="174" fillId="5" borderId="2" xfId="0" applyNumberFormat="1"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0" fillId="5" borderId="25" xfId="0" applyFont="1" applyFill="1" applyBorder="1" applyAlignment="1" applyProtection="1">
      <alignment horizontal="center" vertical="center" wrapText="1"/>
    </xf>
    <xf numFmtId="0" fontId="180" fillId="5" borderId="43" xfId="0" applyFont="1" applyFill="1" applyBorder="1" applyAlignment="1" applyProtection="1">
      <alignment horizontal="center" vertical="center" wrapText="1"/>
    </xf>
    <xf numFmtId="0" fontId="180" fillId="5" borderId="44" xfId="0" applyFont="1" applyFill="1" applyBorder="1" applyAlignment="1" applyProtection="1">
      <alignment horizontal="center" vertical="center" wrapText="1"/>
    </xf>
    <xf numFmtId="180" fontId="174" fillId="5" borderId="44" xfId="0" applyNumberFormat="1" applyFont="1" applyFill="1" applyBorder="1" applyAlignment="1" applyProtection="1">
      <alignment horizontal="center" vertical="center" wrapText="1"/>
    </xf>
    <xf numFmtId="0" fontId="79" fillId="5" borderId="55" xfId="0" applyFont="1" applyFill="1" applyBorder="1" applyProtection="1">
      <alignment vertical="center"/>
    </xf>
    <xf numFmtId="0" fontId="174" fillId="5" borderId="69" xfId="0" applyFont="1" applyFill="1" applyBorder="1" applyAlignment="1" applyProtection="1">
      <alignment horizontal="center" vertical="center" wrapText="1"/>
    </xf>
    <xf numFmtId="0" fontId="96" fillId="0" borderId="0" xfId="0" applyFont="1" applyBorder="1" applyAlignment="1" applyProtection="1">
      <alignment horizontal="left" vertical="center" wrapText="1"/>
    </xf>
    <xf numFmtId="0" fontId="153" fillId="5" borderId="0" xfId="0" applyFont="1" applyFill="1" applyBorder="1" applyAlignment="1" applyProtection="1">
      <alignment horizontal="left" vertical="center"/>
    </xf>
    <xf numFmtId="0" fontId="90" fillId="5" borderId="0" xfId="0" applyFont="1" applyFill="1" applyBorder="1" applyAlignment="1" applyProtection="1">
      <alignment horizontal="left" vertical="center"/>
    </xf>
    <xf numFmtId="0" fontId="72" fillId="5" borderId="0" xfId="0" applyFont="1" applyFill="1" applyBorder="1" applyAlignment="1" applyProtection="1">
      <alignment vertical="center"/>
    </xf>
    <xf numFmtId="0" fontId="72" fillId="5" borderId="0" xfId="0" applyFont="1" applyFill="1" applyBorder="1" applyAlignment="1" applyProtection="1">
      <alignment horizontal="center" vertical="center"/>
    </xf>
    <xf numFmtId="9" fontId="79" fillId="5" borderId="0" xfId="0" applyNumberFormat="1" applyFont="1" applyFill="1" applyAlignment="1" applyProtection="1">
      <alignment horizontal="center" vertical="center"/>
    </xf>
    <xf numFmtId="0" fontId="160" fillId="5" borderId="5" xfId="0" applyFont="1" applyFill="1" applyBorder="1" applyAlignment="1" applyProtection="1">
      <alignment horizontal="center" vertical="center" wrapText="1"/>
    </xf>
    <xf numFmtId="0" fontId="160" fillId="5" borderId="8"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10" fontId="79" fillId="5" borderId="0" xfId="0" applyNumberFormat="1" applyFont="1" applyFill="1" applyAlignment="1" applyProtection="1">
      <alignment horizontal="center" vertical="center"/>
    </xf>
    <xf numFmtId="0" fontId="181" fillId="5" borderId="2"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81" fillId="5" borderId="10" xfId="0" applyFont="1" applyFill="1" applyBorder="1" applyAlignment="1" applyProtection="1">
      <alignment horizontal="center" vertical="center" wrapText="1"/>
    </xf>
    <xf numFmtId="0" fontId="182" fillId="5" borderId="2" xfId="0" applyFont="1" applyFill="1" applyBorder="1" applyAlignment="1" applyProtection="1">
      <alignment horizontal="center" vertical="center" wrapText="1"/>
    </xf>
    <xf numFmtId="10" fontId="182" fillId="5" borderId="2" xfId="0" applyNumberFormat="1" applyFont="1" applyFill="1" applyBorder="1" applyAlignment="1" applyProtection="1">
      <alignment horizontal="center" vertical="center"/>
    </xf>
    <xf numFmtId="0" fontId="82" fillId="5" borderId="0" xfId="0" applyFont="1" applyFill="1" applyProtection="1">
      <alignment vertical="center"/>
    </xf>
    <xf numFmtId="9" fontId="182" fillId="5" borderId="2" xfId="0" applyNumberFormat="1" applyFont="1" applyFill="1" applyBorder="1" applyAlignment="1" applyProtection="1">
      <alignment horizontal="center" vertical="center"/>
    </xf>
    <xf numFmtId="0" fontId="182" fillId="5" borderId="10" xfId="0" applyFont="1" applyFill="1" applyBorder="1" applyAlignment="1" applyProtection="1">
      <alignment horizontal="center" vertical="center" wrapText="1"/>
    </xf>
    <xf numFmtId="9" fontId="182" fillId="5" borderId="10" xfId="0" applyNumberFormat="1" applyFont="1" applyFill="1" applyBorder="1" applyAlignment="1" applyProtection="1">
      <alignment horizontal="center" vertical="center"/>
    </xf>
    <xf numFmtId="0" fontId="182" fillId="5" borderId="5" xfId="0" applyFont="1" applyFill="1" applyBorder="1" applyAlignment="1" applyProtection="1">
      <alignment vertical="center" wrapText="1"/>
    </xf>
    <xf numFmtId="0" fontId="182" fillId="5" borderId="8" xfId="0" applyFont="1" applyFill="1" applyBorder="1" applyAlignment="1" applyProtection="1">
      <alignment horizontal="center" vertical="center" wrapText="1"/>
    </xf>
    <xf numFmtId="0" fontId="182" fillId="5" borderId="9" xfId="0" applyFont="1" applyFill="1" applyBorder="1" applyAlignment="1" applyProtection="1">
      <alignment vertical="center" wrapText="1"/>
    </xf>
    <xf numFmtId="0" fontId="79" fillId="5" borderId="0" xfId="0" applyFont="1" applyFill="1" applyBorder="1" applyAlignment="1" applyProtection="1">
      <alignment horizontal="left" vertical="center" wrapText="1"/>
    </xf>
    <xf numFmtId="0" fontId="182" fillId="5" borderId="84" xfId="0" applyFont="1" applyFill="1" applyBorder="1" applyAlignment="1" applyProtection="1">
      <alignment vertical="center" wrapText="1"/>
    </xf>
    <xf numFmtId="0" fontId="182" fillId="5" borderId="85" xfId="0" applyFont="1" applyFill="1" applyBorder="1" applyAlignment="1" applyProtection="1">
      <alignment horizontal="center" vertical="center" wrapText="1"/>
    </xf>
    <xf numFmtId="0" fontId="182" fillId="5" borderId="86" xfId="0" applyFont="1" applyFill="1" applyBorder="1" applyAlignment="1" applyProtection="1">
      <alignment vertical="center" wrapText="1"/>
    </xf>
    <xf numFmtId="49" fontId="88" fillId="5" borderId="31" xfId="0" applyNumberFormat="1" applyFont="1" applyFill="1" applyBorder="1" applyAlignment="1" applyProtection="1">
      <alignment horizontal="left" vertical="center" wrapText="1"/>
    </xf>
    <xf numFmtId="0" fontId="98" fillId="5" borderId="0" xfId="0" applyFont="1" applyFill="1" applyBorder="1" applyAlignment="1" applyProtection="1">
      <alignment horizontal="left" vertical="center" wrapText="1"/>
    </xf>
    <xf numFmtId="178" fontId="98" fillId="5" borderId="0" xfId="0" applyNumberFormat="1" applyFont="1" applyFill="1" applyBorder="1" applyAlignment="1" applyProtection="1">
      <alignment horizontal="center" vertical="center" wrapText="1"/>
    </xf>
    <xf numFmtId="10" fontId="89" fillId="5" borderId="0" xfId="0" applyNumberFormat="1" applyFont="1" applyFill="1" applyBorder="1" applyAlignment="1" applyProtection="1">
      <alignment horizontal="center" vertical="center" wrapText="1"/>
    </xf>
    <xf numFmtId="0" fontId="79" fillId="5" borderId="0" xfId="0" applyFont="1" applyFill="1" applyBorder="1" applyAlignment="1" applyProtection="1">
      <alignment horizontal="left" vertical="center"/>
    </xf>
    <xf numFmtId="0" fontId="152" fillId="0" borderId="0" xfId="0" applyFont="1" applyFill="1" applyProtection="1">
      <alignment vertical="center"/>
    </xf>
    <xf numFmtId="0" fontId="79" fillId="5" borderId="0" xfId="4" applyFont="1" applyFill="1" applyBorder="1" applyAlignment="1" applyProtection="1">
      <alignment horizontal="left" vertical="center" wrapText="1"/>
    </xf>
    <xf numFmtId="0" fontId="152" fillId="5" borderId="0" xfId="4" applyFont="1" applyFill="1" applyAlignment="1" applyProtection="1">
      <alignment vertical="center" wrapText="1"/>
    </xf>
    <xf numFmtId="0" fontId="152" fillId="5" borderId="0" xfId="4" applyFont="1" applyFill="1" applyProtection="1"/>
    <xf numFmtId="0" fontId="152" fillId="5" borderId="0" xfId="0" applyFont="1" applyFill="1" applyAlignment="1" applyProtection="1">
      <alignment vertical="center"/>
    </xf>
    <xf numFmtId="0" fontId="152" fillId="5" borderId="0" xfId="0" applyFont="1" applyFill="1" applyAlignment="1" applyProtection="1">
      <alignment horizontal="left" vertical="center"/>
    </xf>
    <xf numFmtId="0" fontId="152" fillId="5" borderId="0" xfId="4" applyFont="1" applyFill="1" applyAlignment="1" applyProtection="1">
      <alignment horizontal="left"/>
    </xf>
    <xf numFmtId="0" fontId="74" fillId="6" borderId="2" xfId="0" applyFont="1" applyFill="1" applyBorder="1" applyProtection="1">
      <alignment vertical="center"/>
      <protection locked="0"/>
    </xf>
    <xf numFmtId="0" fontId="160" fillId="5" borderId="14" xfId="0" applyFont="1" applyFill="1" applyBorder="1" applyAlignment="1" applyProtection="1">
      <alignment horizontal="left" vertical="center" wrapText="1"/>
    </xf>
    <xf numFmtId="0" fontId="160" fillId="5" borderId="14" xfId="0" applyFont="1" applyFill="1" applyBorder="1" applyAlignment="1" applyProtection="1">
      <alignment horizontal="center" vertical="center" wrapText="1"/>
    </xf>
    <xf numFmtId="0" fontId="160" fillId="5" borderId="32" xfId="0" applyFont="1" applyFill="1" applyBorder="1" applyAlignment="1" applyProtection="1">
      <alignment horizontal="center" vertical="center" wrapText="1"/>
    </xf>
    <xf numFmtId="191" fontId="181" fillId="5" borderId="21" xfId="0" applyNumberFormat="1" applyFont="1" applyFill="1" applyBorder="1" applyAlignment="1" applyProtection="1">
      <alignment horizontal="center" vertical="center" wrapText="1"/>
    </xf>
    <xf numFmtId="0" fontId="89" fillId="5" borderId="2" xfId="2" applyFont="1" applyFill="1" applyBorder="1" applyAlignment="1" applyProtection="1">
      <alignment horizontal="left"/>
    </xf>
    <xf numFmtId="0" fontId="98" fillId="5" borderId="2" xfId="2" applyFont="1" applyFill="1" applyBorder="1" applyAlignment="1" applyProtection="1">
      <alignment horizontal="left"/>
    </xf>
    <xf numFmtId="0" fontId="89" fillId="5" borderId="2" xfId="2" applyFont="1" applyFill="1" applyBorder="1" applyAlignment="1" applyProtection="1"/>
    <xf numFmtId="0" fontId="159" fillId="5" borderId="9" xfId="2" applyFont="1" applyFill="1" applyBorder="1" applyAlignment="1" applyProtection="1">
      <alignment horizontal="left"/>
    </xf>
    <xf numFmtId="0" fontId="103" fillId="5" borderId="9" xfId="0" applyFont="1" applyFill="1" applyBorder="1" applyAlignment="1" applyProtection="1">
      <alignment vertical="center" wrapText="1"/>
    </xf>
    <xf numFmtId="0" fontId="159" fillId="5" borderId="2" xfId="0" applyFont="1" applyFill="1" applyBorder="1" applyAlignment="1" applyProtection="1">
      <alignment vertical="center" wrapText="1"/>
    </xf>
    <xf numFmtId="0" fontId="159" fillId="5" borderId="0" xfId="0" applyFont="1" applyFill="1" applyBorder="1" applyAlignment="1" applyProtection="1">
      <alignment vertical="center" wrapText="1"/>
    </xf>
    <xf numFmtId="0" fontId="103" fillId="5" borderId="0" xfId="0" applyFont="1" applyFill="1" applyBorder="1" applyAlignment="1" applyProtection="1">
      <alignment vertical="center" wrapText="1"/>
    </xf>
    <xf numFmtId="0" fontId="103" fillId="5" borderId="65" xfId="0" applyFont="1" applyFill="1" applyBorder="1" applyAlignment="1" applyProtection="1">
      <alignment vertical="center" wrapText="1"/>
    </xf>
    <xf numFmtId="0" fontId="101" fillId="0" borderId="0" xfId="0" applyFont="1" applyFill="1" applyBorder="1" applyAlignment="1" applyProtection="1">
      <alignment horizontal="center" vertical="center"/>
    </xf>
    <xf numFmtId="0" fontId="101" fillId="0" borderId="0" xfId="0" applyFont="1" applyFill="1" applyAlignment="1" applyProtection="1">
      <alignment horizontal="center" vertical="center"/>
    </xf>
    <xf numFmtId="0" fontId="87"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188" fontId="87" fillId="3" borderId="9" xfId="0" applyNumberFormat="1" applyFont="1" applyFill="1" applyBorder="1" applyAlignment="1" applyProtection="1">
      <alignment horizontal="center" vertical="center"/>
    </xf>
    <xf numFmtId="188" fontId="87" fillId="3" borderId="9" xfId="0" applyNumberFormat="1" applyFont="1" applyFill="1" applyBorder="1" applyAlignment="1" applyProtection="1">
      <alignment horizontal="center" vertical="center" wrapText="1"/>
    </xf>
    <xf numFmtId="188" fontId="87" fillId="3" borderId="2" xfId="0" applyNumberFormat="1" applyFont="1" applyFill="1" applyBorder="1" applyAlignment="1" applyProtection="1">
      <alignment horizontal="center" vertical="center" wrapText="1"/>
    </xf>
    <xf numFmtId="188" fontId="87" fillId="0" borderId="0" xfId="0" applyNumberFormat="1" applyFont="1" applyFill="1" applyAlignment="1" applyProtection="1">
      <alignment horizontal="center" vertical="center"/>
    </xf>
    <xf numFmtId="182" fontId="87" fillId="0" borderId="0" xfId="0" applyNumberFormat="1" applyFont="1" applyFill="1" applyAlignment="1" applyProtection="1">
      <alignment horizontal="center" vertical="center"/>
    </xf>
    <xf numFmtId="0" fontId="108" fillId="0" borderId="0" xfId="0" applyFont="1" applyFill="1" applyAlignment="1" applyProtection="1">
      <alignment horizontal="center" vertical="center"/>
    </xf>
    <xf numFmtId="0" fontId="112" fillId="0" borderId="0" xfId="0" applyFont="1" applyFill="1" applyAlignment="1" applyProtection="1">
      <alignment horizontal="center" vertical="center"/>
    </xf>
    <xf numFmtId="49" fontId="74" fillId="0" borderId="0" xfId="0" applyNumberFormat="1" applyFont="1" applyFill="1" applyAlignment="1" applyProtection="1">
      <alignment horizontal="center" vertical="center"/>
    </xf>
    <xf numFmtId="0" fontId="102" fillId="5" borderId="11" xfId="0" applyNumberFormat="1" applyFont="1" applyFill="1" applyBorder="1" applyAlignment="1" applyProtection="1">
      <alignment horizontal="center" vertical="center" wrapText="1"/>
    </xf>
    <xf numFmtId="9" fontId="98" fillId="0" borderId="5" xfId="2" applyNumberFormat="1" applyFont="1" applyFill="1" applyBorder="1" applyAlignment="1" applyProtection="1">
      <alignment horizontal="center" vertical="center"/>
      <protection locked="0"/>
    </xf>
    <xf numFmtId="0" fontId="101" fillId="5" borderId="0" xfId="0" applyFont="1" applyFill="1" applyAlignment="1" applyProtection="1">
      <alignment vertical="center"/>
    </xf>
    <xf numFmtId="0" fontId="109" fillId="5" borderId="0" xfId="0" applyFont="1" applyFill="1" applyBorder="1" applyAlignment="1" applyProtection="1">
      <alignment vertical="center"/>
    </xf>
    <xf numFmtId="0" fontId="100" fillId="5" borderId="21" xfId="0" applyFont="1" applyFill="1" applyBorder="1" applyAlignment="1" applyProtection="1">
      <alignment vertical="center"/>
    </xf>
    <xf numFmtId="0" fontId="74" fillId="5" borderId="0" xfId="0" applyFont="1" applyFill="1" applyBorder="1" applyAlignment="1" applyProtection="1">
      <alignment horizontal="center"/>
    </xf>
    <xf numFmtId="0" fontId="74" fillId="5" borderId="0" xfId="0" applyFont="1" applyFill="1" applyBorder="1" applyAlignment="1" applyProtection="1"/>
    <xf numFmtId="0" fontId="74" fillId="5" borderId="65" xfId="0" applyFont="1" applyFill="1" applyBorder="1" applyAlignment="1" applyProtection="1"/>
    <xf numFmtId="0" fontId="74" fillId="5" borderId="10" xfId="0" applyFont="1" applyFill="1" applyBorder="1" applyAlignment="1" applyProtection="1"/>
    <xf numFmtId="0" fontId="74" fillId="5" borderId="5" xfId="0" applyFont="1" applyFill="1" applyBorder="1" applyAlignment="1" applyProtection="1">
      <alignment horizontal="center"/>
    </xf>
    <xf numFmtId="0" fontId="74" fillId="5" borderId="3" xfId="0" applyFont="1" applyFill="1" applyBorder="1" applyAlignment="1" applyProtection="1"/>
    <xf numFmtId="0" fontId="109" fillId="5" borderId="55" xfId="0" applyFont="1" applyFill="1" applyBorder="1" applyAlignment="1" applyProtection="1">
      <alignment vertical="center"/>
    </xf>
    <xf numFmtId="0" fontId="74" fillId="5" borderId="55" xfId="0" applyFont="1" applyFill="1" applyBorder="1" applyAlignment="1" applyProtection="1">
      <alignment horizontal="center"/>
    </xf>
    <xf numFmtId="0" fontId="74" fillId="5" borderId="55" xfId="0" applyFont="1" applyFill="1" applyBorder="1" applyAlignment="1" applyProtection="1"/>
    <xf numFmtId="0" fontId="109" fillId="0" borderId="0" xfId="0" applyFont="1" applyFill="1" applyAlignment="1" applyProtection="1">
      <alignment horizontal="center" vertical="center"/>
    </xf>
    <xf numFmtId="49" fontId="100" fillId="5" borderId="0" xfId="0" applyNumberFormat="1" applyFont="1" applyFill="1" applyBorder="1" applyAlignment="1" applyProtection="1">
      <alignment horizontal="center"/>
    </xf>
    <xf numFmtId="0" fontId="183" fillId="0" borderId="2" xfId="0" applyFont="1" applyBorder="1" applyAlignment="1" applyProtection="1">
      <alignment horizontal="center" vertical="center"/>
      <protection locked="0"/>
    </xf>
    <xf numFmtId="178" fontId="133" fillId="0" borderId="2" xfId="2" applyNumberFormat="1" applyFont="1" applyFill="1" applyBorder="1" applyAlignment="1" applyProtection="1">
      <alignment vertical="center"/>
      <protection locked="0"/>
    </xf>
    <xf numFmtId="177" fontId="86" fillId="5" borderId="57" xfId="2" applyNumberFormat="1"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9" fillId="3" borderId="12" xfId="0" applyFont="1" applyFill="1" applyBorder="1" applyProtection="1">
      <alignment vertical="center"/>
      <protection locked="0"/>
    </xf>
    <xf numFmtId="0" fontId="74" fillId="3" borderId="25" xfId="0" applyFont="1" applyFill="1" applyBorder="1" applyProtection="1">
      <alignment vertical="center"/>
      <protection locked="0"/>
    </xf>
    <xf numFmtId="0" fontId="74" fillId="5" borderId="54" xfId="0" applyFont="1" applyFill="1" applyBorder="1" applyAlignment="1" applyProtection="1">
      <alignment vertical="center"/>
    </xf>
    <xf numFmtId="0" fontId="78" fillId="5" borderId="45" xfId="0" applyFont="1" applyFill="1" applyBorder="1" applyAlignment="1" applyProtection="1">
      <alignment vertical="center"/>
    </xf>
    <xf numFmtId="180" fontId="78" fillId="5" borderId="47" xfId="0" applyNumberFormat="1" applyFont="1" applyFill="1" applyBorder="1" applyAlignment="1" applyProtection="1">
      <alignment vertical="center"/>
    </xf>
    <xf numFmtId="180" fontId="78" fillId="5" borderId="44" xfId="0" applyNumberFormat="1" applyFont="1" applyFill="1" applyBorder="1" applyAlignment="1" applyProtection="1">
      <alignment vertical="center"/>
    </xf>
    <xf numFmtId="180" fontId="78" fillId="5" borderId="46" xfId="0" applyNumberFormat="1" applyFont="1" applyFill="1" applyBorder="1" applyAlignment="1" applyProtection="1">
      <alignment vertical="center"/>
    </xf>
    <xf numFmtId="49" fontId="55" fillId="0" borderId="50" xfId="0" applyNumberFormat="1" applyFont="1" applyFill="1" applyBorder="1" applyAlignment="1" applyProtection="1">
      <alignment horizontal="center" vertical="center" wrapText="1"/>
      <protection locked="0"/>
    </xf>
    <xf numFmtId="0" fontId="55" fillId="0" borderId="74" xfId="0" applyNumberFormat="1" applyFont="1" applyFill="1" applyBorder="1" applyAlignment="1" applyProtection="1">
      <alignment horizontal="center" vertical="center" wrapText="1"/>
      <protection locked="0"/>
    </xf>
    <xf numFmtId="0" fontId="133" fillId="0" borderId="74" xfId="0" applyNumberFormat="1" applyFont="1" applyFill="1" applyBorder="1" applyAlignment="1" applyProtection="1">
      <alignment horizontal="center" vertical="center" wrapText="1"/>
      <protection locked="0"/>
    </xf>
    <xf numFmtId="0" fontId="89" fillId="0" borderId="25" xfId="2" applyNumberFormat="1" applyFont="1" applyFill="1" applyBorder="1" applyAlignment="1" applyProtection="1">
      <alignment horizontal="center" vertical="center"/>
      <protection locked="0"/>
    </xf>
    <xf numFmtId="182" fontId="79" fillId="0" borderId="7" xfId="0" applyNumberFormat="1" applyFont="1" applyFill="1" applyBorder="1" applyAlignment="1" applyProtection="1">
      <alignment horizontal="center" vertical="center"/>
      <protection locked="0"/>
    </xf>
    <xf numFmtId="0" fontId="60" fillId="5" borderId="10" xfId="2" applyFont="1" applyFill="1" applyBorder="1" applyAlignment="1" applyProtection="1">
      <alignment vertical="center"/>
    </xf>
    <xf numFmtId="0" fontId="50" fillId="5" borderId="10" xfId="2" applyFont="1" applyFill="1" applyBorder="1" applyAlignment="1" applyProtection="1">
      <alignment vertical="center"/>
    </xf>
    <xf numFmtId="0" fontId="78" fillId="5" borderId="6" xfId="0" applyFont="1" applyFill="1" applyBorder="1" applyAlignment="1" applyProtection="1">
      <alignment vertical="center"/>
    </xf>
    <xf numFmtId="0" fontId="78" fillId="5" borderId="40" xfId="0" applyFont="1" applyFill="1" applyBorder="1" applyAlignment="1" applyProtection="1">
      <alignment horizontal="right" vertical="center"/>
    </xf>
    <xf numFmtId="0" fontId="88" fillId="5" borderId="57" xfId="0" applyFont="1" applyFill="1" applyBorder="1" applyAlignment="1" applyProtection="1">
      <alignment vertical="center"/>
    </xf>
    <xf numFmtId="0" fontId="78" fillId="5" borderId="2" xfId="0" applyFont="1" applyFill="1" applyBorder="1" applyProtection="1">
      <alignment vertical="center"/>
    </xf>
    <xf numFmtId="0" fontId="88" fillId="5" borderId="16" xfId="0" applyFont="1" applyFill="1" applyBorder="1" applyAlignment="1" applyProtection="1">
      <alignment vertical="center"/>
    </xf>
    <xf numFmtId="0" fontId="78" fillId="5" borderId="10" xfId="0" applyFont="1" applyFill="1" applyBorder="1" applyProtection="1">
      <alignment vertical="center"/>
    </xf>
    <xf numFmtId="0" fontId="88" fillId="5" borderId="16" xfId="0" applyFont="1" applyFill="1" applyBorder="1" applyProtection="1">
      <alignment vertical="center"/>
    </xf>
    <xf numFmtId="0" fontId="78" fillId="5" borderId="3" xfId="0" applyFont="1" applyFill="1" applyBorder="1" applyProtection="1">
      <alignment vertical="center"/>
    </xf>
    <xf numFmtId="0" fontId="88" fillId="5" borderId="14" xfId="0" applyFont="1" applyFill="1" applyBorder="1" applyAlignment="1" applyProtection="1">
      <alignment horizontal="right" vertical="center"/>
    </xf>
    <xf numFmtId="0" fontId="88" fillId="5" borderId="15" xfId="0" applyFont="1" applyFill="1" applyBorder="1" applyAlignment="1" applyProtection="1">
      <alignment horizontal="left" vertical="center"/>
    </xf>
    <xf numFmtId="0" fontId="73" fillId="5" borderId="2" xfId="0" applyFont="1" applyFill="1" applyBorder="1" applyAlignment="1" applyProtection="1">
      <alignment horizontal="right" vertical="center"/>
    </xf>
    <xf numFmtId="0" fontId="184" fillId="5" borderId="66" xfId="0" applyFont="1" applyFill="1" applyBorder="1" applyAlignment="1" applyProtection="1">
      <alignment horizontal="center" vertical="center" wrapText="1"/>
    </xf>
    <xf numFmtId="0" fontId="162" fillId="0" borderId="2" xfId="1" applyFont="1" applyBorder="1" applyAlignment="1" applyProtection="1">
      <alignment horizontal="center" vertical="center" wrapText="1"/>
      <protection locked="0"/>
    </xf>
    <xf numFmtId="0" fontId="151" fillId="0" borderId="2" xfId="1" applyFont="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51" fillId="0" borderId="2" xfId="1" applyFont="1" applyFill="1" applyBorder="1" applyAlignment="1" applyProtection="1">
      <alignment horizontal="center" vertical="center" wrapText="1"/>
      <protection locked="0"/>
    </xf>
    <xf numFmtId="0" fontId="135" fillId="0" borderId="2" xfId="1" applyFont="1" applyFill="1" applyBorder="1" applyAlignment="1" applyProtection="1">
      <alignment horizontal="center" vertical="center" wrapText="1"/>
      <protection locked="0"/>
    </xf>
    <xf numFmtId="0" fontId="166" fillId="0" borderId="2" xfId="1" applyFont="1" applyFill="1" applyBorder="1" applyAlignment="1" applyProtection="1">
      <alignment horizontal="center" vertical="center" wrapText="1"/>
      <protection locked="0"/>
    </xf>
    <xf numFmtId="0" fontId="185" fillId="5" borderId="59" xfId="3" applyFont="1" applyFill="1" applyBorder="1" applyAlignment="1" applyProtection="1">
      <alignment vertical="center"/>
    </xf>
    <xf numFmtId="0" fontId="50" fillId="5" borderId="30" xfId="3" applyFont="1" applyFill="1" applyBorder="1" applyAlignment="1" applyProtection="1">
      <alignment vertical="center"/>
    </xf>
    <xf numFmtId="0" fontId="43" fillId="5" borderId="0" xfId="3" applyFont="1" applyFill="1" applyAlignment="1" applyProtection="1">
      <alignment vertical="center" wrapText="1"/>
    </xf>
    <xf numFmtId="0" fontId="43" fillId="8" borderId="0" xfId="3" applyFont="1" applyFill="1" applyAlignment="1" applyProtection="1">
      <alignment vertical="center" wrapText="1"/>
    </xf>
    <xf numFmtId="0" fontId="43" fillId="8" borderId="0" xfId="3" applyFont="1" applyFill="1" applyAlignment="1" applyProtection="1">
      <alignment horizontal="center" vertical="center" wrapText="1"/>
    </xf>
    <xf numFmtId="0" fontId="43" fillId="0" borderId="0" xfId="3" applyFont="1" applyAlignment="1" applyProtection="1">
      <alignment horizontal="center" vertical="center" wrapText="1"/>
    </xf>
    <xf numFmtId="0" fontId="43" fillId="0" borderId="0" xfId="3" applyFont="1" applyAlignment="1" applyProtection="1">
      <alignment vertical="center" wrapText="1"/>
    </xf>
    <xf numFmtId="0" fontId="50" fillId="5" borderId="2" xfId="3" applyFont="1" applyFill="1" applyBorder="1" applyAlignment="1" applyProtection="1">
      <alignment vertical="center"/>
    </xf>
    <xf numFmtId="0" fontId="50" fillId="5" borderId="5" xfId="3" applyFont="1" applyFill="1" applyBorder="1" applyAlignment="1" applyProtection="1">
      <alignment vertical="center"/>
    </xf>
    <xf numFmtId="0" fontId="43" fillId="5" borderId="2" xfId="3" applyNumberFormat="1" applyFont="1" applyFill="1" applyBorder="1" applyAlignment="1" applyProtection="1">
      <alignment horizontal="left" vertical="center" wrapText="1"/>
    </xf>
    <xf numFmtId="0" fontId="43" fillId="6" borderId="2" xfId="3" applyNumberFormat="1" applyFont="1" applyFill="1" applyBorder="1" applyAlignment="1" applyProtection="1">
      <alignment horizontal="center" vertical="center" wrapText="1"/>
      <protection locked="0"/>
    </xf>
    <xf numFmtId="0" fontId="43" fillId="5" borderId="0" xfId="3" applyNumberFormat="1" applyFont="1" applyFill="1" applyAlignment="1" applyProtection="1">
      <alignment vertical="center" wrapText="1"/>
    </xf>
    <xf numFmtId="0" fontId="50" fillId="5" borderId="10" xfId="3" applyFont="1" applyFill="1" applyBorder="1" applyAlignment="1" applyProtection="1">
      <alignment vertical="center"/>
    </xf>
    <xf numFmtId="0" fontId="43" fillId="6" borderId="2" xfId="3" applyNumberFormat="1" applyFont="1" applyFill="1" applyBorder="1" applyAlignment="1" applyProtection="1">
      <alignment vertical="center" wrapText="1"/>
      <protection locked="0"/>
    </xf>
    <xf numFmtId="0" fontId="43" fillId="6" borderId="2" xfId="0" applyFont="1" applyFill="1" applyBorder="1" applyAlignment="1" applyProtection="1">
      <alignment horizontal="left" vertical="center"/>
      <protection locked="0"/>
    </xf>
    <xf numFmtId="0" fontId="43" fillId="5" borderId="2" xfId="3" applyFont="1" applyFill="1" applyBorder="1" applyAlignment="1" applyProtection="1">
      <alignment horizontal="left" vertical="center" wrapText="1"/>
    </xf>
    <xf numFmtId="0" fontId="60" fillId="5" borderId="10" xfId="3" applyFont="1" applyFill="1" applyBorder="1" applyAlignment="1" applyProtection="1">
      <alignment horizontal="left" vertical="center" wrapText="1"/>
    </xf>
    <xf numFmtId="0" fontId="60" fillId="5" borderId="14" xfId="3" applyFont="1" applyFill="1" applyBorder="1" applyAlignment="1" applyProtection="1">
      <alignment vertical="center" wrapText="1"/>
    </xf>
    <xf numFmtId="0" fontId="61" fillId="5" borderId="14" xfId="3" applyFont="1" applyFill="1" applyBorder="1" applyAlignment="1" applyProtection="1">
      <alignment vertical="center" wrapText="1"/>
    </xf>
    <xf numFmtId="0" fontId="61" fillId="5" borderId="32" xfId="3" applyFont="1" applyFill="1" applyBorder="1" applyAlignment="1" applyProtection="1">
      <alignment vertical="center" wrapText="1"/>
    </xf>
    <xf numFmtId="0" fontId="61" fillId="8" borderId="0" xfId="3" applyFont="1" applyFill="1" applyAlignment="1" applyProtection="1">
      <alignment horizontal="center" vertical="center" wrapText="1"/>
    </xf>
    <xf numFmtId="0" fontId="61" fillId="0" borderId="0" xfId="3" applyFont="1" applyAlignment="1" applyProtection="1">
      <alignment horizontal="center" vertical="center" wrapText="1"/>
    </xf>
    <xf numFmtId="0" fontId="61" fillId="0" borderId="0" xfId="3" applyFont="1" applyAlignment="1" applyProtection="1">
      <alignment vertical="center" wrapText="1"/>
    </xf>
    <xf numFmtId="0" fontId="45" fillId="5" borderId="37" xfId="3" applyFont="1" applyFill="1" applyBorder="1" applyAlignment="1" applyProtection="1">
      <alignment horizontal="left" vertical="center" wrapText="1"/>
    </xf>
    <xf numFmtId="0" fontId="187" fillId="5" borderId="49" xfId="3" applyFont="1" applyFill="1" applyBorder="1" applyAlignment="1" applyProtection="1">
      <alignment vertical="center"/>
    </xf>
    <xf numFmtId="0" fontId="45" fillId="5" borderId="37" xfId="3" applyFont="1" applyFill="1" applyBorder="1" applyAlignment="1" applyProtection="1">
      <alignment horizontal="center" vertical="center" wrapText="1"/>
    </xf>
    <xf numFmtId="0" fontId="43" fillId="5" borderId="37" xfId="3" applyFont="1" applyFill="1" applyBorder="1" applyAlignment="1" applyProtection="1">
      <alignment vertical="center" wrapText="1"/>
    </xf>
    <xf numFmtId="0" fontId="43" fillId="5" borderId="38" xfId="3" applyFont="1" applyFill="1" applyBorder="1" applyAlignment="1" applyProtection="1">
      <alignment vertical="center" wrapText="1"/>
    </xf>
    <xf numFmtId="0" fontId="45" fillId="5" borderId="6" xfId="3" applyFont="1" applyFill="1" applyBorder="1" applyAlignment="1" applyProtection="1">
      <alignment horizontal="left" vertical="center" wrapText="1"/>
    </xf>
    <xf numFmtId="0" fontId="43" fillId="5" borderId="6" xfId="3" applyFont="1" applyFill="1" applyBorder="1" applyAlignment="1" applyProtection="1">
      <alignment horizontal="center" vertical="center" wrapText="1"/>
    </xf>
    <xf numFmtId="0" fontId="43" fillId="5" borderId="28"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43" fillId="5" borderId="39" xfId="3" applyFont="1" applyFill="1" applyBorder="1" applyAlignment="1" applyProtection="1">
      <alignment vertical="center" wrapText="1"/>
    </xf>
    <xf numFmtId="0" fontId="43" fillId="5" borderId="5" xfId="3" applyFont="1" applyFill="1" applyBorder="1" applyAlignment="1" applyProtection="1">
      <alignment vertical="center"/>
    </xf>
    <xf numFmtId="0" fontId="43" fillId="5" borderId="8" xfId="3" applyFont="1" applyFill="1" applyBorder="1" applyAlignment="1" applyProtection="1">
      <alignment vertical="center" wrapText="1"/>
    </xf>
    <xf numFmtId="0" fontId="43" fillId="5" borderId="16" xfId="3" applyFont="1" applyFill="1" applyBorder="1" applyAlignment="1" applyProtection="1">
      <alignment vertical="center" wrapText="1"/>
    </xf>
    <xf numFmtId="0" fontId="43" fillId="5" borderId="10" xfId="3" applyFont="1" applyFill="1" applyBorder="1" applyAlignment="1" applyProtection="1">
      <alignment horizontal="left" vertical="center" wrapText="1"/>
    </xf>
    <xf numFmtId="0" fontId="43" fillId="5" borderId="4" xfId="3" applyFont="1" applyFill="1" applyBorder="1" applyAlignment="1" applyProtection="1">
      <alignment vertical="center"/>
    </xf>
    <xf numFmtId="0" fontId="43" fillId="5" borderId="14" xfId="3" applyFont="1" applyFill="1" applyBorder="1" applyAlignment="1" applyProtection="1">
      <alignment vertical="center" wrapText="1"/>
    </xf>
    <xf numFmtId="0" fontId="43" fillId="5" borderId="15" xfId="3" applyFont="1" applyFill="1" applyBorder="1" applyAlignment="1" applyProtection="1">
      <alignment vertical="center" wrapText="1"/>
    </xf>
    <xf numFmtId="0" fontId="45" fillId="5" borderId="27" xfId="3" applyFont="1" applyFill="1" applyBorder="1" applyAlignment="1" applyProtection="1">
      <alignment horizontal="left" vertical="center" wrapText="1"/>
    </xf>
    <xf numFmtId="0" fontId="43" fillId="5" borderId="29" xfId="3" applyFont="1" applyFill="1" applyBorder="1" applyAlignment="1" applyProtection="1">
      <alignment vertical="center"/>
    </xf>
    <xf numFmtId="0" fontId="43" fillId="5" borderId="30" xfId="3" applyFont="1" applyFill="1" applyBorder="1" applyAlignment="1" applyProtection="1">
      <alignment horizontal="center" vertical="center" wrapText="1"/>
    </xf>
    <xf numFmtId="0" fontId="43" fillId="5" borderId="30" xfId="3" applyFont="1" applyFill="1" applyBorder="1" applyAlignment="1" applyProtection="1">
      <alignment vertical="center" wrapText="1"/>
    </xf>
    <xf numFmtId="0" fontId="43" fillId="5" borderId="57" xfId="3" applyFont="1" applyFill="1" applyBorder="1" applyAlignment="1" applyProtection="1">
      <alignment vertical="center" wrapText="1"/>
    </xf>
    <xf numFmtId="0" fontId="168" fillId="5" borderId="10" xfId="3" applyFont="1" applyFill="1" applyBorder="1" applyAlignment="1" applyProtection="1">
      <alignment horizontal="left" vertical="center" wrapText="1"/>
    </xf>
    <xf numFmtId="0" fontId="168" fillId="5" borderId="9" xfId="3" applyFont="1" applyFill="1" applyBorder="1" applyAlignment="1" applyProtection="1">
      <alignment horizontal="center" vertical="center" wrapText="1"/>
    </xf>
    <xf numFmtId="0" fontId="52" fillId="5" borderId="21" xfId="3" applyFont="1" applyFill="1" applyBorder="1" applyAlignment="1" applyProtection="1">
      <alignment horizontal="center" vertical="center" wrapText="1"/>
    </xf>
    <xf numFmtId="0" fontId="43" fillId="0" borderId="2" xfId="3" applyFont="1" applyFill="1" applyBorder="1" applyAlignment="1" applyProtection="1">
      <alignment horizontal="center" vertical="center"/>
      <protection locked="0"/>
    </xf>
    <xf numFmtId="0" fontId="43" fillId="0" borderId="2" xfId="3" applyFont="1" applyBorder="1" applyAlignment="1" applyProtection="1">
      <alignment horizontal="center" vertical="center" wrapText="1"/>
      <protection locked="0"/>
    </xf>
    <xf numFmtId="0" fontId="43" fillId="0" borderId="2" xfId="3" applyFont="1" applyFill="1" applyBorder="1" applyAlignment="1" applyProtection="1">
      <alignment horizontal="center" vertical="center" wrapText="1"/>
      <protection locked="0"/>
    </xf>
    <xf numFmtId="0" fontId="43" fillId="0" borderId="12" xfId="3" applyFont="1" applyFill="1" applyBorder="1" applyAlignment="1" applyProtection="1">
      <alignment horizontal="center" vertical="center" wrapText="1"/>
      <protection locked="0"/>
    </xf>
    <xf numFmtId="0" fontId="168" fillId="5" borderId="21" xfId="3" applyFont="1" applyFill="1" applyBorder="1" applyAlignment="1" applyProtection="1">
      <alignment horizontal="left" vertical="center" wrapText="1"/>
    </xf>
    <xf numFmtId="0" fontId="168" fillId="6" borderId="9" xfId="3" applyFont="1" applyFill="1" applyBorder="1" applyAlignment="1" applyProtection="1">
      <alignment horizontal="center" vertical="center" wrapText="1"/>
      <protection locked="0"/>
    </xf>
    <xf numFmtId="0" fontId="168" fillId="6" borderId="2" xfId="3" applyFont="1" applyFill="1" applyBorder="1" applyAlignment="1" applyProtection="1">
      <alignment horizontal="center" vertical="center" wrapText="1"/>
      <protection locked="0"/>
    </xf>
    <xf numFmtId="0" fontId="168" fillId="6" borderId="21" xfId="3" applyFont="1" applyFill="1" applyBorder="1" applyAlignment="1" applyProtection="1">
      <alignment horizontal="center" vertical="center" wrapText="1"/>
      <protection locked="0"/>
    </xf>
    <xf numFmtId="0" fontId="57" fillId="5" borderId="17" xfId="3" applyFont="1" applyFill="1" applyBorder="1" applyAlignment="1" applyProtection="1">
      <alignment vertical="center"/>
    </xf>
    <xf numFmtId="0" fontId="43" fillId="5" borderId="0" xfId="3" applyFont="1" applyFill="1" applyBorder="1" applyAlignment="1" applyProtection="1">
      <alignment vertical="center" wrapText="1"/>
    </xf>
    <xf numFmtId="0" fontId="187" fillId="5" borderId="19" xfId="3" applyFont="1" applyFill="1" applyBorder="1" applyAlignment="1" applyProtection="1">
      <alignment vertical="center"/>
    </xf>
    <xf numFmtId="0" fontId="187" fillId="5" borderId="63" xfId="3" applyFont="1" applyFill="1" applyBorder="1" applyAlignment="1" applyProtection="1">
      <alignment vertical="center"/>
    </xf>
    <xf numFmtId="0" fontId="43" fillId="6" borderId="6" xfId="3" applyFont="1" applyFill="1" applyBorder="1" applyAlignment="1" applyProtection="1">
      <alignment horizontal="center" vertical="center" wrapText="1"/>
      <protection locked="0"/>
    </xf>
    <xf numFmtId="0" fontId="43" fillId="5" borderId="11" xfId="3" applyFont="1" applyFill="1" applyBorder="1" applyAlignment="1" applyProtection="1">
      <alignment horizontal="center" vertical="center" wrapText="1"/>
    </xf>
    <xf numFmtId="9" fontId="43" fillId="5" borderId="43" xfId="3" applyNumberFormat="1" applyFont="1" applyFill="1" applyBorder="1" applyAlignment="1" applyProtection="1">
      <alignment horizontal="center" vertical="center" wrapText="1"/>
    </xf>
    <xf numFmtId="0" fontId="60" fillId="5" borderId="83" xfId="3" applyFont="1" applyFill="1" applyBorder="1" applyAlignment="1" applyProtection="1">
      <alignment horizontal="left" vertical="center" wrapText="1"/>
    </xf>
    <xf numFmtId="0" fontId="61" fillId="5" borderId="38" xfId="3" applyFont="1" applyFill="1" applyBorder="1" applyAlignment="1" applyProtection="1">
      <alignment vertical="center" wrapText="1"/>
    </xf>
    <xf numFmtId="0" fontId="61" fillId="8" borderId="0" xfId="3" applyFont="1" applyFill="1" applyAlignment="1" applyProtection="1">
      <alignment vertical="center" wrapText="1"/>
    </xf>
    <xf numFmtId="10" fontId="43" fillId="8" borderId="0" xfId="3" applyNumberFormat="1" applyFont="1" applyFill="1" applyAlignment="1" applyProtection="1">
      <alignment horizontal="center" vertical="center" wrapText="1"/>
    </xf>
    <xf numFmtId="0" fontId="61" fillId="5" borderId="83" xfId="3" applyFont="1" applyFill="1" applyBorder="1" applyAlignment="1" applyProtection="1">
      <alignment horizontal="center" vertical="center" wrapText="1"/>
    </xf>
    <xf numFmtId="0" fontId="61" fillId="6" borderId="83" xfId="3" applyFont="1" applyFill="1" applyBorder="1" applyAlignment="1" applyProtection="1">
      <alignment horizontal="center" vertical="center" wrapText="1"/>
      <protection locked="0"/>
    </xf>
    <xf numFmtId="0" fontId="43" fillId="5" borderId="7" xfId="3" applyFont="1" applyFill="1" applyBorder="1" applyAlignment="1" applyProtection="1">
      <alignment horizontal="center" vertical="center" wrapText="1"/>
    </xf>
    <xf numFmtId="10" fontId="43" fillId="0" borderId="0" xfId="3" applyNumberFormat="1" applyFont="1" applyAlignment="1" applyProtection="1">
      <alignment horizontal="center" vertical="center" wrapText="1"/>
    </xf>
    <xf numFmtId="0" fontId="61" fillId="5" borderId="11" xfId="3" applyFont="1" applyFill="1" applyBorder="1" applyAlignment="1" applyProtection="1">
      <alignment horizontal="center" vertical="center" wrapText="1"/>
    </xf>
    <xf numFmtId="0" fontId="60" fillId="5" borderId="21" xfId="3" applyFont="1" applyFill="1" applyBorder="1" applyAlignment="1" applyProtection="1">
      <alignment horizontal="center" vertical="center" wrapText="1"/>
    </xf>
    <xf numFmtId="0" fontId="60" fillId="6" borderId="21" xfId="3" applyFont="1" applyFill="1" applyBorder="1" applyAlignment="1" applyProtection="1">
      <alignment horizontal="left" vertical="center" wrapText="1"/>
      <protection locked="0"/>
    </xf>
    <xf numFmtId="0" fontId="61" fillId="5" borderId="0" xfId="3" applyFont="1" applyFill="1" applyAlignment="1" applyProtection="1">
      <alignment vertical="center" wrapText="1"/>
    </xf>
    <xf numFmtId="0" fontId="61" fillId="5" borderId="21" xfId="3" applyFont="1" applyFill="1" applyBorder="1" applyAlignment="1" applyProtection="1">
      <alignment vertical="center" wrapText="1"/>
    </xf>
    <xf numFmtId="0" fontId="61" fillId="5" borderId="2" xfId="3" applyFont="1" applyFill="1" applyBorder="1" applyAlignment="1" applyProtection="1">
      <alignment horizontal="left" vertical="center" wrapText="1"/>
    </xf>
    <xf numFmtId="0" fontId="60" fillId="5" borderId="53" xfId="3" applyFont="1" applyFill="1" applyBorder="1" applyAlignment="1" applyProtection="1">
      <alignment horizontal="center" vertical="center" wrapText="1"/>
    </xf>
    <xf numFmtId="0" fontId="60" fillId="5" borderId="29" xfId="3" applyFont="1" applyFill="1" applyBorder="1" applyAlignment="1" applyProtection="1">
      <alignment horizontal="left" vertical="center" wrapText="1"/>
    </xf>
    <xf numFmtId="0" fontId="45" fillId="5" borderId="30" xfId="3" applyFont="1" applyFill="1" applyBorder="1" applyAlignment="1" applyProtection="1">
      <alignment horizontal="center" vertical="center" wrapText="1"/>
    </xf>
    <xf numFmtId="0" fontId="45" fillId="5" borderId="28" xfId="3" applyFont="1" applyFill="1" applyBorder="1" applyAlignment="1" applyProtection="1">
      <alignment vertical="center" wrapText="1"/>
    </xf>
    <xf numFmtId="0" fontId="60" fillId="5" borderId="24" xfId="3" applyFont="1" applyFill="1" applyBorder="1" applyAlignment="1" applyProtection="1">
      <alignment horizontal="center" vertical="center" wrapText="1"/>
    </xf>
    <xf numFmtId="0" fontId="43" fillId="5" borderId="13" xfId="3" applyFont="1" applyFill="1" applyBorder="1" applyAlignment="1" applyProtection="1">
      <alignment vertical="center" wrapText="1"/>
    </xf>
    <xf numFmtId="0" fontId="45" fillId="5" borderId="0" xfId="3" applyFont="1" applyFill="1" applyBorder="1" applyAlignment="1" applyProtection="1">
      <alignment vertical="center" wrapText="1"/>
    </xf>
    <xf numFmtId="0" fontId="43" fillId="5" borderId="65" xfId="3" applyFont="1" applyFill="1" applyBorder="1" applyAlignment="1" applyProtection="1">
      <alignment vertical="center" wrapText="1"/>
    </xf>
    <xf numFmtId="0" fontId="61" fillId="5" borderId="0" xfId="3" applyFont="1" applyFill="1" applyBorder="1" applyAlignment="1" applyProtection="1">
      <alignment horizontal="left" vertical="center" wrapText="1"/>
    </xf>
    <xf numFmtId="0" fontId="43" fillId="5" borderId="68"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5" fillId="5" borderId="61" xfId="3" applyFont="1" applyFill="1" applyBorder="1" applyAlignment="1" applyProtection="1">
      <alignment vertical="center" wrapText="1"/>
    </xf>
    <xf numFmtId="0" fontId="43" fillId="5" borderId="66" xfId="3" applyFont="1" applyFill="1" applyBorder="1" applyAlignment="1" applyProtection="1">
      <alignment vertical="center" wrapText="1"/>
    </xf>
    <xf numFmtId="0" fontId="45" fillId="5" borderId="42" xfId="3" applyFont="1" applyFill="1" applyBorder="1" applyAlignment="1" applyProtection="1">
      <alignment vertical="center" wrapText="1"/>
    </xf>
    <xf numFmtId="0" fontId="60" fillId="5" borderId="6" xfId="3" applyFont="1" applyFill="1" applyBorder="1" applyAlignment="1" applyProtection="1">
      <alignment horizontal="center" vertical="center" wrapText="1"/>
    </xf>
    <xf numFmtId="0" fontId="60" fillId="5" borderId="29" xfId="3" applyFont="1" applyFill="1" applyBorder="1" applyAlignment="1" applyProtection="1">
      <alignment horizontal="center" vertical="center" wrapText="1"/>
    </xf>
    <xf numFmtId="0" fontId="45" fillId="5" borderId="29" xfId="3" applyFont="1" applyFill="1" applyBorder="1" applyAlignment="1" applyProtection="1">
      <alignment vertical="center" wrapText="1"/>
    </xf>
    <xf numFmtId="0" fontId="43" fillId="5" borderId="24" xfId="3" applyFont="1" applyFill="1" applyBorder="1" applyAlignment="1" applyProtection="1">
      <alignment horizontal="center" vertical="center" wrapText="1"/>
    </xf>
    <xf numFmtId="0" fontId="43" fillId="5" borderId="9" xfId="3" applyFont="1" applyFill="1" applyBorder="1" applyAlignment="1" applyProtection="1">
      <alignment horizontal="left" vertical="center" wrapText="1"/>
    </xf>
    <xf numFmtId="0" fontId="43" fillId="0" borderId="2" xfId="3" applyFont="1" applyBorder="1" applyAlignment="1" applyProtection="1">
      <alignment vertical="center" wrapText="1"/>
      <protection locked="0"/>
    </xf>
    <xf numFmtId="0" fontId="168" fillId="5" borderId="5" xfId="3" applyFont="1" applyFill="1" applyBorder="1" applyAlignment="1" applyProtection="1">
      <alignment vertical="center"/>
    </xf>
    <xf numFmtId="0" fontId="168" fillId="5" borderId="8" xfId="3" applyFont="1" applyFill="1" applyBorder="1" applyAlignment="1" applyProtection="1">
      <alignment vertical="center"/>
    </xf>
    <xf numFmtId="0" fontId="168" fillId="5" borderId="16" xfId="3" applyFont="1" applyFill="1" applyBorder="1" applyAlignment="1" applyProtection="1">
      <alignment vertical="center"/>
    </xf>
    <xf numFmtId="0" fontId="45" fillId="5" borderId="23" xfId="3" applyFont="1" applyFill="1" applyBorder="1" applyAlignment="1" applyProtection="1">
      <alignment vertical="center" wrapText="1"/>
    </xf>
    <xf numFmtId="0" fontId="43" fillId="5" borderId="47" xfId="3" applyFont="1" applyFill="1" applyBorder="1" applyAlignment="1" applyProtection="1">
      <alignment horizontal="left" vertical="center" wrapText="1"/>
    </xf>
    <xf numFmtId="0" fontId="43" fillId="0" borderId="44" xfId="3" applyFont="1" applyBorder="1" applyAlignment="1" applyProtection="1">
      <alignment vertical="center" wrapText="1"/>
      <protection locked="0"/>
    </xf>
    <xf numFmtId="0" fontId="43" fillId="5" borderId="44" xfId="3" applyFont="1" applyFill="1" applyBorder="1" applyAlignment="1" applyProtection="1">
      <alignment vertical="center"/>
    </xf>
    <xf numFmtId="0" fontId="43" fillId="5" borderId="56" xfId="3" applyFont="1" applyFill="1" applyBorder="1" applyAlignment="1" applyProtection="1">
      <alignment vertical="center" wrapText="1"/>
    </xf>
    <xf numFmtId="0" fontId="43" fillId="5" borderId="48" xfId="3" applyFont="1" applyFill="1" applyBorder="1" applyAlignment="1" applyProtection="1">
      <alignment vertical="center" wrapText="1"/>
    </xf>
    <xf numFmtId="0" fontId="45" fillId="5" borderId="53" xfId="3" applyFont="1" applyFill="1" applyBorder="1" applyAlignment="1" applyProtection="1">
      <alignment vertical="center" wrapText="1"/>
    </xf>
    <xf numFmtId="0" fontId="45" fillId="5" borderId="58" xfId="3" applyFont="1" applyFill="1" applyBorder="1" applyAlignment="1" applyProtection="1">
      <alignment horizontal="left" vertical="center" wrapText="1"/>
    </xf>
    <xf numFmtId="0" fontId="43" fillId="5" borderId="30" xfId="3" applyFont="1" applyFill="1" applyBorder="1" applyAlignment="1" applyProtection="1">
      <alignment vertical="center"/>
    </xf>
    <xf numFmtId="0" fontId="43" fillId="5" borderId="42" xfId="3" applyFont="1" applyFill="1" applyBorder="1" applyAlignment="1" applyProtection="1">
      <alignment vertical="center"/>
    </xf>
    <xf numFmtId="0" fontId="45" fillId="5" borderId="20" xfId="3" applyFont="1" applyFill="1" applyBorder="1" applyAlignment="1" applyProtection="1">
      <alignment vertical="center" wrapText="1"/>
    </xf>
    <xf numFmtId="0" fontId="60" fillId="5" borderId="9" xfId="3" applyFont="1" applyFill="1" applyBorder="1" applyAlignment="1" applyProtection="1">
      <alignment horizontal="center" vertical="center" wrapText="1"/>
    </xf>
    <xf numFmtId="0" fontId="60" fillId="5" borderId="2" xfId="3" applyFont="1" applyFill="1" applyBorder="1" applyAlignment="1" applyProtection="1">
      <alignment horizontal="center" vertical="center" wrapText="1"/>
    </xf>
    <xf numFmtId="0" fontId="43" fillId="5" borderId="2" xfId="3" applyFont="1" applyFill="1" applyBorder="1" applyAlignment="1" applyProtection="1">
      <alignment vertical="center" wrapText="1"/>
    </xf>
    <xf numFmtId="0" fontId="43" fillId="5" borderId="51" xfId="3" applyFont="1" applyFill="1" applyBorder="1" applyAlignment="1" applyProtection="1">
      <alignment vertical="center"/>
    </xf>
    <xf numFmtId="0" fontId="45" fillId="5" borderId="24" xfId="3" applyFont="1" applyFill="1" applyBorder="1" applyAlignment="1" applyProtection="1">
      <alignment vertical="center" wrapText="1"/>
    </xf>
    <xf numFmtId="0" fontId="168" fillId="5" borderId="20" xfId="3" applyFont="1" applyFill="1" applyBorder="1" applyAlignment="1" applyProtection="1">
      <alignment horizontal="center" vertical="center" wrapText="1"/>
    </xf>
    <xf numFmtId="0" fontId="43" fillId="5" borderId="65" xfId="3" applyFont="1" applyFill="1" applyBorder="1" applyAlignment="1" applyProtection="1">
      <alignment horizontal="center" vertical="center" wrapText="1"/>
    </xf>
    <xf numFmtId="0" fontId="168" fillId="5" borderId="47" xfId="3" applyFont="1" applyFill="1" applyBorder="1" applyAlignment="1" applyProtection="1">
      <alignment horizontal="center" vertical="center" wrapText="1"/>
    </xf>
    <xf numFmtId="0" fontId="43" fillId="5" borderId="66" xfId="3" applyFont="1" applyFill="1" applyBorder="1" applyAlignment="1" applyProtection="1">
      <alignment horizontal="center" vertical="center" wrapText="1"/>
    </xf>
    <xf numFmtId="0" fontId="43" fillId="0" borderId="0" xfId="3" applyFont="1" applyAlignment="1" applyProtection="1">
      <alignment horizontal="left" vertical="center" wrapText="1"/>
    </xf>
    <xf numFmtId="0" fontId="89" fillId="6" borderId="2" xfId="3" applyFont="1" applyFill="1" applyBorder="1" applyAlignment="1" applyProtection="1">
      <alignment horizontal="center" vertical="center" wrapText="1"/>
      <protection locked="0"/>
    </xf>
    <xf numFmtId="0" fontId="89" fillId="5" borderId="0" xfId="3" applyFont="1" applyFill="1" applyAlignment="1" applyProtection="1">
      <alignment vertical="center" wrapText="1"/>
    </xf>
    <xf numFmtId="186" fontId="89" fillId="5" borderId="3" xfId="3" applyNumberFormat="1" applyFont="1" applyFill="1" applyBorder="1" applyAlignment="1" applyProtection="1">
      <alignment horizontal="center" vertical="center" wrapText="1"/>
    </xf>
    <xf numFmtId="186" fontId="89" fillId="5" borderId="13" xfId="3" applyNumberFormat="1" applyFont="1" applyFill="1" applyBorder="1" applyAlignment="1" applyProtection="1">
      <alignment horizontal="center" vertical="center" wrapText="1"/>
    </xf>
    <xf numFmtId="0" fontId="89" fillId="5" borderId="9" xfId="3" applyFont="1" applyFill="1" applyBorder="1" applyAlignment="1" applyProtection="1">
      <alignment vertical="center" wrapText="1"/>
    </xf>
    <xf numFmtId="0" fontId="87" fillId="5" borderId="2" xfId="3" applyFont="1" applyFill="1" applyBorder="1" applyAlignment="1" applyProtection="1">
      <alignment vertical="center" wrapText="1"/>
    </xf>
    <xf numFmtId="0" fontId="89" fillId="5" borderId="14" xfId="3" applyFont="1" applyFill="1" applyBorder="1" applyAlignment="1" applyProtection="1">
      <alignment vertical="center"/>
    </xf>
    <xf numFmtId="0" fontId="87" fillId="5" borderId="10" xfId="3" applyFont="1" applyFill="1" applyBorder="1" applyAlignment="1" applyProtection="1">
      <alignment vertical="center" wrapText="1"/>
    </xf>
    <xf numFmtId="0" fontId="89" fillId="0" borderId="2" xfId="3" applyFont="1" applyBorder="1" applyAlignment="1" applyProtection="1">
      <alignment vertical="center" wrapText="1"/>
      <protection locked="0"/>
    </xf>
    <xf numFmtId="0" fontId="89" fillId="0" borderId="44" xfId="3" applyFont="1" applyBorder="1" applyAlignment="1" applyProtection="1">
      <alignment vertical="center" wrapText="1"/>
      <protection locked="0"/>
    </xf>
    <xf numFmtId="9" fontId="89" fillId="5" borderId="12" xfId="3" applyNumberFormat="1" applyFont="1" applyFill="1" applyBorder="1" applyAlignment="1" applyProtection="1">
      <alignment horizontal="center" vertical="center" wrapText="1"/>
    </xf>
    <xf numFmtId="10" fontId="89" fillId="5" borderId="44" xfId="3" applyNumberFormat="1" applyFont="1" applyFill="1" applyBorder="1" applyAlignment="1" applyProtection="1">
      <alignment horizontal="center" vertical="center" wrapText="1"/>
    </xf>
    <xf numFmtId="10" fontId="89" fillId="5" borderId="46" xfId="3" applyNumberFormat="1" applyFont="1" applyFill="1" applyBorder="1" applyAlignment="1" applyProtection="1">
      <alignment horizontal="center" vertical="center" wrapText="1"/>
    </xf>
    <xf numFmtId="10" fontId="87" fillId="0" borderId="9" xfId="3" applyNumberFormat="1" applyFont="1" applyFill="1" applyBorder="1" applyAlignment="1" applyProtection="1">
      <alignment horizontal="center" vertical="center" wrapText="1"/>
      <protection locked="0"/>
    </xf>
    <xf numFmtId="0" fontId="89" fillId="5" borderId="26" xfId="3" applyFont="1" applyFill="1" applyBorder="1" applyAlignment="1" applyProtection="1">
      <alignment vertical="center"/>
    </xf>
    <xf numFmtId="0" fontId="89" fillId="5" borderId="39" xfId="3" applyFont="1" applyFill="1" applyBorder="1" applyAlignment="1" applyProtection="1">
      <alignment vertical="center" wrapText="1"/>
    </xf>
    <xf numFmtId="0" fontId="89" fillId="5" borderId="11" xfId="3" applyFont="1" applyFill="1" applyBorder="1" applyAlignment="1" applyProtection="1">
      <alignment vertical="center"/>
    </xf>
    <xf numFmtId="9" fontId="89" fillId="5" borderId="12" xfId="3" applyNumberFormat="1" applyFont="1" applyFill="1" applyBorder="1" applyAlignment="1" applyProtection="1">
      <alignment horizontal="center" vertical="center"/>
    </xf>
    <xf numFmtId="0" fontId="89" fillId="5" borderId="43" xfId="3" applyFont="1" applyFill="1" applyBorder="1" applyAlignment="1" applyProtection="1">
      <alignment vertical="center" wrapText="1"/>
    </xf>
    <xf numFmtId="9" fontId="89" fillId="5" borderId="46" xfId="3" applyNumberFormat="1" applyFont="1" applyFill="1" applyBorder="1" applyAlignment="1" applyProtection="1">
      <alignment horizontal="center" vertical="center" wrapText="1"/>
    </xf>
    <xf numFmtId="0" fontId="170" fillId="5" borderId="0" xfId="0" applyFont="1" applyFill="1" applyBorder="1" applyAlignment="1" applyProtection="1">
      <alignment horizontal="center" vertical="center" wrapText="1"/>
    </xf>
    <xf numFmtId="0" fontId="170" fillId="5" borderId="0" xfId="0" applyFont="1" applyFill="1" applyBorder="1" applyAlignment="1" applyProtection="1">
      <alignment horizontal="center" vertical="center"/>
      <protection locked="0"/>
    </xf>
    <xf numFmtId="0" fontId="170" fillId="5" borderId="0" xfId="0" applyFont="1" applyFill="1" applyAlignment="1" applyProtection="1">
      <alignment horizontal="center" vertical="center"/>
      <protection locked="0"/>
    </xf>
    <xf numFmtId="0" fontId="55" fillId="5" borderId="0" xfId="0" applyFont="1" applyFill="1" applyBorder="1" applyAlignment="1" applyProtection="1">
      <alignment horizontal="center" vertical="center"/>
      <protection locked="0"/>
    </xf>
    <xf numFmtId="0" fontId="152" fillId="5" borderId="0" xfId="0" applyFont="1" applyFill="1" applyBorder="1" applyAlignment="1" applyProtection="1">
      <alignment horizontal="center" vertical="center"/>
      <protection locked="0"/>
    </xf>
    <xf numFmtId="0" fontId="162" fillId="5" borderId="2" xfId="0" applyFont="1" applyFill="1" applyBorder="1" applyAlignment="1" applyProtection="1">
      <alignment horizontal="center" vertical="center"/>
    </xf>
    <xf numFmtId="0" fontId="155" fillId="5" borderId="2"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155" fillId="0" borderId="2" xfId="0" applyFont="1" applyFill="1" applyBorder="1" applyAlignment="1" applyProtection="1">
      <alignment horizontal="center" vertical="center"/>
      <protection locked="0"/>
    </xf>
    <xf numFmtId="0" fontId="87" fillId="5" borderId="0" xfId="0" applyFont="1" applyFill="1" applyAlignment="1" applyProtection="1">
      <alignment horizontal="center" vertical="center"/>
    </xf>
    <xf numFmtId="0" fontId="23" fillId="6" borderId="6" xfId="0" applyFont="1" applyFill="1" applyBorder="1" applyAlignment="1" applyProtection="1">
      <alignment horizontal="center" vertical="center"/>
      <protection locked="0"/>
    </xf>
    <xf numFmtId="0" fontId="160" fillId="5" borderId="0" xfId="0" applyFont="1" applyFill="1" applyAlignment="1" applyProtection="1">
      <alignment horizontal="left" vertical="center"/>
    </xf>
    <xf numFmtId="182" fontId="104" fillId="5" borderId="14" xfId="0" applyNumberFormat="1" applyFont="1" applyFill="1" applyBorder="1" applyAlignment="1" applyProtection="1">
      <alignment vertical="center"/>
    </xf>
    <xf numFmtId="0" fontId="104" fillId="5" borderId="14"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104" fillId="5" borderId="19"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187" fontId="74" fillId="5" borderId="5" xfId="0" applyNumberFormat="1" applyFont="1" applyFill="1" applyBorder="1" applyAlignment="1" applyProtection="1">
      <alignment horizontal="center" vertical="center"/>
    </xf>
    <xf numFmtId="49" fontId="74" fillId="5" borderId="9" xfId="0" applyNumberFormat="1"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xf>
    <xf numFmtId="0" fontId="87" fillId="5" borderId="2" xfId="0" applyFont="1" applyFill="1" applyBorder="1" applyAlignment="1" applyProtection="1">
      <alignment horizontal="center" vertical="center" wrapText="1"/>
    </xf>
    <xf numFmtId="187" fontId="87" fillId="5" borderId="5" xfId="0" applyNumberFormat="1" applyFont="1" applyFill="1" applyBorder="1" applyAlignment="1" applyProtection="1">
      <alignment horizontal="center" vertical="center"/>
    </xf>
    <xf numFmtId="49" fontId="87" fillId="5" borderId="9" xfId="0" applyNumberFormat="1" applyFont="1" applyFill="1" applyBorder="1" applyAlignment="1" applyProtection="1">
      <alignment horizontal="center" vertical="center"/>
    </xf>
    <xf numFmtId="0" fontId="87" fillId="5" borderId="2" xfId="0" applyFont="1" applyFill="1" applyBorder="1" applyAlignment="1" applyProtection="1">
      <alignment horizontal="center" vertical="center"/>
    </xf>
    <xf numFmtId="0" fontId="87" fillId="5" borderId="2" xfId="0" applyNumberFormat="1" applyFont="1" applyFill="1" applyBorder="1" applyAlignment="1" applyProtection="1">
      <alignment horizontal="center" vertical="center"/>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7" fillId="5" borderId="21" xfId="0" applyFont="1" applyFill="1" applyBorder="1" applyAlignment="1" applyProtection="1">
      <alignment vertical="center" textRotation="255" wrapText="1"/>
    </xf>
    <xf numFmtId="182" fontId="87" fillId="5" borderId="0" xfId="0" applyNumberFormat="1" applyFont="1" applyFill="1" applyBorder="1" applyAlignment="1" applyProtection="1"/>
    <xf numFmtId="0" fontId="87" fillId="5" borderId="0" xfId="0" applyFont="1" applyFill="1" applyBorder="1" applyAlignment="1" applyProtection="1"/>
    <xf numFmtId="0" fontId="113" fillId="5" borderId="0" xfId="0" applyFont="1" applyFill="1" applyBorder="1" applyAlignment="1" applyProtection="1"/>
    <xf numFmtId="0" fontId="87" fillId="5" borderId="0" xfId="0" applyFont="1" applyFill="1" applyBorder="1" applyAlignment="1" applyProtection="1">
      <alignment horizontal="center"/>
    </xf>
    <xf numFmtId="188" fontId="87" fillId="5" borderId="0" xfId="0" applyNumberFormat="1" applyFont="1" applyFill="1" applyBorder="1" applyAlignment="1" applyProtection="1">
      <alignment horizontal="center"/>
    </xf>
    <xf numFmtId="0" fontId="87" fillId="8" borderId="0" xfId="0" applyFont="1" applyFill="1" applyAlignment="1" applyProtection="1">
      <alignment horizontal="center" vertical="center"/>
    </xf>
    <xf numFmtId="188" fontId="87" fillId="8" borderId="0" xfId="0" applyNumberFormat="1" applyFont="1" applyFill="1" applyAlignment="1" applyProtection="1">
      <alignment horizontal="center" vertical="center"/>
    </xf>
    <xf numFmtId="182" fontId="87" fillId="8" borderId="0" xfId="0" applyNumberFormat="1" applyFont="1" applyFill="1" applyAlignment="1" applyProtection="1">
      <alignment horizontal="center" vertical="center"/>
    </xf>
    <xf numFmtId="178" fontId="100" fillId="5" borderId="0" xfId="0" applyNumberFormat="1" applyFont="1" applyFill="1" applyBorder="1" applyAlignment="1" applyProtection="1"/>
    <xf numFmtId="49" fontId="100" fillId="5" borderId="0" xfId="0" applyNumberFormat="1" applyFont="1" applyFill="1" applyBorder="1" applyAlignment="1" applyProtection="1">
      <alignment horizontal="left"/>
    </xf>
    <xf numFmtId="0" fontId="109" fillId="5" borderId="0" xfId="0" applyFont="1" applyFill="1" applyAlignment="1" applyProtection="1">
      <alignment vertical="center"/>
    </xf>
    <xf numFmtId="0" fontId="119" fillId="5" borderId="0" xfId="0" applyFont="1" applyFill="1" applyAlignment="1" applyProtection="1">
      <alignment vertical="center"/>
    </xf>
    <xf numFmtId="0" fontId="61" fillId="5" borderId="0" xfId="3" applyFont="1" applyFill="1" applyAlignment="1" applyProtection="1">
      <alignment vertical="center"/>
    </xf>
    <xf numFmtId="0" fontId="43" fillId="5" borderId="0" xfId="3" applyFont="1" applyFill="1" applyAlignment="1" applyProtection="1">
      <alignment vertical="center"/>
    </xf>
    <xf numFmtId="0" fontId="89" fillId="5" borderId="0" xfId="3" applyFont="1" applyFill="1" applyAlignment="1" applyProtection="1">
      <alignment horizontal="center" vertical="center" wrapText="1"/>
    </xf>
    <xf numFmtId="0" fontId="43" fillId="5" borderId="1" xfId="3" applyFont="1" applyFill="1" applyBorder="1" applyAlignment="1" applyProtection="1">
      <alignment horizontal="center" vertical="center" wrapText="1"/>
    </xf>
    <xf numFmtId="0" fontId="148" fillId="5" borderId="0" xfId="3" applyFill="1" applyAlignment="1" applyProtection="1">
      <alignment vertical="center"/>
    </xf>
    <xf numFmtId="0" fontId="167" fillId="5" borderId="14" xfId="3" applyFont="1" applyFill="1" applyBorder="1" applyAlignment="1" applyProtection="1">
      <alignment vertical="center"/>
    </xf>
    <xf numFmtId="0" fontId="105" fillId="5" borderId="14" xfId="0" applyFont="1" applyFill="1" applyBorder="1" applyAlignment="1" applyProtection="1">
      <alignment vertical="center"/>
    </xf>
    <xf numFmtId="0" fontId="100" fillId="5" borderId="0" xfId="0" applyFont="1" applyFill="1" applyBorder="1" applyAlignment="1" applyProtection="1">
      <alignment horizontal="center" vertical="center"/>
    </xf>
    <xf numFmtId="0" fontId="109" fillId="5" borderId="0" xfId="0" applyFont="1" applyFill="1" applyBorder="1" applyAlignment="1" applyProtection="1">
      <alignment horizontal="center" vertical="center"/>
    </xf>
    <xf numFmtId="0" fontId="109" fillId="5" borderId="0" xfId="0" applyFont="1" applyFill="1" applyAlignment="1" applyProtection="1">
      <alignment horizontal="center" vertical="center"/>
    </xf>
    <xf numFmtId="0" fontId="83" fillId="5" borderId="2" xfId="0" applyFont="1" applyFill="1" applyBorder="1" applyAlignment="1" applyProtection="1">
      <alignment horizontal="center" vertical="center" wrapText="1"/>
    </xf>
    <xf numFmtId="188" fontId="87" fillId="5" borderId="16" xfId="0" applyNumberFormat="1" applyFont="1" applyFill="1" applyBorder="1" applyAlignment="1" applyProtection="1">
      <alignment horizontal="center" vertical="center"/>
    </xf>
    <xf numFmtId="188" fontId="87" fillId="5" borderId="16" xfId="0" applyNumberFormat="1" applyFont="1" applyFill="1" applyBorder="1" applyAlignment="1" applyProtection="1">
      <alignment horizontal="center" vertical="center" wrapText="1"/>
    </xf>
    <xf numFmtId="188" fontId="87" fillId="5" borderId="46" xfId="0" applyNumberFormat="1" applyFont="1" applyFill="1" applyBorder="1" applyAlignment="1" applyProtection="1">
      <alignment horizontal="center" vertical="center" wrapText="1"/>
    </xf>
    <xf numFmtId="0" fontId="87" fillId="0" borderId="71" xfId="0" applyNumberFormat="1" applyFont="1" applyFill="1" applyBorder="1" applyAlignment="1" applyProtection="1">
      <alignment horizontal="center" vertical="center" wrapText="1"/>
    </xf>
    <xf numFmtId="0" fontId="87" fillId="0" borderId="72" xfId="0" applyNumberFormat="1" applyFont="1" applyFill="1" applyBorder="1" applyAlignment="1" applyProtection="1">
      <alignment horizontal="center" vertical="center" wrapText="1"/>
    </xf>
    <xf numFmtId="188" fontId="87" fillId="5" borderId="9" xfId="0" applyNumberFormat="1" applyFont="1" applyFill="1" applyBorder="1" applyAlignment="1" applyProtection="1">
      <alignment horizontal="center" vertical="center"/>
    </xf>
    <xf numFmtId="188" fontId="87" fillId="5" borderId="9" xfId="0" applyNumberFormat="1" applyFont="1" applyFill="1" applyBorder="1" applyAlignment="1" applyProtection="1">
      <alignment horizontal="center" vertical="center" wrapText="1"/>
    </xf>
    <xf numFmtId="188" fontId="87" fillId="5" borderId="2"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wrapText="1"/>
    </xf>
    <xf numFmtId="0" fontId="120" fillId="0" borderId="0" xfId="0" applyFont="1" applyProtection="1">
      <alignment vertical="center"/>
    </xf>
    <xf numFmtId="0" fontId="79" fillId="0" borderId="0" xfId="0" applyNumberFormat="1" applyFont="1" applyAlignment="1" applyProtection="1">
      <alignment horizontal="center" vertical="center"/>
    </xf>
    <xf numFmtId="49" fontId="137" fillId="5" borderId="11" xfId="0" applyNumberFormat="1" applyFont="1" applyFill="1" applyBorder="1" applyAlignment="1" applyProtection="1">
      <alignment vertical="center" wrapText="1"/>
    </xf>
    <xf numFmtId="49" fontId="137" fillId="5" borderId="43" xfId="0" applyNumberFormat="1" applyFont="1" applyFill="1" applyBorder="1" applyAlignment="1" applyProtection="1">
      <alignment vertical="center" wrapText="1"/>
    </xf>
    <xf numFmtId="49" fontId="85" fillId="5" borderId="11" xfId="0" applyNumberFormat="1" applyFont="1" applyFill="1" applyBorder="1" applyAlignment="1" applyProtection="1">
      <alignment vertical="center" wrapText="1"/>
    </xf>
    <xf numFmtId="0" fontId="73" fillId="5" borderId="87" xfId="0" applyFont="1" applyFill="1" applyBorder="1" applyAlignment="1" applyProtection="1"/>
    <xf numFmtId="0" fontId="73" fillId="5" borderId="19" xfId="0" applyFont="1" applyFill="1" applyBorder="1" applyAlignment="1" applyProtection="1"/>
    <xf numFmtId="0" fontId="73" fillId="5" borderId="63" xfId="0" applyFont="1" applyFill="1" applyBorder="1" applyAlignment="1" applyProtection="1"/>
    <xf numFmtId="185" fontId="78" fillId="5" borderId="29" xfId="0" applyNumberFormat="1" applyFont="1" applyFill="1" applyBorder="1" applyAlignment="1" applyProtection="1">
      <alignment horizontal="center"/>
    </xf>
    <xf numFmtId="0" fontId="79" fillId="5" borderId="45" xfId="0" applyFont="1" applyFill="1" applyBorder="1" applyAlignment="1" applyProtection="1"/>
    <xf numFmtId="185" fontId="155" fillId="0" borderId="44" xfId="0" applyNumberFormat="1" applyFont="1" applyFill="1" applyBorder="1" applyAlignment="1" applyProtection="1">
      <alignment horizontal="center"/>
      <protection locked="0"/>
    </xf>
    <xf numFmtId="185" fontId="79" fillId="0" borderId="44" xfId="0" applyNumberFormat="1" applyFont="1" applyFill="1" applyBorder="1" applyAlignment="1" applyProtection="1">
      <alignment horizontal="center"/>
      <protection locked="0"/>
    </xf>
    <xf numFmtId="185" fontId="79" fillId="0" borderId="46" xfId="0" applyNumberFormat="1" applyFont="1" applyFill="1" applyBorder="1" applyAlignment="1" applyProtection="1">
      <alignment horizontal="center"/>
      <protection locked="0"/>
    </xf>
    <xf numFmtId="178" fontId="79" fillId="5" borderId="44" xfId="0" applyNumberFormat="1" applyFont="1" applyFill="1" applyBorder="1" applyAlignment="1" applyProtection="1">
      <alignment horizontal="center" vertical="center" wrapText="1"/>
    </xf>
    <xf numFmtId="186" fontId="79" fillId="5" borderId="44" xfId="0" applyNumberFormat="1" applyFont="1" applyFill="1" applyBorder="1" applyAlignment="1" applyProtection="1">
      <alignment horizontal="center" vertical="center"/>
    </xf>
    <xf numFmtId="10" fontId="79" fillId="5" borderId="44" xfId="0" applyNumberFormat="1" applyFont="1" applyFill="1" applyBorder="1" applyAlignment="1" applyProtection="1">
      <alignment horizontal="center" vertical="center" wrapText="1"/>
    </xf>
    <xf numFmtId="49" fontId="79" fillId="5" borderId="11" xfId="0" applyNumberFormat="1" applyFont="1" applyFill="1" applyBorder="1" applyAlignment="1" applyProtection="1">
      <alignment horizontal="left"/>
    </xf>
    <xf numFmtId="49" fontId="79" fillId="5" borderId="43" xfId="0" applyNumberFormat="1" applyFont="1" applyFill="1" applyBorder="1" applyAlignment="1" applyProtection="1">
      <alignment horizontal="left"/>
    </xf>
    <xf numFmtId="49" fontId="79" fillId="5" borderId="11" xfId="2"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8" fillId="5" borderId="11" xfId="0" applyNumberFormat="1" applyFont="1" applyFill="1" applyBorder="1" applyAlignment="1" applyProtection="1">
      <alignment horizontal="left" vertical="center" wrapText="1"/>
    </xf>
    <xf numFmtId="49" fontId="79" fillId="5" borderId="43" xfId="0" applyNumberFormat="1" applyFont="1" applyFill="1" applyBorder="1" applyAlignment="1" applyProtection="1">
      <alignment horizontal="left" vertical="center" wrapText="1"/>
    </xf>
    <xf numFmtId="49" fontId="136" fillId="5" borderId="11" xfId="2" applyNumberFormat="1" applyFont="1" applyFill="1" applyBorder="1" applyAlignment="1" applyProtection="1">
      <alignment horizontal="left"/>
    </xf>
    <xf numFmtId="49" fontId="138" fillId="5" borderId="10" xfId="0" applyNumberFormat="1" applyFont="1" applyFill="1" applyBorder="1" applyAlignment="1" applyProtection="1">
      <alignment horizontal="left" vertical="center" wrapText="1"/>
    </xf>
    <xf numFmtId="49" fontId="139" fillId="5" borderId="33" xfId="0" applyNumberFormat="1" applyFont="1" applyFill="1" applyBorder="1" applyAlignment="1" applyProtection="1">
      <alignment horizontal="center" vertical="center" wrapText="1"/>
    </xf>
    <xf numFmtId="49" fontId="138" fillId="5" borderId="33" xfId="0" applyNumberFormat="1" applyFont="1" applyFill="1" applyBorder="1" applyAlignment="1" applyProtection="1">
      <alignment horizontal="left" vertical="center" wrapText="1"/>
    </xf>
    <xf numFmtId="49" fontId="138" fillId="5" borderId="53" xfId="0" applyNumberFormat="1" applyFont="1" applyFill="1" applyBorder="1" applyAlignment="1" applyProtection="1">
      <alignment horizontal="left" vertical="center" wrapText="1"/>
    </xf>
    <xf numFmtId="49" fontId="138" fillId="5" borderId="1" xfId="0" applyNumberFormat="1" applyFont="1" applyFill="1" applyBorder="1" applyAlignment="1" applyProtection="1">
      <alignment horizontal="left" vertical="center" wrapText="1"/>
    </xf>
    <xf numFmtId="49" fontId="23" fillId="5" borderId="22" xfId="0" applyNumberFormat="1" applyFont="1" applyFill="1" applyBorder="1" applyAlignment="1" applyProtection="1">
      <alignment horizontal="center" vertical="center" wrapText="1"/>
    </xf>
    <xf numFmtId="49" fontId="100" fillId="5" borderId="2" xfId="2" applyNumberFormat="1" applyFont="1" applyFill="1" applyBorder="1" applyAlignment="1" applyProtection="1">
      <alignment vertical="center"/>
    </xf>
    <xf numFmtId="49" fontId="60" fillId="5" borderId="2" xfId="2" applyNumberFormat="1" applyFont="1" applyFill="1" applyBorder="1" applyAlignment="1" applyProtection="1">
      <alignment vertical="center"/>
    </xf>
    <xf numFmtId="49" fontId="86" fillId="5" borderId="3" xfId="0" applyNumberFormat="1" applyFont="1" applyFill="1" applyBorder="1" applyAlignment="1" applyProtection="1">
      <alignment vertical="center"/>
    </xf>
    <xf numFmtId="49" fontId="100" fillId="5" borderId="0" xfId="2" applyNumberFormat="1" applyFont="1" applyFill="1" applyBorder="1" applyAlignment="1" applyProtection="1">
      <alignment vertical="center"/>
    </xf>
    <xf numFmtId="49" fontId="79" fillId="5" borderId="11" xfId="0" applyNumberFormat="1" applyFont="1" applyFill="1" applyBorder="1" applyAlignment="1" applyProtection="1">
      <alignment horizontal="right" vertical="center"/>
    </xf>
    <xf numFmtId="49" fontId="79" fillId="5" borderId="11"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center" vertical="center"/>
    </xf>
    <xf numFmtId="49" fontId="79" fillId="5" borderId="22" xfId="0" applyNumberFormat="1" applyFont="1" applyFill="1" applyBorder="1" applyAlignment="1" applyProtection="1">
      <alignment horizontal="right" vertical="center"/>
    </xf>
    <xf numFmtId="0" fontId="43" fillId="5" borderId="2" xfId="3" applyNumberFormat="1" applyFont="1" applyFill="1" applyBorder="1" applyAlignment="1" applyProtection="1">
      <alignment horizontal="center" vertical="center" wrapText="1"/>
    </xf>
    <xf numFmtId="0" fontId="89" fillId="5" borderId="2" xfId="3" applyNumberFormat="1" applyFont="1" applyFill="1" applyBorder="1" applyAlignment="1" applyProtection="1">
      <alignment horizontal="center" vertical="center" wrapText="1"/>
    </xf>
    <xf numFmtId="0" fontId="188" fillId="0" borderId="0" xfId="7" applyFont="1">
      <alignment vertical="center"/>
    </xf>
    <xf numFmtId="0" fontId="148" fillId="0" borderId="0" xfId="7">
      <alignment vertical="center"/>
    </xf>
    <xf numFmtId="0" fontId="188" fillId="0" borderId="0" xfId="7" applyFont="1" applyAlignment="1">
      <alignment vertical="top" wrapText="1"/>
    </xf>
    <xf numFmtId="0" fontId="81" fillId="5" borderId="33"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2" xfId="0" applyFont="1" applyFill="1" applyBorder="1" applyAlignment="1" applyProtection="1">
      <alignment horizontal="left" vertical="center"/>
    </xf>
    <xf numFmtId="14" fontId="81" fillId="0" borderId="10" xfId="0" applyNumberFormat="1" applyFont="1" applyFill="1" applyBorder="1" applyAlignment="1" applyProtection="1">
      <alignment horizontal="left" vertical="center"/>
      <protection locked="0"/>
    </xf>
    <xf numFmtId="0" fontId="81" fillId="5" borderId="10" xfId="0" applyFont="1" applyFill="1" applyBorder="1" applyAlignment="1" applyProtection="1">
      <alignment vertical="center" wrapText="1"/>
    </xf>
    <xf numFmtId="0" fontId="81" fillId="5" borderId="71" xfId="0" applyFont="1" applyFill="1" applyBorder="1" applyAlignment="1" applyProtection="1">
      <alignment horizontal="left" vertical="center"/>
    </xf>
    <xf numFmtId="0" fontId="81" fillId="5" borderId="17" xfId="0" applyFont="1" applyFill="1" applyBorder="1" applyAlignment="1" applyProtection="1">
      <alignment vertical="center" wrapText="1"/>
    </xf>
    <xf numFmtId="0" fontId="81" fillId="8" borderId="19" xfId="0" applyFont="1" applyFill="1" applyBorder="1" applyAlignment="1" applyProtection="1">
      <alignment vertical="center" wrapText="1"/>
    </xf>
    <xf numFmtId="0" fontId="81" fillId="8" borderId="20" xfId="0" applyFont="1" applyFill="1" applyBorder="1" applyAlignment="1" applyProtection="1">
      <alignment vertical="center" wrapText="1"/>
    </xf>
    <xf numFmtId="0" fontId="81" fillId="8" borderId="32" xfId="0" applyFont="1" applyFill="1" applyBorder="1" applyAlignment="1" applyProtection="1">
      <alignment vertical="center" wrapText="1"/>
    </xf>
    <xf numFmtId="0" fontId="81" fillId="5" borderId="4" xfId="0" applyFont="1" applyFill="1" applyBorder="1" applyAlignment="1" applyProtection="1">
      <alignment vertical="center" wrapText="1"/>
    </xf>
    <xf numFmtId="0" fontId="81" fillId="6" borderId="5" xfId="0" applyFont="1" applyFill="1" applyBorder="1" applyAlignment="1" applyProtection="1">
      <alignment horizontal="left" vertical="center" wrapText="1"/>
      <protection locked="0"/>
    </xf>
    <xf numFmtId="0" fontId="81" fillId="6" borderId="8" xfId="0" applyFont="1" applyFill="1" applyBorder="1" applyAlignment="1" applyProtection="1">
      <alignment vertical="center" wrapText="1"/>
    </xf>
    <xf numFmtId="0" fontId="81" fillId="6" borderId="9" xfId="0" applyFont="1" applyFill="1" applyBorder="1" applyAlignment="1" applyProtection="1">
      <alignment vertical="center" wrapText="1"/>
    </xf>
    <xf numFmtId="0" fontId="81" fillId="5" borderId="84" xfId="0" applyFont="1" applyFill="1" applyBorder="1" applyAlignment="1" applyProtection="1">
      <alignment vertical="center" wrapText="1"/>
    </xf>
    <xf numFmtId="0" fontId="81" fillId="6" borderId="84" xfId="0" applyFont="1" applyFill="1" applyBorder="1" applyAlignment="1" applyProtection="1">
      <alignment horizontal="left" vertical="center"/>
      <protection locked="0"/>
    </xf>
    <xf numFmtId="0" fontId="81" fillId="6" borderId="85" xfId="0" applyFont="1" applyFill="1" applyBorder="1" applyAlignment="1" applyProtection="1">
      <alignment vertical="center" wrapText="1"/>
    </xf>
    <xf numFmtId="0" fontId="81" fillId="8" borderId="19" xfId="0" applyFont="1" applyFill="1" applyBorder="1" applyAlignment="1" applyProtection="1">
      <alignment vertical="center" wrapText="1"/>
      <protection locked="0"/>
    </xf>
    <xf numFmtId="49" fontId="81" fillId="5" borderId="21" xfId="0" applyNumberFormat="1" applyFont="1" applyFill="1" applyBorder="1" applyAlignment="1" applyProtection="1">
      <alignment horizontal="left" vertical="center" wrapText="1"/>
    </xf>
    <xf numFmtId="49" fontId="189" fillId="0" borderId="17" xfId="0" applyNumberFormat="1" applyFont="1" applyFill="1" applyBorder="1" applyAlignment="1" applyProtection="1">
      <alignment horizontal="left" vertical="center"/>
      <protection locked="0"/>
    </xf>
    <xf numFmtId="0" fontId="81" fillId="8" borderId="8" xfId="0" applyFont="1" applyFill="1" applyBorder="1" applyAlignment="1" applyProtection="1">
      <alignment vertical="center" wrapText="1"/>
      <protection locked="0"/>
    </xf>
    <xf numFmtId="49" fontId="81" fillId="5" borderId="10" xfId="0" applyNumberFormat="1" applyFont="1" applyFill="1" applyBorder="1" applyAlignment="1" applyProtection="1">
      <alignment horizontal="left" vertical="center" wrapText="1"/>
    </xf>
    <xf numFmtId="0" fontId="81" fillId="6" borderId="10" xfId="0" applyFont="1" applyFill="1" applyBorder="1" applyAlignment="1" applyProtection="1">
      <alignment horizontal="center" vertical="center" wrapText="1"/>
      <protection locked="0"/>
    </xf>
    <xf numFmtId="0" fontId="81" fillId="2" borderId="3" xfId="0" applyFont="1" applyFill="1" applyBorder="1" applyAlignment="1" applyProtection="1">
      <alignment horizontal="left" vertical="center" wrapText="1"/>
    </xf>
    <xf numFmtId="0" fontId="81" fillId="5" borderId="19" xfId="0" applyFont="1" applyFill="1" applyBorder="1" applyAlignment="1" applyProtection="1">
      <alignment vertical="center" wrapText="1"/>
    </xf>
    <xf numFmtId="178" fontId="81" fillId="6" borderId="2" xfId="2" applyNumberFormat="1" applyFont="1" applyFill="1" applyBorder="1" applyAlignment="1" applyProtection="1">
      <alignment horizontal="center" vertical="center"/>
      <protection locked="0"/>
    </xf>
    <xf numFmtId="180" fontId="81" fillId="5" borderId="2" xfId="0" applyNumberFormat="1"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left" vertical="center" wrapText="1"/>
    </xf>
    <xf numFmtId="0" fontId="81" fillId="5" borderId="65" xfId="0" applyFont="1" applyFill="1" applyBorder="1" applyAlignment="1" applyProtection="1">
      <alignment vertical="center" wrapText="1"/>
    </xf>
    <xf numFmtId="0" fontId="81" fillId="5" borderId="88" xfId="0" applyFont="1" applyFill="1" applyBorder="1" applyAlignment="1" applyProtection="1">
      <alignment vertical="center" wrapText="1"/>
    </xf>
    <xf numFmtId="0" fontId="143" fillId="6" borderId="2" xfId="0" applyFont="1" applyFill="1" applyBorder="1" applyAlignment="1" applyProtection="1">
      <alignment horizontal="center" vertical="center" wrapText="1"/>
      <protection locked="0"/>
    </xf>
    <xf numFmtId="0" fontId="81" fillId="0" borderId="0" xfId="0" applyFont="1" applyAlignment="1" applyProtection="1">
      <alignment vertical="center" wrapText="1"/>
    </xf>
    <xf numFmtId="49" fontId="81" fillId="0" borderId="0" xfId="0" applyNumberFormat="1" applyFont="1" applyAlignment="1" applyProtection="1">
      <alignment horizontal="center" vertical="center" wrapText="1"/>
    </xf>
    <xf numFmtId="0" fontId="81" fillId="0" borderId="0" xfId="0" applyFont="1" applyAlignment="1" applyProtection="1">
      <alignment horizontal="center" vertical="center" wrapText="1"/>
    </xf>
    <xf numFmtId="0" fontId="81" fillId="5" borderId="0" xfId="0" applyFont="1" applyFill="1" applyAlignment="1" applyProtection="1">
      <alignment vertical="center" wrapText="1"/>
    </xf>
    <xf numFmtId="0" fontId="81" fillId="5" borderId="0" xfId="0" applyFont="1" applyFill="1" applyAlignment="1" applyProtection="1">
      <alignment horizontal="center" vertical="center" wrapText="1"/>
    </xf>
    <xf numFmtId="0" fontId="81" fillId="0" borderId="2" xfId="0" applyFont="1" applyBorder="1" applyAlignment="1" applyProtection="1">
      <alignment vertical="center" wrapText="1"/>
    </xf>
    <xf numFmtId="0" fontId="81" fillId="5" borderId="5" xfId="0" applyFont="1" applyFill="1" applyBorder="1" applyAlignment="1" applyProtection="1">
      <alignment vertical="center"/>
    </xf>
    <xf numFmtId="0" fontId="81" fillId="2" borderId="32" xfId="0" applyFont="1" applyFill="1" applyBorder="1" applyAlignment="1" applyProtection="1">
      <alignment horizontal="left" vertical="center" wrapText="1"/>
      <protection locked="0"/>
    </xf>
    <xf numFmtId="0" fontId="81" fillId="5" borderId="2" xfId="0" applyFont="1" applyFill="1" applyBorder="1" applyAlignment="1" applyProtection="1">
      <alignment vertical="center" wrapText="1"/>
    </xf>
    <xf numFmtId="184" fontId="81" fillId="0" borderId="2" xfId="0" applyNumberFormat="1" applyFont="1" applyFill="1" applyBorder="1" applyAlignment="1" applyProtection="1">
      <alignment horizontal="center" vertical="center" shrinkToFit="1"/>
      <protection locked="0"/>
    </xf>
    <xf numFmtId="0" fontId="81" fillId="5" borderId="3" xfId="0" applyFont="1" applyFill="1" applyBorder="1" applyAlignment="1" applyProtection="1">
      <alignment vertical="center"/>
    </xf>
    <xf numFmtId="0" fontId="81" fillId="6" borderId="3" xfId="0" applyFont="1" applyFill="1" applyBorder="1" applyAlignment="1" applyProtection="1">
      <alignment horizontal="center" vertical="center" wrapText="1"/>
      <protection locked="0"/>
    </xf>
    <xf numFmtId="0" fontId="81" fillId="5" borderId="55" xfId="0" applyFont="1" applyFill="1" applyBorder="1" applyAlignment="1" applyProtection="1">
      <alignment horizontal="center" vertical="center" wrapText="1"/>
    </xf>
    <xf numFmtId="0" fontId="81" fillId="6" borderId="55" xfId="0" applyFont="1" applyFill="1" applyBorder="1" applyAlignment="1" applyProtection="1">
      <alignment horizontal="center" vertical="center" wrapText="1"/>
      <protection locked="0"/>
    </xf>
    <xf numFmtId="0" fontId="190" fillId="5" borderId="55" xfId="0" applyFont="1" applyFill="1" applyBorder="1" applyAlignment="1" applyProtection="1">
      <alignment vertical="center" wrapText="1"/>
    </xf>
    <xf numFmtId="0" fontId="81" fillId="6" borderId="69" xfId="0"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xf>
    <xf numFmtId="0" fontId="81" fillId="5" borderId="35" xfId="0" applyFont="1" applyFill="1" applyBorder="1" applyAlignment="1" applyProtection="1">
      <alignment vertical="center"/>
    </xf>
    <xf numFmtId="0" fontId="81" fillId="6" borderId="12" xfId="0" applyFont="1" applyFill="1" applyBorder="1" applyAlignment="1" applyProtection="1">
      <alignment horizontal="center" vertical="center" wrapText="1"/>
      <protection locked="0"/>
    </xf>
    <xf numFmtId="0" fontId="189" fillId="0" borderId="11" xfId="0" applyFont="1" applyBorder="1" applyAlignment="1" applyProtection="1">
      <alignment vertical="center" wrapText="1"/>
      <protection locked="0"/>
    </xf>
    <xf numFmtId="0" fontId="81" fillId="6" borderId="5" xfId="0" applyFont="1" applyFill="1" applyBorder="1" applyAlignment="1" applyProtection="1">
      <alignment horizontal="center" vertical="center" wrapText="1"/>
      <protection locked="0"/>
    </xf>
    <xf numFmtId="0" fontId="81" fillId="0" borderId="89" xfId="0" applyFont="1" applyBorder="1" applyAlignment="1" applyProtection="1">
      <alignment vertical="center" wrapText="1"/>
      <protection locked="0"/>
    </xf>
    <xf numFmtId="184" fontId="189" fillId="0" borderId="12" xfId="0" applyNumberFormat="1" applyFont="1" applyFill="1" applyBorder="1" applyAlignment="1" applyProtection="1">
      <alignment horizontal="left" vertical="center" shrinkToFit="1"/>
      <protection locked="0"/>
    </xf>
    <xf numFmtId="184" fontId="189" fillId="0" borderId="57" xfId="0" applyNumberFormat="1" applyFont="1" applyFill="1" applyBorder="1" applyAlignment="1" applyProtection="1">
      <alignment horizontal="left" vertical="center" shrinkToFit="1"/>
      <protection locked="0"/>
    </xf>
    <xf numFmtId="0" fontId="189" fillId="0" borderId="12" xfId="0" applyFont="1" applyFill="1" applyBorder="1" applyAlignment="1" applyProtection="1">
      <alignment horizontal="left" vertical="center" wrapText="1"/>
      <protection locked="0"/>
    </xf>
    <xf numFmtId="0" fontId="189" fillId="0" borderId="16" xfId="0" applyFont="1" applyFill="1" applyBorder="1" applyAlignment="1" applyProtection="1">
      <alignment horizontal="left" vertical="center" wrapText="1"/>
      <protection locked="0"/>
    </xf>
    <xf numFmtId="0" fontId="189" fillId="0" borderId="72" xfId="0" applyFont="1" applyFill="1" applyBorder="1" applyAlignment="1" applyProtection="1">
      <alignment horizontal="left" vertical="center" wrapText="1"/>
      <protection locked="0"/>
    </xf>
    <xf numFmtId="0" fontId="189" fillId="0" borderId="90" xfId="0" applyFont="1" applyFill="1" applyBorder="1" applyAlignment="1" applyProtection="1">
      <alignment horizontal="left" vertical="center" wrapText="1"/>
      <protection locked="0"/>
    </xf>
    <xf numFmtId="0" fontId="81" fillId="2" borderId="20" xfId="0" applyFont="1" applyFill="1" applyBorder="1" applyAlignment="1" applyProtection="1">
      <alignment horizontal="left" vertical="center" wrapText="1"/>
      <protection locked="0"/>
    </xf>
    <xf numFmtId="0" fontId="81" fillId="0" borderId="21" xfId="0" applyFont="1" applyBorder="1" applyAlignment="1" applyProtection="1">
      <alignment horizontal="left" vertical="center" wrapText="1"/>
      <protection locked="0"/>
    </xf>
    <xf numFmtId="0" fontId="81" fillId="2" borderId="5" xfId="0" applyFont="1" applyFill="1" applyBorder="1" applyAlignment="1" applyProtection="1">
      <alignment vertical="center"/>
      <protection locked="0"/>
    </xf>
    <xf numFmtId="0" fontId="81" fillId="6" borderId="2" xfId="0" applyFont="1" applyFill="1" applyBorder="1" applyAlignment="1" applyProtection="1">
      <alignment vertical="center" wrapText="1"/>
      <protection locked="0"/>
    </xf>
    <xf numFmtId="49" fontId="81" fillId="5" borderId="0" xfId="0" applyNumberFormat="1" applyFont="1" applyFill="1" applyAlignment="1" applyProtection="1">
      <alignment horizontal="center" vertical="center" wrapText="1"/>
    </xf>
    <xf numFmtId="0" fontId="81" fillId="5" borderId="5" xfId="0" applyFont="1" applyFill="1" applyBorder="1" applyAlignment="1" applyProtection="1">
      <alignment vertical="center" wrapText="1"/>
    </xf>
    <xf numFmtId="14" fontId="81" fillId="0" borderId="17" xfId="0" applyNumberFormat="1" applyFont="1" applyBorder="1" applyAlignment="1" applyProtection="1">
      <alignment vertical="center" wrapText="1"/>
      <protection locked="0"/>
    </xf>
    <xf numFmtId="0" fontId="81" fillId="5" borderId="20" xfId="0" applyFont="1" applyFill="1" applyBorder="1" applyAlignment="1" applyProtection="1">
      <alignment vertical="center" wrapText="1"/>
    </xf>
    <xf numFmtId="0" fontId="81" fillId="5" borderId="18" xfId="0" applyFont="1" applyFill="1" applyBorder="1" applyAlignment="1" applyProtection="1">
      <alignment vertical="center"/>
    </xf>
    <xf numFmtId="0" fontId="81" fillId="5" borderId="8" xfId="0" applyFont="1" applyFill="1" applyBorder="1" applyAlignment="1" applyProtection="1">
      <alignment vertical="center"/>
    </xf>
    <xf numFmtId="0" fontId="81" fillId="5" borderId="9" xfId="0" applyFont="1" applyFill="1" applyBorder="1" applyAlignment="1" applyProtection="1">
      <alignment vertical="center" wrapText="1"/>
    </xf>
    <xf numFmtId="0" fontId="81" fillId="0" borderId="2" xfId="0" applyFont="1" applyBorder="1" applyAlignment="1" applyProtection="1">
      <alignment horizontal="center" vertical="center" wrapText="1"/>
    </xf>
    <xf numFmtId="192" fontId="81" fillId="5" borderId="2" xfId="0" applyNumberFormat="1" applyFont="1" applyFill="1" applyBorder="1" applyAlignment="1" applyProtection="1">
      <alignment vertical="center" wrapText="1"/>
    </xf>
    <xf numFmtId="0" fontId="81" fillId="5" borderId="9" xfId="0" applyNumberFormat="1" applyFont="1" applyFill="1" applyBorder="1" applyAlignment="1" applyProtection="1">
      <alignment horizontal="center" vertical="center" wrapText="1"/>
    </xf>
    <xf numFmtId="0" fontId="81" fillId="5" borderId="2" xfId="0" applyFont="1" applyFill="1" applyBorder="1" applyAlignment="1" applyProtection="1">
      <alignment vertical="center"/>
    </xf>
    <xf numFmtId="0" fontId="81" fillId="0" borderId="2" xfId="0" applyFont="1" applyBorder="1" applyAlignment="1" applyProtection="1">
      <alignment vertical="center"/>
    </xf>
    <xf numFmtId="0" fontId="81" fillId="5" borderId="3" xfId="0" applyFont="1" applyFill="1" applyBorder="1" applyAlignment="1" applyProtection="1">
      <alignment vertical="center" wrapText="1"/>
    </xf>
    <xf numFmtId="0" fontId="81" fillId="0" borderId="2" xfId="0" applyFont="1" applyBorder="1" applyAlignment="1" applyProtection="1">
      <alignment horizontal="center" vertical="center" wrapText="1"/>
      <protection locked="0"/>
    </xf>
    <xf numFmtId="0" fontId="81" fillId="5" borderId="21" xfId="0" applyFont="1" applyFill="1" applyBorder="1" applyAlignment="1" applyProtection="1">
      <alignment vertical="center" wrapText="1"/>
    </xf>
    <xf numFmtId="49" fontId="81" fillId="6" borderId="2" xfId="0" applyNumberFormat="1" applyFont="1" applyFill="1" applyBorder="1" applyAlignment="1" applyProtection="1">
      <alignment horizontal="center" vertical="center" wrapText="1"/>
      <protection locked="0"/>
    </xf>
    <xf numFmtId="49" fontId="81" fillId="0" borderId="2" xfId="0" applyNumberFormat="1" applyFont="1" applyFill="1" applyBorder="1" applyAlignment="1" applyProtection="1">
      <alignment horizontal="center" vertical="center" wrapText="1"/>
      <protection locked="0"/>
    </xf>
    <xf numFmtId="0" fontId="49" fillId="5" borderId="5" xfId="0" applyFont="1" applyFill="1" applyBorder="1" applyAlignment="1" applyProtection="1">
      <alignment vertical="center"/>
    </xf>
    <xf numFmtId="0" fontId="81" fillId="5" borderId="8" xfId="0" applyFont="1" applyFill="1" applyBorder="1" applyAlignment="1" applyProtection="1">
      <alignment vertical="center" wrapText="1"/>
    </xf>
    <xf numFmtId="0" fontId="81" fillId="5" borderId="91" xfId="0" applyFont="1" applyFill="1" applyBorder="1" applyAlignment="1" applyProtection="1">
      <alignment vertical="center" wrapText="1"/>
    </xf>
    <xf numFmtId="0" fontId="81" fillId="5" borderId="91" xfId="0" applyFont="1" applyFill="1" applyBorder="1" applyAlignment="1" applyProtection="1">
      <alignment horizontal="center" vertical="center" wrapText="1"/>
    </xf>
    <xf numFmtId="0" fontId="81" fillId="5" borderId="17" xfId="0" applyFont="1" applyFill="1" applyBorder="1" applyAlignment="1" applyProtection="1">
      <alignment horizontal="left" vertical="center"/>
    </xf>
    <xf numFmtId="0" fontId="81" fillId="0" borderId="19" xfId="0" applyFont="1" applyFill="1" applyBorder="1" applyAlignment="1" applyProtection="1">
      <alignment vertical="center" wrapText="1"/>
    </xf>
    <xf numFmtId="0" fontId="81" fillId="8" borderId="19" xfId="0" applyFont="1" applyFill="1" applyBorder="1" applyAlignment="1" applyProtection="1">
      <alignment horizontal="center" vertical="center" wrapText="1"/>
    </xf>
    <xf numFmtId="0" fontId="81" fillId="6" borderId="86" xfId="0" applyFont="1" applyFill="1" applyBorder="1" applyAlignment="1" applyProtection="1">
      <alignment vertical="center" wrapText="1"/>
    </xf>
    <xf numFmtId="0" fontId="81" fillId="6" borderId="9" xfId="0" applyFont="1" applyFill="1" applyBorder="1" applyAlignment="1" applyProtection="1">
      <alignment horizontal="center" vertical="center" wrapText="1"/>
      <protection locked="0"/>
    </xf>
    <xf numFmtId="0" fontId="81" fillId="6" borderId="9" xfId="0" applyFont="1" applyFill="1" applyBorder="1" applyAlignment="1" applyProtection="1">
      <alignment horizontal="center" vertical="center" wrapText="1" shrinkToFit="1"/>
      <protection locked="0"/>
    </xf>
    <xf numFmtId="0" fontId="81" fillId="5" borderId="10" xfId="0" applyFont="1" applyFill="1" applyBorder="1" applyAlignment="1" applyProtection="1">
      <alignment horizontal="right" vertical="center" wrapText="1"/>
    </xf>
    <xf numFmtId="0" fontId="81" fillId="5" borderId="3" xfId="0" applyFont="1" applyFill="1" applyBorder="1" applyAlignment="1" applyProtection="1">
      <alignment horizontal="right" vertical="center" wrapText="1"/>
    </xf>
    <xf numFmtId="0" fontId="81" fillId="5" borderId="21" xfId="0" applyFont="1" applyFill="1" applyBorder="1" applyAlignment="1" applyProtection="1">
      <alignment horizontal="right" vertical="center" wrapText="1"/>
    </xf>
    <xf numFmtId="0" fontId="81" fillId="5" borderId="9" xfId="0" applyFont="1" applyFill="1" applyBorder="1" applyAlignment="1" applyProtection="1">
      <alignment horizontal="right" vertical="center" wrapText="1"/>
    </xf>
    <xf numFmtId="0" fontId="81" fillId="5" borderId="86" xfId="0" applyFont="1" applyFill="1" applyBorder="1" applyAlignment="1" applyProtection="1">
      <alignment horizontal="right" vertical="center" wrapText="1"/>
    </xf>
    <xf numFmtId="0" fontId="81" fillId="5" borderId="22" xfId="0" applyFont="1" applyFill="1" applyBorder="1" applyAlignment="1" applyProtection="1">
      <alignment horizontal="right" vertical="center" wrapText="1"/>
    </xf>
    <xf numFmtId="0" fontId="81" fillId="5" borderId="24" xfId="0" applyFont="1" applyFill="1" applyBorder="1" applyAlignment="1" applyProtection="1">
      <alignment horizontal="left" vertical="center" wrapText="1"/>
    </xf>
    <xf numFmtId="0" fontId="81" fillId="5" borderId="92" xfId="0" applyFont="1" applyFill="1" applyBorder="1" applyAlignment="1" applyProtection="1">
      <alignment horizontal="left" vertical="center" wrapText="1"/>
    </xf>
    <xf numFmtId="180" fontId="81" fillId="5" borderId="10" xfId="0" applyNumberFormat="1" applyFont="1" applyFill="1" applyBorder="1" applyAlignment="1" applyProtection="1">
      <alignment horizontal="center" vertical="center" wrapText="1"/>
    </xf>
    <xf numFmtId="0" fontId="81" fillId="5" borderId="21" xfId="0" applyFont="1" applyFill="1" applyBorder="1" applyAlignment="1" applyProtection="1">
      <alignment horizontal="center" vertical="center" wrapText="1"/>
    </xf>
    <xf numFmtId="0" fontId="81" fillId="5" borderId="21" xfId="0" applyFont="1" applyFill="1" applyBorder="1" applyAlignment="1" applyProtection="1">
      <alignment horizontal="left" vertical="center" wrapText="1"/>
    </xf>
    <xf numFmtId="0" fontId="81" fillId="8" borderId="8" xfId="0" applyFont="1" applyFill="1" applyBorder="1" applyAlignment="1" applyProtection="1">
      <alignment vertical="center" wrapText="1"/>
    </xf>
    <xf numFmtId="0" fontId="81" fillId="8" borderId="9" xfId="0" applyFont="1" applyFill="1" applyBorder="1" applyAlignment="1" applyProtection="1">
      <alignment vertical="center" wrapText="1"/>
    </xf>
    <xf numFmtId="0" fontId="81" fillId="5" borderId="3"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0" fontId="81" fillId="5" borderId="10" xfId="0" applyFont="1" applyFill="1" applyBorder="1" applyAlignment="1" applyProtection="1">
      <alignment horizontal="left" vertical="center" wrapText="1"/>
    </xf>
    <xf numFmtId="49" fontId="81" fillId="5" borderId="2" xfId="0" applyNumberFormat="1" applyFont="1" applyFill="1" applyBorder="1" applyAlignment="1" applyProtection="1">
      <alignment horizontal="center" vertical="center" wrapText="1"/>
    </xf>
    <xf numFmtId="0" fontId="168" fillId="5" borderId="0" xfId="0" applyFont="1" applyFill="1" applyBorder="1" applyAlignment="1" applyProtection="1">
      <alignment horizontal="left" vertical="center"/>
    </xf>
    <xf numFmtId="0" fontId="168" fillId="5" borderId="0" xfId="0" applyFont="1" applyFill="1" applyProtection="1">
      <alignment vertical="center"/>
    </xf>
    <xf numFmtId="0" fontId="168" fillId="5" borderId="0" xfId="0" applyFont="1" applyFill="1" applyAlignment="1" applyProtection="1">
      <alignment horizontal="center" vertical="center"/>
    </xf>
    <xf numFmtId="0" fontId="168" fillId="5" borderId="0" xfId="0" applyFont="1" applyFill="1" applyBorder="1" applyAlignment="1" applyProtection="1">
      <alignment horizontal="center" vertical="center"/>
    </xf>
    <xf numFmtId="0" fontId="170" fillId="0" borderId="0" xfId="0" applyFont="1" applyBorder="1" applyAlignment="1" applyProtection="1">
      <alignment horizontal="center" vertical="center"/>
    </xf>
    <xf numFmtId="49" fontId="81" fillId="5" borderId="5" xfId="0" applyNumberFormat="1" applyFont="1" applyFill="1" applyBorder="1" applyAlignment="1" applyProtection="1">
      <alignment horizontal="center" vertical="center" wrapText="1"/>
    </xf>
    <xf numFmtId="49" fontId="81" fillId="0" borderId="13" xfId="0" applyNumberFormat="1" applyFont="1" applyBorder="1" applyAlignment="1" applyProtection="1">
      <alignment horizontal="center" vertical="center" wrapText="1"/>
    </xf>
    <xf numFmtId="49" fontId="81" fillId="5" borderId="13" xfId="0" applyNumberFormat="1" applyFont="1" applyFill="1" applyBorder="1" applyAlignment="1" applyProtection="1">
      <alignment horizontal="center" vertical="center" wrapText="1"/>
    </xf>
    <xf numFmtId="49" fontId="81" fillId="5" borderId="13" xfId="0" applyNumberFormat="1" applyFont="1" applyFill="1" applyBorder="1" applyAlignment="1" applyProtection="1">
      <alignment horizontal="left" vertical="center"/>
    </xf>
    <xf numFmtId="0" fontId="81" fillId="5" borderId="5" xfId="0" applyFont="1" applyFill="1" applyBorder="1" applyAlignment="1" applyProtection="1">
      <alignment horizontal="left" vertical="center" wrapText="1"/>
    </xf>
    <xf numFmtId="0" fontId="191" fillId="5" borderId="0" xfId="0" applyFont="1" applyFill="1" applyProtection="1">
      <alignment vertical="center"/>
    </xf>
    <xf numFmtId="0" fontId="14" fillId="5" borderId="0" xfId="0" applyFont="1" applyFill="1" applyProtection="1">
      <alignment vertical="center"/>
    </xf>
    <xf numFmtId="0" fontId="192" fillId="0" borderId="0" xfId="0" applyFont="1" applyBorder="1" applyAlignment="1" applyProtection="1">
      <alignment horizontal="center" vertical="center"/>
    </xf>
    <xf numFmtId="0" fontId="163" fillId="0" borderId="0" xfId="0" applyFont="1" applyProtection="1">
      <alignment vertical="center"/>
    </xf>
    <xf numFmtId="0" fontId="163" fillId="0" borderId="0" xfId="0" applyFont="1" applyBorder="1" applyProtection="1">
      <alignment vertical="center"/>
    </xf>
    <xf numFmtId="184" fontId="193" fillId="0" borderId="0" xfId="0" applyNumberFormat="1" applyFont="1" applyAlignment="1" applyProtection="1">
      <alignment horizontal="left" vertical="center"/>
    </xf>
    <xf numFmtId="0" fontId="163" fillId="0" borderId="0" xfId="0" applyFont="1" applyAlignment="1" applyProtection="1">
      <alignment vertical="center" wrapText="1"/>
    </xf>
    <xf numFmtId="0" fontId="163" fillId="0" borderId="0" xfId="0" applyFont="1" applyAlignment="1" applyProtection="1">
      <alignment vertical="center" wrapText="1" shrinkToFit="1"/>
    </xf>
    <xf numFmtId="0" fontId="81" fillId="5" borderId="4" xfId="0" applyFont="1" applyFill="1" applyBorder="1" applyAlignment="1" applyProtection="1">
      <alignment vertical="center"/>
    </xf>
    <xf numFmtId="0" fontId="81" fillId="5" borderId="5" xfId="0" applyFont="1" applyFill="1" applyBorder="1" applyAlignment="1" applyProtection="1">
      <alignment horizontal="right" vertical="center" wrapText="1"/>
    </xf>
    <xf numFmtId="0" fontId="81" fillId="5" borderId="8" xfId="0" applyFont="1" applyFill="1" applyBorder="1" applyAlignment="1" applyProtection="1">
      <alignment horizontal="right" vertical="center" wrapText="1"/>
    </xf>
    <xf numFmtId="0" fontId="81" fillId="5" borderId="9" xfId="0" applyFont="1" applyFill="1" applyBorder="1" applyAlignment="1" applyProtection="1">
      <alignment horizontal="right" vertical="center"/>
    </xf>
    <xf numFmtId="0" fontId="81" fillId="8" borderId="5" xfId="0" applyFont="1" applyFill="1" applyBorder="1" applyAlignment="1" applyProtection="1">
      <alignment vertical="center"/>
      <protection locked="0"/>
    </xf>
    <xf numFmtId="0" fontId="81" fillId="6" borderId="2" xfId="0" applyFont="1" applyFill="1" applyBorder="1" applyAlignment="1" applyProtection="1">
      <alignment horizontal="center" vertical="center"/>
      <protection locked="0"/>
    </xf>
    <xf numFmtId="179" fontId="81" fillId="5" borderId="0" xfId="0" applyNumberFormat="1" applyFont="1" applyFill="1" applyBorder="1" applyAlignment="1" applyProtection="1">
      <alignment vertical="center" wrapText="1"/>
    </xf>
    <xf numFmtId="0" fontId="81" fillId="6" borderId="2" xfId="0" applyFont="1" applyFill="1" applyBorder="1" applyAlignment="1" applyProtection="1">
      <alignment horizontal="center" vertical="center" wrapText="1"/>
      <protection locked="0"/>
    </xf>
    <xf numFmtId="0" fontId="193"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4" fillId="0" borderId="0" xfId="0" applyFont="1" applyAlignment="1" applyProtection="1">
      <alignment horizontal="left" vertical="center"/>
    </xf>
    <xf numFmtId="0" fontId="195"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0" fontId="196" fillId="0" borderId="0" xfId="0" applyFont="1" applyAlignment="1" applyProtection="1">
      <alignment horizontal="left" vertical="center"/>
    </xf>
    <xf numFmtId="0" fontId="163"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197" fillId="0" borderId="0" xfId="0" applyFont="1" applyAlignment="1">
      <alignment horizontal="right" vertical="center" wrapText="1"/>
    </xf>
    <xf numFmtId="0" fontId="0" fillId="0" borderId="0" xfId="0" applyFont="1" applyAlignment="1">
      <alignment vertical="center" wrapText="1"/>
    </xf>
    <xf numFmtId="0" fontId="197" fillId="0" borderId="0" xfId="0" applyFont="1" applyAlignment="1">
      <alignment vertical="center" wrapText="1"/>
    </xf>
    <xf numFmtId="0" fontId="78" fillId="5" borderId="4" xfId="0" applyFont="1" applyFill="1" applyBorder="1" applyAlignment="1" applyProtection="1">
      <alignment horizontal="right" vertical="center"/>
    </xf>
    <xf numFmtId="0" fontId="21" fillId="5" borderId="2" xfId="0" applyFont="1" applyFill="1" applyBorder="1" applyProtection="1">
      <alignment vertical="center"/>
    </xf>
    <xf numFmtId="0" fontId="21" fillId="6" borderId="2" xfId="0" applyFont="1" applyFill="1" applyBorder="1" applyAlignment="1" applyProtection="1">
      <alignment horizontal="center" vertical="center"/>
      <protection locked="0"/>
    </xf>
    <xf numFmtId="0" fontId="21" fillId="6" borderId="2" xfId="0" applyFont="1" applyFill="1" applyBorder="1" applyAlignment="1" applyProtection="1">
      <alignment horizontal="center" vertical="center" wrapText="1"/>
      <protection locked="0"/>
    </xf>
    <xf numFmtId="0" fontId="198" fillId="0" borderId="0" xfId="0" applyFont="1">
      <alignment vertical="center"/>
    </xf>
    <xf numFmtId="0" fontId="199" fillId="0" borderId="0" xfId="0" applyFont="1">
      <alignment vertical="center"/>
    </xf>
    <xf numFmtId="0" fontId="198" fillId="0" borderId="0" xfId="0" applyFont="1" applyAlignment="1">
      <alignment horizontal="right" vertical="center"/>
    </xf>
    <xf numFmtId="0" fontId="198"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201" fillId="0" borderId="2" xfId="0" applyFont="1" applyBorder="1" applyAlignment="1">
      <alignment horizontal="center" vertical="center" wrapText="1"/>
    </xf>
    <xf numFmtId="0" fontId="198"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182" fontId="74" fillId="0" borderId="5" xfId="0" applyNumberFormat="1" applyFont="1" applyFill="1" applyBorder="1" applyAlignment="1" applyProtection="1">
      <alignment horizontal="center" vertical="center"/>
      <protection locked="0"/>
    </xf>
    <xf numFmtId="0" fontId="20" fillId="5" borderId="29" xfId="0" applyFont="1" applyFill="1" applyBorder="1" applyAlignment="1" applyProtection="1">
      <alignment horizontal="center" vertical="center" wrapText="1"/>
    </xf>
    <xf numFmtId="0" fontId="20" fillId="5" borderId="6" xfId="0" applyFont="1" applyFill="1" applyBorder="1" applyAlignment="1" applyProtection="1">
      <alignment horizontal="center" vertical="center" wrapText="1"/>
    </xf>
    <xf numFmtId="0" fontId="88" fillId="5" borderId="17" xfId="0" applyFont="1" applyFill="1" applyBorder="1" applyAlignment="1" applyProtection="1">
      <alignment horizontal="center" vertical="center"/>
    </xf>
    <xf numFmtId="0" fontId="79" fillId="5" borderId="27" xfId="0" applyFont="1" applyFill="1" applyBorder="1" applyAlignment="1" applyProtection="1">
      <alignment horizontal="center" vertical="center"/>
    </xf>
    <xf numFmtId="0" fontId="79" fillId="5" borderId="17" xfId="0" applyFont="1" applyFill="1" applyBorder="1" applyAlignment="1" applyProtection="1">
      <alignment horizontal="left" vertical="center"/>
    </xf>
    <xf numFmtId="0" fontId="79" fillId="5" borderId="32" xfId="0" applyFont="1" applyFill="1" applyBorder="1" applyAlignment="1" applyProtection="1">
      <alignment vertical="center"/>
    </xf>
    <xf numFmtId="0" fontId="79" fillId="5" borderId="18" xfId="0" applyFont="1" applyFill="1" applyBorder="1" applyAlignment="1" applyProtection="1">
      <alignment vertical="center"/>
    </xf>
    <xf numFmtId="0" fontId="79" fillId="5" borderId="20" xfId="0" applyFont="1" applyFill="1" applyBorder="1" applyAlignment="1" applyProtection="1">
      <alignment vertical="center"/>
    </xf>
    <xf numFmtId="0" fontId="88" fillId="5" borderId="32" xfId="0" applyFont="1" applyFill="1" applyBorder="1" applyAlignment="1" applyProtection="1">
      <alignment horizontal="center" vertical="center"/>
    </xf>
    <xf numFmtId="0" fontId="88" fillId="5" borderId="18" xfId="0" applyFont="1" applyFill="1" applyBorder="1" applyAlignment="1" applyProtection="1">
      <alignment horizontal="center" vertical="center"/>
    </xf>
    <xf numFmtId="0" fontId="88" fillId="5" borderId="21" xfId="0" applyFont="1" applyFill="1" applyBorder="1" applyAlignment="1" applyProtection="1">
      <alignment horizontal="left" vertical="center"/>
    </xf>
    <xf numFmtId="49" fontId="79" fillId="5" borderId="53" xfId="0" applyNumberFormat="1" applyFont="1" applyFill="1" applyBorder="1" applyAlignment="1" applyProtection="1">
      <alignment horizontal="center" vertical="center"/>
    </xf>
    <xf numFmtId="49" fontId="88" fillId="5" borderId="50" xfId="0" applyNumberFormat="1" applyFont="1" applyFill="1" applyBorder="1" applyAlignment="1" applyProtection="1">
      <alignment horizontal="left" vertical="center"/>
    </xf>
    <xf numFmtId="49" fontId="79" fillId="5" borderId="22" xfId="0" applyNumberFormat="1" applyFont="1" applyFill="1" applyBorder="1" applyAlignment="1" applyProtection="1">
      <alignment horizontal="left" vertical="center"/>
    </xf>
    <xf numFmtId="49" fontId="79" fillId="5" borderId="50" xfId="0" applyNumberFormat="1" applyFont="1" applyFill="1" applyBorder="1" applyAlignment="1" applyProtection="1">
      <alignment horizontal="left" vertical="center"/>
    </xf>
    <xf numFmtId="49" fontId="79" fillId="5" borderId="10" xfId="0" applyNumberFormat="1" applyFont="1" applyFill="1" applyBorder="1" applyAlignment="1" applyProtection="1">
      <alignment horizontal="left" vertical="center"/>
    </xf>
    <xf numFmtId="49" fontId="79" fillId="5" borderId="21" xfId="0" applyNumberFormat="1" applyFont="1" applyFill="1" applyBorder="1" applyAlignment="1" applyProtection="1">
      <alignment vertical="center"/>
    </xf>
    <xf numFmtId="0" fontId="79" fillId="5" borderId="3" xfId="0" applyFont="1" applyFill="1" applyBorder="1" applyAlignment="1" applyProtection="1">
      <alignment horizontal="left" vertical="center"/>
    </xf>
    <xf numFmtId="0" fontId="81" fillId="5" borderId="9" xfId="0" applyFont="1" applyFill="1" applyBorder="1" applyAlignment="1" applyProtection="1">
      <alignment vertical="center"/>
    </xf>
    <xf numFmtId="0" fontId="81" fillId="2" borderId="9" xfId="0" applyFont="1" applyFill="1" applyBorder="1" applyAlignment="1" applyProtection="1">
      <alignment vertical="center"/>
    </xf>
    <xf numFmtId="0" fontId="81" fillId="0" borderId="5" xfId="0" applyFont="1" applyBorder="1" applyAlignment="1" applyProtection="1">
      <alignment horizontal="center" vertical="center" wrapText="1"/>
    </xf>
    <xf numFmtId="49" fontId="81" fillId="0" borderId="2" xfId="0" applyNumberFormat="1" applyFont="1" applyBorder="1" applyAlignment="1" applyProtection="1">
      <alignment horizontal="center" vertical="center" wrapText="1"/>
    </xf>
    <xf numFmtId="49" fontId="81" fillId="0" borderId="5" xfId="0" applyNumberFormat="1" applyFont="1" applyBorder="1" applyAlignment="1" applyProtection="1">
      <alignment vertical="center" wrapText="1"/>
    </xf>
    <xf numFmtId="0" fontId="81" fillId="0" borderId="0" xfId="0" applyFont="1" applyAlignment="1" applyProtection="1">
      <alignment vertical="center"/>
      <protection locked="0"/>
    </xf>
    <xf numFmtId="0" fontId="81" fillId="6" borderId="71" xfId="0" applyFont="1" applyFill="1" applyBorder="1" applyAlignment="1" applyProtection="1">
      <alignment vertical="center" wrapText="1"/>
      <protection locked="0"/>
    </xf>
    <xf numFmtId="0" fontId="81" fillId="6" borderId="5" xfId="0" applyFont="1" applyFill="1" applyBorder="1" applyAlignment="1" applyProtection="1">
      <alignment vertical="center" wrapText="1"/>
      <protection locked="0"/>
    </xf>
    <xf numFmtId="0" fontId="81" fillId="6" borderId="8" xfId="0" applyFont="1" applyFill="1" applyBorder="1" applyAlignment="1" applyProtection="1">
      <alignment horizontal="center" vertical="center" wrapText="1"/>
      <protection locked="0"/>
    </xf>
    <xf numFmtId="0" fontId="81" fillId="5" borderId="7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49" fontId="60" fillId="5" borderId="59" xfId="0" applyNumberFormat="1" applyFont="1" applyFill="1" applyBorder="1" applyAlignment="1" applyProtection="1">
      <alignment vertical="center"/>
    </xf>
    <xf numFmtId="49" fontId="60" fillId="6" borderId="30" xfId="0" applyNumberFormat="1" applyFont="1" applyFill="1" applyBorder="1" applyAlignment="1" applyProtection="1">
      <alignment vertical="center"/>
      <protection locked="0"/>
    </xf>
    <xf numFmtId="0" fontId="50" fillId="5" borderId="10" xfId="0" applyFont="1" applyFill="1" applyBorder="1" applyAlignment="1" applyProtection="1">
      <alignment horizontal="center" vertical="center"/>
    </xf>
    <xf numFmtId="0" fontId="155" fillId="5" borderId="2" xfId="3" applyFont="1" applyFill="1" applyBorder="1" applyAlignment="1" applyProtection="1">
      <alignment horizontal="center" vertical="center"/>
    </xf>
    <xf numFmtId="0" fontId="167" fillId="0" borderId="44" xfId="3" applyNumberFormat="1" applyFont="1" applyFill="1" applyBorder="1" applyAlignment="1" applyProtection="1">
      <alignment horizontal="center" vertical="center" wrapText="1"/>
      <protection locked="0"/>
    </xf>
    <xf numFmtId="0" fontId="202" fillId="5" borderId="0" xfId="0" applyFont="1" applyFill="1" applyAlignment="1" applyProtection="1">
      <alignment horizontal="center" vertical="center"/>
    </xf>
    <xf numFmtId="0" fontId="169" fillId="5" borderId="40" xfId="0" applyFont="1" applyFill="1" applyBorder="1" applyAlignment="1" applyProtection="1">
      <alignment horizontal="center" vertical="center"/>
    </xf>
    <xf numFmtId="0" fontId="169" fillId="5" borderId="53" xfId="0" applyFont="1" applyFill="1" applyBorder="1" applyAlignment="1" applyProtection="1">
      <alignment vertical="center" wrapText="1"/>
    </xf>
    <xf numFmtId="0" fontId="169" fillId="5" borderId="1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6" xfId="0" applyFont="1" applyFill="1" applyBorder="1" applyAlignment="1" applyProtection="1">
      <alignment horizontal="center" vertical="center" wrapText="1"/>
    </xf>
    <xf numFmtId="10" fontId="155" fillId="0" borderId="6" xfId="0" applyNumberFormat="1" applyFont="1" applyBorder="1" applyAlignment="1">
      <alignment horizontal="center" vertical="center" wrapText="1"/>
    </xf>
    <xf numFmtId="10" fontId="155" fillId="0" borderId="7" xfId="0" applyNumberFormat="1" applyFont="1" applyBorder="1" applyAlignment="1">
      <alignment horizontal="center" vertical="center" wrapText="1"/>
    </xf>
    <xf numFmtId="0" fontId="168" fillId="5" borderId="2" xfId="0" applyFont="1" applyFill="1" applyBorder="1" applyAlignment="1" applyProtection="1">
      <alignment horizontal="center" vertical="center" wrapText="1"/>
    </xf>
    <xf numFmtId="10" fontId="155" fillId="0" borderId="2" xfId="0" applyNumberFormat="1" applyFont="1" applyBorder="1" applyAlignment="1">
      <alignment horizontal="center" vertical="center" wrapText="1"/>
    </xf>
    <xf numFmtId="10" fontId="155" fillId="0" borderId="12" xfId="0" applyNumberFormat="1" applyFont="1" applyBorder="1" applyAlignment="1">
      <alignment horizontal="center" vertical="center" wrapText="1"/>
    </xf>
    <xf numFmtId="0" fontId="168" fillId="5" borderId="21" xfId="0" applyFont="1" applyFill="1" applyBorder="1" applyAlignment="1" applyProtection="1">
      <alignment horizontal="center" vertical="center" wrapText="1"/>
    </xf>
    <xf numFmtId="0" fontId="168" fillId="5" borderId="33" xfId="0" applyFont="1" applyFill="1" applyBorder="1" applyAlignment="1" applyProtection="1">
      <alignment vertical="center" wrapText="1"/>
    </xf>
    <xf numFmtId="0" fontId="168" fillId="5" borderId="55" xfId="0" applyFont="1" applyFill="1" applyBorder="1" applyAlignment="1" applyProtection="1">
      <alignment horizontal="center" vertical="center" wrapText="1"/>
    </xf>
    <xf numFmtId="10" fontId="155"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8" fillId="5" borderId="44" xfId="0" applyFont="1" applyFill="1" applyBorder="1" applyAlignment="1" applyProtection="1">
      <alignment horizontal="center" vertical="center" wrapText="1"/>
    </xf>
    <xf numFmtId="10" fontId="155" fillId="0" borderId="46" xfId="0" applyNumberFormat="1" applyFont="1" applyBorder="1" applyAlignment="1">
      <alignment horizontal="center" vertical="center" wrapText="1"/>
    </xf>
    <xf numFmtId="0" fontId="168" fillId="5" borderId="10" xfId="0" applyFont="1" applyFill="1" applyBorder="1" applyAlignment="1" applyProtection="1">
      <alignment horizontal="center" vertical="center" wrapText="1"/>
    </xf>
    <xf numFmtId="10" fontId="155" fillId="0" borderId="10" xfId="0" applyNumberFormat="1" applyFont="1" applyBorder="1" applyAlignment="1">
      <alignment horizontal="center" vertical="center" wrapText="1"/>
    </xf>
    <xf numFmtId="0" fontId="168" fillId="5" borderId="83" xfId="0" applyFont="1" applyFill="1" applyBorder="1" applyAlignment="1" applyProtection="1">
      <alignment horizontal="center" vertical="center" wrapText="1"/>
    </xf>
    <xf numFmtId="10" fontId="0" fillId="0" borderId="37" xfId="0" applyNumberFormat="1" applyBorder="1">
      <alignment vertical="center"/>
    </xf>
    <xf numFmtId="10" fontId="155" fillId="0" borderId="34" xfId="0" applyNumberFormat="1" applyFont="1" applyBorder="1" applyAlignment="1">
      <alignment horizontal="center" vertical="center" wrapText="1"/>
    </xf>
    <xf numFmtId="0" fontId="168" fillId="5" borderId="24" xfId="0" applyFont="1" applyFill="1" applyBorder="1" applyAlignment="1" applyProtection="1">
      <alignment vertical="center" wrapText="1"/>
    </xf>
    <xf numFmtId="10" fontId="155"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2" fillId="5" borderId="1" xfId="0" applyNumberFormat="1" applyFont="1" applyFill="1" applyBorder="1" applyAlignment="1" applyProtection="1">
      <alignment horizontal="center" vertical="center"/>
    </xf>
    <xf numFmtId="0" fontId="152" fillId="5" borderId="29" xfId="0" applyNumberFormat="1" applyFont="1" applyFill="1" applyBorder="1" applyProtection="1">
      <alignment vertical="center"/>
    </xf>
    <xf numFmtId="10" fontId="89" fillId="5" borderId="7" xfId="3" applyNumberFormat="1" applyFont="1" applyFill="1" applyBorder="1" applyAlignment="1" applyProtection="1">
      <alignment vertical="center" wrapText="1"/>
    </xf>
    <xf numFmtId="0" fontId="152" fillId="5" borderId="11" xfId="0" applyNumberFormat="1" applyFont="1" applyFill="1" applyBorder="1" applyAlignment="1" applyProtection="1">
      <alignment horizontal="center" vertical="center"/>
    </xf>
    <xf numFmtId="0" fontId="152" fillId="5" borderId="5" xfId="0" applyNumberFormat="1" applyFont="1" applyFill="1" applyBorder="1" applyProtection="1">
      <alignment vertical="center"/>
    </xf>
    <xf numFmtId="10" fontId="89" fillId="5" borderId="12" xfId="3" applyNumberFormat="1" applyFont="1" applyFill="1" applyBorder="1" applyAlignment="1" applyProtection="1">
      <alignment vertical="center" wrapText="1"/>
    </xf>
    <xf numFmtId="0" fontId="152" fillId="5" borderId="43" xfId="0" applyNumberFormat="1" applyFont="1" applyFill="1" applyBorder="1" applyAlignment="1" applyProtection="1">
      <alignment horizontal="center" vertical="center"/>
    </xf>
    <xf numFmtId="0" fontId="152" fillId="5" borderId="45" xfId="0" applyNumberFormat="1" applyFont="1" applyFill="1" applyBorder="1" applyProtection="1">
      <alignment vertical="center"/>
    </xf>
    <xf numFmtId="10" fontId="89" fillId="5" borderId="46" xfId="3" applyNumberFormat="1" applyFont="1" applyFill="1" applyBorder="1" applyAlignment="1" applyProtection="1">
      <alignment vertical="center" wrapText="1"/>
    </xf>
    <xf numFmtId="0" fontId="50" fillId="5" borderId="5" xfId="3" applyFont="1" applyFill="1" applyBorder="1" applyAlignment="1" applyProtection="1">
      <alignment vertical="center" wrapText="1"/>
    </xf>
    <xf numFmtId="0" fontId="50" fillId="5" borderId="8" xfId="3" applyFont="1" applyFill="1" applyBorder="1" applyAlignment="1" applyProtection="1">
      <alignment vertical="center" wrapText="1"/>
    </xf>
    <xf numFmtId="0" fontId="50" fillId="5" borderId="9" xfId="3" applyFont="1" applyFill="1" applyBorder="1" applyAlignment="1" applyProtection="1">
      <alignment vertical="center" wrapText="1"/>
    </xf>
    <xf numFmtId="0" fontId="50" fillId="5" borderId="2" xfId="3" applyFont="1" applyFill="1" applyBorder="1" applyAlignment="1" applyProtection="1">
      <alignment vertical="center" wrapText="1"/>
    </xf>
    <xf numFmtId="0" fontId="55" fillId="5" borderId="5" xfId="0" applyFont="1" applyFill="1" applyBorder="1" applyAlignment="1" applyProtection="1">
      <alignment horizontal="center" vertical="center" wrapText="1"/>
    </xf>
    <xf numFmtId="0" fontId="55" fillId="5" borderId="73" xfId="0" applyNumberFormat="1" applyFont="1" applyFill="1" applyBorder="1" applyAlignment="1" applyProtection="1">
      <alignment horizontal="center" vertical="center" wrapText="1"/>
    </xf>
    <xf numFmtId="0" fontId="109" fillId="5" borderId="50" xfId="0" applyFont="1" applyFill="1" applyBorder="1" applyAlignment="1" applyProtection="1">
      <alignment horizontal="center" vertical="center"/>
    </xf>
    <xf numFmtId="0" fontId="109" fillId="0" borderId="21" xfId="0" applyFont="1" applyBorder="1" applyAlignment="1" applyProtection="1">
      <alignment horizontal="center" vertical="center"/>
      <protection locked="0"/>
    </xf>
    <xf numFmtId="0" fontId="109" fillId="0" borderId="17" xfId="0" applyFont="1" applyBorder="1" applyAlignment="1" applyProtection="1">
      <alignment horizontal="center" vertical="center"/>
      <protection locked="0"/>
    </xf>
    <xf numFmtId="0" fontId="109" fillId="0" borderId="93" xfId="0" applyFont="1" applyFill="1" applyBorder="1" applyAlignment="1" applyProtection="1">
      <alignment horizontal="center" vertical="center"/>
      <protection locked="0"/>
    </xf>
    <xf numFmtId="0" fontId="109" fillId="0" borderId="51" xfId="0" applyFont="1" applyBorder="1" applyAlignment="1" applyProtection="1">
      <alignment horizontal="center" vertical="center"/>
      <protection locked="0"/>
    </xf>
    <xf numFmtId="186" fontId="109" fillId="5" borderId="51" xfId="0" applyNumberFormat="1" applyFont="1" applyFill="1" applyBorder="1" applyAlignment="1" applyProtection="1">
      <alignment horizontal="center" vertical="center"/>
    </xf>
    <xf numFmtId="0" fontId="109" fillId="5" borderId="11" xfId="0" applyFont="1" applyFill="1" applyBorder="1" applyAlignment="1" applyProtection="1">
      <alignment horizontal="center" vertical="center"/>
    </xf>
    <xf numFmtId="0" fontId="109" fillId="0" borderId="2"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109" fillId="0" borderId="94" xfId="0" applyFont="1" applyFill="1" applyBorder="1" applyAlignment="1" applyProtection="1">
      <alignment horizontal="center" vertical="center"/>
      <protection locked="0"/>
    </xf>
    <xf numFmtId="0" fontId="109" fillId="0" borderId="12" xfId="0" applyFont="1" applyBorder="1" applyAlignment="1" applyProtection="1">
      <alignment horizontal="center" vertical="center"/>
      <protection locked="0"/>
    </xf>
    <xf numFmtId="0" fontId="109" fillId="5" borderId="12" xfId="0" applyFont="1" applyFill="1" applyBorder="1" applyAlignment="1" applyProtection="1">
      <alignment horizontal="center" vertical="center"/>
    </xf>
    <xf numFmtId="179" fontId="109" fillId="5" borderId="12" xfId="0" applyNumberFormat="1" applyFont="1" applyFill="1" applyBorder="1" applyAlignment="1" applyProtection="1">
      <alignment horizontal="center" vertical="center"/>
    </xf>
    <xf numFmtId="179" fontId="109" fillId="0" borderId="12" xfId="0" applyNumberFormat="1" applyFont="1" applyBorder="1" applyAlignment="1" applyProtection="1">
      <alignment horizontal="center" vertical="center"/>
      <protection locked="0"/>
    </xf>
    <xf numFmtId="0" fontId="152" fillId="0" borderId="94" xfId="0" applyFont="1" applyFill="1" applyBorder="1" applyAlignment="1" applyProtection="1">
      <alignment horizontal="center" vertical="center"/>
      <protection locked="0"/>
    </xf>
    <xf numFmtId="0" fontId="109" fillId="5" borderId="44" xfId="0" applyFont="1" applyFill="1" applyBorder="1" applyAlignment="1" applyProtection="1">
      <alignment horizontal="center" vertical="center"/>
    </xf>
    <xf numFmtId="0" fontId="109" fillId="0" borderId="44" xfId="0" applyFont="1" applyBorder="1" applyAlignment="1" applyProtection="1">
      <alignment horizontal="center" vertical="center"/>
      <protection locked="0"/>
    </xf>
    <xf numFmtId="179" fontId="109" fillId="5" borderId="46" xfId="0" applyNumberFormat="1" applyFont="1" applyFill="1" applyBorder="1" applyAlignment="1" applyProtection="1">
      <alignment horizontal="center" vertical="center"/>
    </xf>
    <xf numFmtId="0" fontId="186" fillId="0" borderId="0" xfId="0" applyFont="1" applyFill="1" applyAlignment="1" applyProtection="1">
      <alignment horizontal="left" vertical="center"/>
      <protection locked="0"/>
    </xf>
    <xf numFmtId="0" fontId="61" fillId="0" borderId="0" xfId="0" applyFont="1" applyFill="1" applyAlignment="1" applyProtection="1">
      <alignment horizontal="center" vertical="center"/>
      <protection locked="0"/>
    </xf>
    <xf numFmtId="188" fontId="61" fillId="0" borderId="0" xfId="0" applyNumberFormat="1" applyFont="1" applyFill="1" applyAlignment="1" applyProtection="1">
      <alignment horizontal="center" vertical="center"/>
      <protection locked="0"/>
    </xf>
    <xf numFmtId="0" fontId="163" fillId="5" borderId="26" xfId="0" applyFont="1" applyFill="1" applyBorder="1" applyAlignment="1" applyProtection="1">
      <alignment horizontal="center" vertical="center"/>
    </xf>
    <xf numFmtId="0" fontId="143" fillId="5" borderId="28" xfId="0" applyFont="1" applyFill="1" applyBorder="1" applyAlignment="1" applyProtection="1">
      <alignment horizontal="center" vertical="center"/>
    </xf>
    <xf numFmtId="0" fontId="61" fillId="5" borderId="28" xfId="0" applyFont="1" applyFill="1" applyBorder="1" applyAlignment="1" applyProtection="1">
      <alignment horizontal="center" vertical="center"/>
    </xf>
    <xf numFmtId="0" fontId="61" fillId="5" borderId="39" xfId="0" applyFont="1" applyFill="1" applyBorder="1" applyAlignment="1" applyProtection="1">
      <alignment horizontal="center" vertical="center"/>
    </xf>
    <xf numFmtId="0" fontId="163" fillId="5" borderId="28" xfId="0" applyFont="1" applyFill="1" applyBorder="1" applyAlignment="1" applyProtection="1">
      <alignment horizontal="center" vertical="center"/>
    </xf>
    <xf numFmtId="0" fontId="143" fillId="5" borderId="39" xfId="0" applyFont="1" applyFill="1" applyBorder="1" applyAlignment="1" applyProtection="1">
      <alignment horizontal="center" vertical="center"/>
    </xf>
    <xf numFmtId="0" fontId="143" fillId="5" borderId="87" xfId="0" applyFont="1" applyFill="1" applyBorder="1" applyProtection="1">
      <alignment vertical="center"/>
    </xf>
    <xf numFmtId="0" fontId="163" fillId="5" borderId="2" xfId="0" applyFont="1" applyFill="1" applyBorder="1" applyAlignment="1" applyProtection="1">
      <alignment horizontal="center" vertical="center"/>
    </xf>
    <xf numFmtId="0" fontId="163" fillId="5" borderId="5" xfId="0" applyFont="1" applyFill="1" applyBorder="1" applyAlignment="1" applyProtection="1">
      <alignment horizontal="center" vertical="center"/>
    </xf>
    <xf numFmtId="0" fontId="163" fillId="5" borderId="94" xfId="0" applyFont="1" applyFill="1" applyBorder="1" applyAlignment="1" applyProtection="1">
      <alignment horizontal="center" vertical="center"/>
    </xf>
    <xf numFmtId="0" fontId="163" fillId="5" borderId="12" xfId="0" applyFont="1" applyFill="1" applyBorder="1" applyAlignment="1" applyProtection="1">
      <alignment horizontal="center" vertical="center"/>
    </xf>
    <xf numFmtId="0" fontId="143" fillId="5" borderId="19" xfId="0" applyFont="1" applyFill="1" applyBorder="1" applyAlignment="1" applyProtection="1">
      <alignment horizontal="center" vertical="center"/>
    </xf>
    <xf numFmtId="0" fontId="163" fillId="0" borderId="21" xfId="0" applyFont="1" applyBorder="1" applyAlignment="1" applyProtection="1">
      <alignment horizontal="center" vertical="center"/>
      <protection locked="0"/>
    </xf>
    <xf numFmtId="0" fontId="163" fillId="5" borderId="20" xfId="0" applyFont="1" applyFill="1" applyBorder="1" applyAlignment="1" applyProtection="1">
      <alignment horizontal="center" vertical="center"/>
    </xf>
    <xf numFmtId="0" fontId="143" fillId="0" borderId="2" xfId="0" applyFont="1" applyBorder="1" applyAlignment="1" applyProtection="1">
      <alignment horizontal="center" vertical="center"/>
      <protection locked="0"/>
    </xf>
    <xf numFmtId="0" fontId="163" fillId="5" borderId="9" xfId="0" applyFont="1"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163" fillId="5" borderId="43" xfId="0" applyFont="1" applyFill="1" applyBorder="1" applyAlignment="1" applyProtection="1">
      <alignment horizontal="center" vertical="center"/>
    </xf>
    <xf numFmtId="0" fontId="143" fillId="5" borderId="61" xfId="0" applyFont="1" applyFill="1" applyBorder="1" applyAlignment="1" applyProtection="1">
      <alignment horizontal="center" vertical="center"/>
    </xf>
    <xf numFmtId="0" fontId="143" fillId="5" borderId="95" xfId="0" applyFont="1" applyFill="1" applyBorder="1" applyAlignment="1" applyProtection="1">
      <alignment horizontal="left" vertical="center"/>
    </xf>
    <xf numFmtId="0" fontId="61" fillId="5" borderId="61" xfId="0" applyFont="1" applyFill="1" applyBorder="1" applyAlignment="1" applyProtection="1">
      <alignment horizontal="center" vertical="center"/>
    </xf>
    <xf numFmtId="0" fontId="61" fillId="5" borderId="66" xfId="0" applyFont="1" applyFill="1" applyBorder="1" applyAlignment="1" applyProtection="1">
      <alignment horizontal="center" vertical="center"/>
    </xf>
    <xf numFmtId="0" fontId="163" fillId="5" borderId="47" xfId="0" applyFont="1" applyFill="1" applyBorder="1" applyAlignment="1" applyProtection="1">
      <alignment horizontal="center" vertical="center"/>
    </xf>
    <xf numFmtId="10" fontId="14" fillId="6" borderId="16" xfId="0" applyNumberFormat="1" applyFont="1" applyFill="1" applyBorder="1" applyAlignment="1" applyProtection="1">
      <alignment horizontal="left" vertical="center" wrapText="1"/>
      <protection locked="0"/>
    </xf>
    <xf numFmtId="0" fontId="162" fillId="0" borderId="11" xfId="0" applyFont="1" applyFill="1" applyBorder="1" applyProtection="1">
      <alignment vertical="center"/>
      <protection locked="0"/>
    </xf>
    <xf numFmtId="0" fontId="198" fillId="0" borderId="2" xfId="0" applyFont="1" applyBorder="1" applyAlignment="1">
      <alignment horizontal="left" vertical="center" wrapText="1"/>
    </xf>
    <xf numFmtId="0" fontId="112" fillId="5" borderId="2" xfId="0" applyFont="1" applyFill="1" applyBorder="1" applyAlignment="1" applyProtection="1">
      <alignment horizontal="center" vertical="center"/>
    </xf>
    <xf numFmtId="0" fontId="203" fillId="5" borderId="11" xfId="0" applyFont="1" applyFill="1" applyBorder="1" applyAlignment="1" applyProtection="1">
      <alignment horizontal="center" vertical="center"/>
    </xf>
    <xf numFmtId="0" fontId="112" fillId="6" borderId="11" xfId="0" applyFont="1" applyFill="1" applyBorder="1" applyAlignment="1" applyProtection="1">
      <alignment horizontal="center" vertical="center"/>
      <protection locked="0"/>
    </xf>
    <xf numFmtId="0" fontId="203" fillId="5" borderId="43" xfId="0" applyFont="1" applyFill="1" applyBorder="1" applyAlignment="1" applyProtection="1">
      <alignment horizontal="center" vertical="center"/>
    </xf>
    <xf numFmtId="49" fontId="112" fillId="5" borderId="2" xfId="0" applyNumberFormat="1" applyFont="1" applyFill="1" applyBorder="1" applyAlignment="1" applyProtection="1">
      <alignment horizontal="center" vertical="center"/>
    </xf>
    <xf numFmtId="49" fontId="112" fillId="5" borderId="44" xfId="0" applyNumberFormat="1" applyFont="1" applyFill="1" applyBorder="1" applyAlignment="1" applyProtection="1">
      <alignment horizontal="center" vertical="center"/>
    </xf>
    <xf numFmtId="178" fontId="89" fillId="5" borderId="5" xfId="2" applyNumberFormat="1" applyFont="1" applyFill="1" applyBorder="1" applyAlignment="1" applyProtection="1">
      <alignment horizontal="center"/>
    </xf>
    <xf numFmtId="0" fontId="87" fillId="5" borderId="29" xfId="0" applyFont="1" applyFill="1" applyBorder="1" applyAlignment="1" applyProtection="1">
      <alignment horizontal="center" vertical="center"/>
    </xf>
    <xf numFmtId="0" fontId="162" fillId="5" borderId="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55" fillId="5" borderId="12" xfId="0" applyNumberFormat="1" applyFont="1" applyFill="1" applyBorder="1" applyAlignment="1" applyProtection="1">
      <alignment horizontal="center" vertical="center"/>
    </xf>
    <xf numFmtId="49" fontId="155" fillId="5" borderId="12" xfId="0" applyNumberFormat="1" applyFont="1" applyFill="1" applyBorder="1" applyAlignment="1" applyProtection="1">
      <alignment horizontal="center" vertical="center"/>
    </xf>
    <xf numFmtId="0" fontId="155" fillId="5" borderId="11" xfId="0" applyFont="1" applyFill="1" applyBorder="1" applyAlignment="1" applyProtection="1">
      <alignment horizontal="center" vertical="center"/>
    </xf>
    <xf numFmtId="0" fontId="155" fillId="5" borderId="43" xfId="0" applyFont="1" applyFill="1" applyBorder="1" applyAlignment="1" applyProtection="1">
      <alignment horizontal="center" vertical="center"/>
    </xf>
    <xf numFmtId="49" fontId="155" fillId="5" borderId="46" xfId="0" applyNumberFormat="1" applyFont="1" applyFill="1" applyBorder="1" applyAlignment="1" applyProtection="1">
      <alignment horizontal="center" vertical="center"/>
    </xf>
    <xf numFmtId="0" fontId="204" fillId="0" borderId="0" xfId="0" applyFont="1" applyFill="1" applyAlignment="1" applyProtection="1">
      <alignment horizontal="left" vertical="center"/>
      <protection locked="0"/>
    </xf>
    <xf numFmtId="0" fontId="45" fillId="5" borderId="2" xfId="2" applyFont="1" applyFill="1" applyBorder="1" applyAlignment="1" applyProtection="1">
      <alignment horizontal="left"/>
    </xf>
    <xf numFmtId="0" fontId="79" fillId="0" borderId="50"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5" borderId="96" xfId="0" applyNumberFormat="1" applyFont="1" applyFill="1" applyBorder="1" applyAlignment="1" applyProtection="1">
      <alignment horizontal="center" vertical="center" wrapText="1"/>
    </xf>
    <xf numFmtId="0" fontId="79" fillId="0" borderId="97" xfId="0" applyNumberFormat="1" applyFont="1" applyFill="1" applyBorder="1" applyAlignment="1" applyProtection="1">
      <alignment horizontal="center" vertical="center" wrapText="1"/>
      <protection locked="0"/>
    </xf>
    <xf numFmtId="0" fontId="89" fillId="0" borderId="98" xfId="0" applyNumberFormat="1" applyFont="1" applyFill="1" applyBorder="1" applyAlignment="1" applyProtection="1">
      <alignment horizontal="center" vertical="center" wrapText="1"/>
      <protection locked="0"/>
    </xf>
    <xf numFmtId="0" fontId="89" fillId="5" borderId="99" xfId="0" applyNumberFormat="1" applyFont="1" applyFill="1" applyBorder="1" applyAlignment="1" applyProtection="1">
      <alignment horizontal="center" vertical="center" wrapText="1"/>
    </xf>
    <xf numFmtId="0" fontId="79" fillId="5" borderId="97" xfId="0" applyNumberFormat="1" applyFont="1" applyFill="1" applyBorder="1" applyAlignment="1" applyProtection="1">
      <alignment horizontal="center" vertical="center" wrapText="1"/>
    </xf>
    <xf numFmtId="0" fontId="89" fillId="5" borderId="98" xfId="0" applyNumberFormat="1" applyFont="1" applyFill="1" applyBorder="1" applyAlignment="1" applyProtection="1">
      <alignment horizontal="center" vertical="center" wrapText="1"/>
    </xf>
    <xf numFmtId="0" fontId="89"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120" fillId="0" borderId="0" xfId="0" applyFont="1" applyProtection="1">
      <alignment vertical="center"/>
      <protection locked="0"/>
    </xf>
    <xf numFmtId="0" fontId="78" fillId="5" borderId="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155"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79" fillId="5" borderId="8" xfId="0" applyFont="1" applyFill="1" applyBorder="1" applyAlignment="1" applyProtection="1">
      <alignment horizontal="left" vertical="center" wrapText="1"/>
    </xf>
    <xf numFmtId="0" fontId="79" fillId="5" borderId="8" xfId="0" applyFont="1" applyFill="1" applyBorder="1" applyAlignment="1" applyProtection="1">
      <alignment horizontal="center" vertical="center" wrapText="1"/>
    </xf>
    <xf numFmtId="0" fontId="79" fillId="5" borderId="8" xfId="0" applyFont="1" applyFill="1" applyBorder="1" applyAlignment="1" applyProtection="1">
      <alignment horizontal="center" vertical="center"/>
    </xf>
    <xf numFmtId="0" fontId="74" fillId="5" borderId="0" xfId="0" applyFont="1" applyFill="1" applyProtection="1">
      <alignment vertical="center"/>
      <protection locked="0"/>
    </xf>
    <xf numFmtId="0" fontId="74" fillId="0" borderId="0" xfId="0" applyFont="1" applyProtection="1">
      <alignment vertical="center"/>
      <protection locked="0"/>
    </xf>
    <xf numFmtId="0" fontId="74" fillId="5" borderId="0" xfId="0" applyFont="1" applyFill="1" applyBorder="1" applyProtection="1">
      <alignment vertical="center"/>
      <protection locked="0"/>
    </xf>
    <xf numFmtId="0" fontId="74" fillId="5" borderId="0" xfId="0" applyFont="1" applyFill="1" applyBorder="1" applyAlignment="1" applyProtection="1">
      <alignment vertical="center"/>
      <protection locked="0"/>
    </xf>
    <xf numFmtId="177" fontId="74" fillId="0" borderId="0" xfId="0" applyNumberFormat="1" applyFont="1" applyProtection="1">
      <alignment vertical="center"/>
      <protection locked="0"/>
    </xf>
    <xf numFmtId="0" fontId="79" fillId="5" borderId="0" xfId="0" applyFont="1" applyFill="1" applyAlignment="1" applyProtection="1">
      <alignment vertical="center"/>
      <protection locked="0"/>
    </xf>
    <xf numFmtId="180" fontId="79" fillId="5" borderId="0" xfId="0" applyNumberFormat="1" applyFont="1" applyFill="1" applyAlignment="1" applyProtection="1">
      <alignment vertical="center"/>
      <protection locked="0"/>
    </xf>
    <xf numFmtId="0" fontId="79" fillId="5" borderId="0" xfId="0" applyFont="1" applyFill="1" applyAlignment="1" applyProtection="1">
      <alignment horizontal="center" vertical="center"/>
      <protection locked="0"/>
    </xf>
    <xf numFmtId="0"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74" fillId="5" borderId="34" xfId="0" applyFont="1" applyFill="1" applyBorder="1" applyAlignment="1" applyProtection="1">
      <alignment horizontal="center" vertical="center"/>
      <protection locked="0"/>
    </xf>
    <xf numFmtId="180" fontId="74" fillId="5" borderId="0" xfId="0" applyNumberFormat="1" applyFont="1" applyFill="1" applyAlignment="1" applyProtection="1">
      <alignment horizontal="center"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180" fontId="79" fillId="0" borderId="0" xfId="0" applyNumberFormat="1" applyFont="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131" fillId="0" borderId="100" xfId="0" applyFont="1" applyBorder="1" applyAlignment="1" applyProtection="1">
      <alignment horizontal="center" vertical="center" wrapText="1"/>
      <protection locked="0"/>
    </xf>
    <xf numFmtId="0" fontId="131" fillId="0" borderId="100" xfId="0" applyNumberFormat="1" applyFont="1" applyFill="1" applyBorder="1" applyAlignment="1" applyProtection="1">
      <alignment horizontal="center" vertical="center" wrapText="1"/>
      <protection locked="0"/>
    </xf>
    <xf numFmtId="0" fontId="131" fillId="0" borderId="100" xfId="0" applyFont="1" applyFill="1" applyBorder="1" applyAlignment="1" applyProtection="1">
      <alignment horizontal="center" vertical="center" wrapText="1"/>
      <protection locked="0"/>
    </xf>
    <xf numFmtId="0" fontId="131" fillId="0" borderId="101" xfId="0" applyFont="1" applyBorder="1" applyAlignment="1" applyProtection="1">
      <alignment horizontal="center" vertical="center" wrapText="1"/>
      <protection locked="0"/>
    </xf>
    <xf numFmtId="0" fontId="132" fillId="0" borderId="0" xfId="0" applyNumberFormat="1" applyFont="1" applyAlignment="1" applyProtection="1">
      <alignment horizontal="center" vertical="center"/>
      <protection locked="0"/>
    </xf>
    <xf numFmtId="0" fontId="132"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49" fontId="55" fillId="5" borderId="0" xfId="0" applyNumberFormat="1" applyFont="1" applyFill="1" applyBorder="1" applyAlignment="1" applyProtection="1">
      <alignment horizontal="center" vertical="center" wrapText="1"/>
      <protection locked="0"/>
    </xf>
    <xf numFmtId="0" fontId="55" fillId="5" borderId="0" xfId="0"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55" fillId="5"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55" fillId="0" borderId="0" xfId="0" applyNumberFormat="1" applyFont="1" applyFill="1" applyBorder="1" applyAlignment="1" applyProtection="1">
      <alignment horizontal="center" vertical="center" wrapText="1"/>
      <protection locked="0"/>
    </xf>
    <xf numFmtId="49" fontId="55" fillId="0"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protection locked="0"/>
    </xf>
    <xf numFmtId="0" fontId="131" fillId="0" borderId="0" xfId="0" applyFont="1" applyBorder="1" applyAlignment="1" applyProtection="1">
      <alignment horizontal="center" vertical="center" wrapText="1"/>
      <protection locked="0"/>
    </xf>
    <xf numFmtId="0" fontId="131" fillId="0" borderId="0" xfId="0" applyNumberFormat="1" applyFont="1" applyBorder="1" applyAlignment="1" applyProtection="1">
      <alignment horizontal="center" vertical="center" wrapText="1"/>
      <protection locked="0"/>
    </xf>
    <xf numFmtId="0" fontId="131" fillId="0" borderId="18" xfId="0" applyNumberFormat="1" applyFont="1" applyBorder="1" applyAlignment="1" applyProtection="1">
      <alignment horizontal="center" vertical="center" wrapText="1"/>
      <protection locked="0"/>
    </xf>
    <xf numFmtId="0" fontId="132" fillId="0" borderId="0" xfId="0" applyFont="1" applyAlignment="1" applyProtection="1">
      <alignment horizontal="center" vertical="center" wrapText="1"/>
      <protection locked="0"/>
    </xf>
    <xf numFmtId="0" fontId="132" fillId="0" borderId="0" xfId="0" applyNumberFormat="1" applyFont="1" applyFill="1" applyAlignment="1" applyProtection="1">
      <alignment horizontal="center" vertical="center" wrapText="1"/>
      <protection locked="0"/>
    </xf>
    <xf numFmtId="0" fontId="132" fillId="0" borderId="0" xfId="0" applyFont="1" applyFill="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NumberFormat="1" applyFont="1" applyFill="1" applyAlignment="1" applyProtection="1">
      <alignment horizontal="center" vertical="center" wrapText="1"/>
      <protection locked="0"/>
    </xf>
    <xf numFmtId="0" fontId="55" fillId="0" borderId="0" xfId="0" applyFont="1" applyFill="1" applyAlignment="1" applyProtection="1">
      <alignment horizontal="center" vertical="center" wrapText="1"/>
      <protection locked="0"/>
    </xf>
    <xf numFmtId="0" fontId="55" fillId="0" borderId="0" xfId="0" applyNumberFormat="1" applyFont="1" applyAlignment="1" applyProtection="1">
      <alignment horizontal="center" vertical="center"/>
      <protection locked="0"/>
    </xf>
    <xf numFmtId="0" fontId="55" fillId="5" borderId="0" xfId="0"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wrapText="1"/>
      <protection locked="0"/>
    </xf>
    <xf numFmtId="0" fontId="79" fillId="5" borderId="0" xfId="0" applyFont="1" applyFill="1" applyProtection="1">
      <alignment vertical="center"/>
      <protection locked="0"/>
    </xf>
    <xf numFmtId="0" fontId="156" fillId="5" borderId="0" xfId="0" applyFont="1" applyFill="1" applyAlignment="1" applyProtection="1">
      <alignment horizontal="center" vertical="center"/>
      <protection locked="0"/>
    </xf>
    <xf numFmtId="0" fontId="161" fillId="5" borderId="0" xfId="0" applyFont="1" applyFill="1" applyBorder="1" applyAlignment="1" applyProtection="1">
      <alignment horizontal="center" vertical="center"/>
      <protection locked="0"/>
    </xf>
    <xf numFmtId="0" fontId="161" fillId="5" borderId="0" xfId="0" applyFont="1" applyFill="1" applyProtection="1">
      <alignment vertical="center"/>
      <protection locked="0"/>
    </xf>
    <xf numFmtId="0" fontId="72" fillId="5" borderId="0" xfId="0" applyFont="1" applyFill="1" applyBorder="1" applyAlignment="1" applyProtection="1">
      <alignment horizontal="center" vertical="center"/>
      <protection locked="0"/>
    </xf>
    <xf numFmtId="0" fontId="152" fillId="5" borderId="0" xfId="0" applyFont="1" applyFill="1" applyProtection="1">
      <alignment vertical="center"/>
      <protection locked="0"/>
    </xf>
    <xf numFmtId="9" fontId="79" fillId="5" borderId="0" xfId="0" applyNumberFormat="1" applyFont="1" applyFill="1" applyAlignment="1" applyProtection="1">
      <alignment horizontal="center" vertical="center"/>
      <protection locked="0"/>
    </xf>
    <xf numFmtId="10" fontId="79" fillId="5" borderId="0" xfId="0" applyNumberFormat="1" applyFont="1" applyFill="1" applyAlignment="1" applyProtection="1">
      <alignment horizontal="center" vertical="center"/>
      <protection locked="0"/>
    </xf>
    <xf numFmtId="0" fontId="79" fillId="5" borderId="0" xfId="4" applyFont="1" applyFill="1" applyBorder="1" applyAlignment="1" applyProtection="1">
      <alignment horizontal="left" vertical="center" wrapText="1"/>
      <protection locked="0"/>
    </xf>
    <xf numFmtId="0" fontId="152" fillId="0" borderId="0" xfId="0" applyFont="1" applyFill="1" applyProtection="1">
      <alignment vertical="center"/>
      <protection locked="0"/>
    </xf>
    <xf numFmtId="0" fontId="152" fillId="5" borderId="0" xfId="4" applyFont="1" applyFill="1" applyAlignment="1" applyProtection="1">
      <alignment vertical="center" wrapText="1"/>
      <protection locked="0"/>
    </xf>
    <xf numFmtId="0" fontId="152" fillId="5" borderId="0" xfId="4" applyFont="1" applyFill="1" applyProtection="1">
      <protection locked="0"/>
    </xf>
    <xf numFmtId="0" fontId="79" fillId="8" borderId="0" xfId="0" applyFont="1" applyFill="1" applyBorder="1" applyProtection="1">
      <alignment vertical="center"/>
      <protection locked="0"/>
    </xf>
    <xf numFmtId="0" fontId="79" fillId="8" borderId="0" xfId="0" applyFont="1" applyFill="1" applyProtection="1">
      <alignment vertical="center"/>
      <protection locked="0"/>
    </xf>
    <xf numFmtId="0" fontId="79" fillId="8" borderId="0" xfId="0" applyFont="1" applyFill="1" applyBorder="1" applyAlignment="1" applyProtection="1">
      <alignment horizontal="right" vertical="center"/>
      <protection locked="0"/>
    </xf>
    <xf numFmtId="0" fontId="88" fillId="8" borderId="0" xfId="0" applyFont="1" applyFill="1" applyAlignment="1" applyProtection="1">
      <alignment horizontal="left" vertical="center"/>
      <protection locked="0"/>
    </xf>
    <xf numFmtId="2" fontId="79" fillId="8" borderId="0" xfId="0" applyNumberFormat="1" applyFont="1" applyFill="1" applyAlignment="1" applyProtection="1">
      <alignment vertical="center" wrapText="1"/>
      <protection locked="0"/>
    </xf>
    <xf numFmtId="0" fontId="88"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179" fillId="6" borderId="27" xfId="0" applyFont="1" applyFill="1" applyBorder="1" applyAlignment="1" applyProtection="1">
      <alignment horizontal="center" vertical="center" wrapText="1"/>
    </xf>
    <xf numFmtId="0" fontId="179" fillId="6" borderId="6" xfId="0" applyFont="1" applyFill="1" applyBorder="1" applyAlignment="1" applyProtection="1">
      <alignment horizontal="justify" vertical="center" wrapText="1"/>
    </xf>
    <xf numFmtId="0" fontId="179" fillId="6" borderId="7" xfId="0" applyFont="1" applyFill="1" applyBorder="1" applyAlignment="1" applyProtection="1">
      <alignment horizontal="justify" vertical="center" wrapText="1"/>
    </xf>
    <xf numFmtId="0" fontId="101" fillId="5" borderId="0" xfId="0" applyFont="1" applyFill="1" applyAlignment="1" applyProtection="1">
      <alignment vertical="center"/>
      <protection locked="0"/>
    </xf>
    <xf numFmtId="49" fontId="104" fillId="5" borderId="0" xfId="0" applyNumberFormat="1" applyFont="1" applyFill="1" applyBorder="1" applyAlignment="1" applyProtection="1">
      <alignment horizontal="center"/>
      <protection locked="0"/>
    </xf>
    <xf numFmtId="49" fontId="104" fillId="5" borderId="0" xfId="0" applyNumberFormat="1" applyFont="1" applyFill="1" applyBorder="1" applyAlignment="1" applyProtection="1">
      <alignment horizontal="left"/>
      <protection locked="0"/>
    </xf>
    <xf numFmtId="0" fontId="101" fillId="8" borderId="0" xfId="0" applyFont="1" applyFill="1" applyAlignment="1" applyProtection="1">
      <alignment vertical="center"/>
      <protection locked="0"/>
    </xf>
    <xf numFmtId="0" fontId="101" fillId="0" borderId="0" xfId="0" applyFont="1" applyFill="1" applyAlignment="1" applyProtection="1">
      <alignment vertical="center"/>
      <protection locked="0"/>
    </xf>
    <xf numFmtId="0" fontId="109" fillId="5" borderId="0" xfId="0" applyFont="1" applyFill="1" applyBorder="1" applyAlignment="1" applyProtection="1">
      <alignment vertical="center"/>
      <protection locked="0"/>
    </xf>
    <xf numFmtId="49" fontId="100" fillId="5" borderId="0" xfId="0" applyNumberFormat="1" applyFont="1" applyFill="1" applyBorder="1" applyAlignment="1" applyProtection="1">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109" fillId="8" borderId="0" xfId="0" applyFont="1" applyFill="1" applyAlignment="1" applyProtection="1">
      <alignment vertical="center"/>
      <protection locked="0"/>
    </xf>
    <xf numFmtId="0" fontId="109" fillId="0" borderId="0" xfId="0" applyFont="1" applyFill="1" applyAlignment="1" applyProtection="1">
      <alignment vertical="center"/>
      <protection locked="0"/>
    </xf>
    <xf numFmtId="0" fontId="101" fillId="5" borderId="0" xfId="0" applyFont="1" applyFill="1" applyAlignment="1" applyProtection="1">
      <alignment horizontal="center" vertical="center"/>
      <protection locked="0"/>
    </xf>
    <xf numFmtId="0" fontId="109" fillId="5" borderId="0" xfId="0" applyFont="1" applyFill="1" applyAlignment="1" applyProtection="1">
      <alignment vertical="center"/>
      <protection locked="0"/>
    </xf>
    <xf numFmtId="0" fontId="119" fillId="8" borderId="0" xfId="0" applyFont="1" applyFill="1" applyAlignment="1" applyProtection="1">
      <alignment vertical="center"/>
      <protection locked="0"/>
    </xf>
    <xf numFmtId="0" fontId="119" fillId="0" borderId="0" xfId="0" applyFont="1" applyFill="1" applyAlignment="1" applyProtection="1">
      <alignment vertical="center"/>
      <protection locked="0"/>
    </xf>
    <xf numFmtId="49" fontId="98" fillId="5" borderId="0" xfId="0" applyNumberFormat="1" applyFont="1" applyFill="1" applyBorder="1" applyAlignment="1" applyProtection="1">
      <alignment horizontal="left" vertical="center"/>
      <protection locked="0"/>
    </xf>
    <xf numFmtId="0" fontId="98"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9"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49" fontId="121" fillId="5" borderId="0" xfId="0" applyNumberFormat="1" applyFont="1" applyFill="1" applyBorder="1" applyAlignment="1" applyProtection="1">
      <alignment horizontal="left" vertical="center"/>
      <protection locked="0"/>
    </xf>
    <xf numFmtId="0" fontId="121" fillId="5" borderId="0" xfId="0" applyFont="1" applyFill="1" applyBorder="1" applyAlignment="1" applyProtection="1">
      <alignment horizontal="left" vertical="center"/>
      <protection locked="0"/>
    </xf>
    <xf numFmtId="0" fontId="122" fillId="5" borderId="0" xfId="0" applyFont="1" applyFill="1" applyBorder="1" applyAlignment="1" applyProtection="1">
      <alignment horizontal="center" vertical="center"/>
      <protection locked="0"/>
    </xf>
    <xf numFmtId="0" fontId="123" fillId="5" borderId="0" xfId="0" applyFont="1" applyFill="1" applyBorder="1" applyAlignment="1" applyProtection="1">
      <alignment vertical="center"/>
      <protection locked="0"/>
    </xf>
    <xf numFmtId="0" fontId="124" fillId="5" borderId="0" xfId="0" applyFont="1" applyFill="1" applyBorder="1" applyAlignment="1" applyProtection="1">
      <alignment horizontal="left" vertical="center"/>
      <protection locked="0"/>
    </xf>
    <xf numFmtId="180" fontId="122" fillId="5" borderId="0" xfId="0" applyNumberFormat="1" applyFont="1" applyFill="1" applyBorder="1" applyAlignment="1" applyProtection="1">
      <alignment horizontal="center" vertical="center"/>
      <protection locked="0"/>
    </xf>
    <xf numFmtId="0" fontId="152" fillId="5" borderId="0" xfId="0" applyFont="1" applyFill="1" applyAlignment="1" applyProtection="1">
      <protection locked="0"/>
    </xf>
    <xf numFmtId="0" fontId="152" fillId="5" borderId="0" xfId="0" applyFont="1" applyFill="1" applyAlignment="1" applyProtection="1">
      <alignment horizontal="left"/>
      <protection locked="0"/>
    </xf>
    <xf numFmtId="0" fontId="78" fillId="5" borderId="0" xfId="0" applyFont="1" applyFill="1" applyAlignment="1" applyProtection="1">
      <protection locked="0"/>
    </xf>
    <xf numFmtId="0" fontId="78" fillId="5" borderId="0" xfId="0" applyFont="1" applyFill="1" applyAlignment="1" applyProtection="1">
      <alignment horizontal="left"/>
      <protection locked="0"/>
    </xf>
    <xf numFmtId="0" fontId="125" fillId="5" borderId="0" xfId="0" applyFont="1" applyFill="1" applyAlignment="1" applyProtection="1">
      <alignment horizontal="left" vertical="center"/>
      <protection locked="0"/>
    </xf>
    <xf numFmtId="0" fontId="79" fillId="5" borderId="0" xfId="0" applyFont="1" applyFill="1" applyAlignment="1" applyProtection="1">
      <alignment horizontal="left" vertical="center"/>
      <protection locked="0"/>
    </xf>
    <xf numFmtId="0" fontId="109" fillId="5" borderId="0" xfId="0" applyFont="1" applyFill="1" applyAlignment="1" applyProtection="1">
      <alignment horizontal="left" vertical="center"/>
      <protection locked="0"/>
    </xf>
    <xf numFmtId="49" fontId="74" fillId="8" borderId="0" xfId="0" applyNumberFormat="1" applyFont="1" applyFill="1" applyAlignment="1" applyProtection="1">
      <protection locked="0"/>
    </xf>
    <xf numFmtId="0" fontId="74" fillId="8" borderId="0" xfId="0" applyFont="1" applyFill="1" applyAlignment="1" applyProtection="1">
      <protection locked="0"/>
    </xf>
    <xf numFmtId="0" fontId="109" fillId="8" borderId="0" xfId="0" applyFont="1" applyFill="1" applyAlignment="1" applyProtection="1">
      <alignment horizontal="left" vertical="center"/>
      <protection locked="0"/>
    </xf>
    <xf numFmtId="176" fontId="74" fillId="8" borderId="0" xfId="0" applyNumberFormat="1" applyFont="1" applyFill="1" applyAlignment="1" applyProtection="1">
      <alignment horizontal="center"/>
      <protection locked="0"/>
    </xf>
    <xf numFmtId="0" fontId="74" fillId="8" borderId="0" xfId="0" applyFont="1" applyFill="1" applyBorder="1" applyAlignment="1" applyProtection="1">
      <protection locked="0"/>
    </xf>
    <xf numFmtId="0" fontId="89" fillId="8" borderId="0" xfId="0" applyFont="1" applyFill="1" applyBorder="1" applyAlignment="1" applyProtection="1">
      <alignment horizontal="left" vertical="center"/>
      <protection locked="0"/>
    </xf>
    <xf numFmtId="180" fontId="89" fillId="8" borderId="0" xfId="0" applyNumberFormat="1" applyFont="1" applyFill="1" applyBorder="1" applyAlignment="1" applyProtection="1">
      <alignment horizontal="center" vertical="center"/>
      <protection locked="0"/>
    </xf>
    <xf numFmtId="0" fontId="89" fillId="8" borderId="0" xfId="0" applyFont="1" applyFill="1" applyBorder="1" applyAlignment="1" applyProtection="1">
      <alignment vertical="center" wrapText="1"/>
      <protection locked="0"/>
    </xf>
    <xf numFmtId="10" fontId="89" fillId="8" borderId="0" xfId="0" applyNumberFormat="1" applyFont="1" applyFill="1" applyBorder="1" applyAlignment="1" applyProtection="1">
      <alignment horizontal="center"/>
      <protection locked="0"/>
    </xf>
    <xf numFmtId="49" fontId="98" fillId="8" borderId="0" xfId="0" applyNumberFormat="1" applyFont="1" applyFill="1" applyBorder="1" applyAlignment="1" applyProtection="1">
      <alignment horizontal="left" vertical="center"/>
      <protection locked="0"/>
    </xf>
    <xf numFmtId="0" fontId="120" fillId="8" borderId="0" xfId="0" applyFont="1" applyFill="1" applyBorder="1" applyAlignment="1" applyProtection="1">
      <alignment horizontal="center"/>
      <protection locked="0"/>
    </xf>
    <xf numFmtId="0" fontId="109" fillId="8" borderId="0" xfId="0" applyFont="1" applyFill="1" applyBorder="1" applyAlignment="1" applyProtection="1">
      <alignment vertical="center"/>
      <protection locked="0"/>
    </xf>
    <xf numFmtId="49" fontId="109" fillId="8" borderId="0" xfId="0" applyNumberFormat="1" applyFont="1" applyFill="1" applyAlignment="1" applyProtection="1">
      <alignment vertical="center"/>
      <protection locked="0"/>
    </xf>
    <xf numFmtId="0" fontId="109" fillId="8" borderId="0" xfId="0" applyFont="1" applyFill="1" applyAlignment="1" applyProtection="1">
      <alignment horizontal="center" vertical="center"/>
      <protection locked="0"/>
    </xf>
    <xf numFmtId="49" fontId="109" fillId="0" borderId="0" xfId="0" applyNumberFormat="1" applyFont="1" applyFill="1" applyAlignment="1" applyProtection="1">
      <alignment vertical="center"/>
      <protection locked="0"/>
    </xf>
    <xf numFmtId="0" fontId="109" fillId="0" borderId="0" xfId="0" applyFont="1" applyFill="1" applyAlignment="1" applyProtection="1">
      <alignment horizontal="center" vertical="center"/>
      <protection locked="0"/>
    </xf>
    <xf numFmtId="0" fontId="109" fillId="0" borderId="0" xfId="0" applyFont="1" applyFill="1" applyAlignment="1" applyProtection="1">
      <alignment horizontal="left" vertical="center"/>
      <protection locked="0"/>
    </xf>
    <xf numFmtId="0" fontId="100" fillId="5" borderId="2" xfId="2" applyFont="1" applyFill="1" applyBorder="1" applyAlignment="1" applyProtection="1">
      <alignment vertical="center"/>
      <protection locked="0"/>
    </xf>
    <xf numFmtId="0" fontId="74" fillId="8" borderId="0" xfId="0" applyFont="1" applyFill="1" applyAlignment="1" applyProtection="1">
      <alignment horizontal="center"/>
      <protection locked="0"/>
    </xf>
    <xf numFmtId="0" fontId="154" fillId="5" borderId="59" xfId="2" applyFont="1" applyFill="1" applyBorder="1" applyAlignment="1" applyProtection="1">
      <alignment vertical="center"/>
      <protection locked="0"/>
    </xf>
    <xf numFmtId="0" fontId="73" fillId="5" borderId="0" xfId="2" applyFont="1" applyFill="1" applyBorder="1" applyAlignment="1" applyProtection="1">
      <alignment vertical="center"/>
      <protection locked="0"/>
    </xf>
    <xf numFmtId="178" fontId="100" fillId="5" borderId="2" xfId="2" applyNumberFormat="1" applyFont="1" applyFill="1" applyBorder="1" applyAlignment="1" applyProtection="1">
      <alignment horizontal="right" vertical="center"/>
      <protection locked="0"/>
    </xf>
    <xf numFmtId="0" fontId="60" fillId="5" borderId="10" xfId="2" applyFont="1" applyFill="1" applyBorder="1" applyAlignment="1" applyProtection="1">
      <alignment vertical="center"/>
      <protection locked="0"/>
    </xf>
    <xf numFmtId="0" fontId="100" fillId="5" borderId="10" xfId="2" applyFont="1" applyFill="1" applyBorder="1" applyAlignment="1" applyProtection="1">
      <alignment horizontal="right" vertical="center"/>
      <protection locked="0"/>
    </xf>
    <xf numFmtId="0" fontId="100" fillId="5" borderId="0" xfId="2" applyFont="1" applyFill="1" applyBorder="1" applyAlignment="1" applyProtection="1">
      <alignment vertical="center"/>
      <protection locked="0"/>
    </xf>
    <xf numFmtId="0" fontId="73" fillId="5" borderId="30" xfId="0" applyFont="1" applyFill="1" applyBorder="1" applyAlignment="1" applyProtection="1">
      <protection locked="0"/>
    </xf>
    <xf numFmtId="0" fontId="73" fillId="5" borderId="57" xfId="0" applyFont="1" applyFill="1" applyBorder="1" applyAlignment="1" applyProtection="1">
      <protection locked="0"/>
    </xf>
    <xf numFmtId="0" fontId="102" fillId="8"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79" fillId="8" borderId="0" xfId="0" applyFont="1" applyFill="1" applyAlignment="1" applyProtection="1">
      <protection locked="0"/>
    </xf>
    <xf numFmtId="0" fontId="79" fillId="0" borderId="0" xfId="0" applyFont="1" applyFill="1" applyAlignment="1" applyProtection="1">
      <protection locked="0"/>
    </xf>
    <xf numFmtId="0" fontId="83" fillId="8" borderId="0" xfId="0" applyFont="1" applyFill="1" applyProtection="1">
      <alignment vertical="center"/>
      <protection locked="0"/>
    </xf>
    <xf numFmtId="0" fontId="83" fillId="0" borderId="0" xfId="0" applyFont="1" applyFill="1" applyProtection="1">
      <alignment vertical="center"/>
      <protection locked="0"/>
    </xf>
    <xf numFmtId="0" fontId="83" fillId="8" borderId="0" xfId="0" applyFont="1" applyFill="1" applyAlignment="1" applyProtection="1">
      <protection locked="0"/>
    </xf>
    <xf numFmtId="0" fontId="103" fillId="8" borderId="0" xfId="0" applyFont="1" applyFill="1" applyProtection="1">
      <alignment vertical="center"/>
      <protection locked="0"/>
    </xf>
    <xf numFmtId="0" fontId="82" fillId="8" borderId="0" xfId="0" applyFont="1" applyFill="1" applyAlignment="1" applyProtection="1">
      <protection locked="0"/>
    </xf>
    <xf numFmtId="0" fontId="103" fillId="8" borderId="0" xfId="0" applyFont="1" applyFill="1" applyAlignment="1" applyProtection="1">
      <protection locked="0"/>
    </xf>
    <xf numFmtId="0" fontId="83" fillId="8" borderId="0" xfId="0"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9" fillId="3" borderId="0" xfId="0" applyFont="1" applyFill="1" applyAlignment="1" applyProtection="1">
      <alignment horizontal="center"/>
      <protection locked="0"/>
    </xf>
    <xf numFmtId="185" fontId="79" fillId="3" borderId="0" xfId="0" applyNumberFormat="1" applyFont="1" applyFill="1" applyAlignment="1" applyProtection="1">
      <alignment horizontal="center"/>
      <protection locked="0"/>
    </xf>
    <xf numFmtId="0" fontId="103" fillId="8" borderId="0" xfId="0" applyFont="1" applyFill="1" applyAlignment="1" applyProtection="1">
      <alignment vertical="center" wrapText="1"/>
      <protection locked="0"/>
    </xf>
    <xf numFmtId="0" fontId="100"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0" fontId="105" fillId="5" borderId="0" xfId="0" applyFont="1" applyFill="1" applyBorder="1" applyAlignment="1" applyProtection="1">
      <alignment vertical="center"/>
      <protection locked="0"/>
    </xf>
    <xf numFmtId="188" fontId="104" fillId="5" borderId="0" xfId="0" applyNumberFormat="1" applyFont="1" applyFill="1" applyBorder="1" applyAlignment="1" applyProtection="1">
      <alignment horizontal="center" vertical="center"/>
      <protection locked="0"/>
    </xf>
    <xf numFmtId="182" fontId="104" fillId="5" borderId="0" xfId="0" applyNumberFormat="1" applyFont="1" applyFill="1" applyBorder="1" applyAlignment="1" applyProtection="1">
      <alignment vertical="center"/>
      <protection locked="0"/>
    </xf>
    <xf numFmtId="0" fontId="104" fillId="5" borderId="0" xfId="0" applyFont="1" applyFill="1" applyBorder="1" applyAlignment="1" applyProtection="1">
      <alignment horizontal="center" vertical="center"/>
      <protection locked="0"/>
    </xf>
    <xf numFmtId="182" fontId="74" fillId="5" borderId="0" xfId="0" applyNumberFormat="1" applyFont="1" applyFill="1" applyBorder="1" applyAlignment="1" applyProtection="1">
      <alignment vertical="center" wrapText="1"/>
      <protection locked="0"/>
    </xf>
    <xf numFmtId="0" fontId="87" fillId="5" borderId="0" xfId="0" applyFont="1" applyFill="1" applyBorder="1" applyAlignment="1" applyProtection="1">
      <alignment horizontal="center" vertical="center"/>
      <protection locked="0"/>
    </xf>
    <xf numFmtId="182" fontId="74" fillId="5" borderId="0" xfId="0" applyNumberFormat="1"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protection locked="0"/>
    </xf>
    <xf numFmtId="0" fontId="74" fillId="5" borderId="18" xfId="0" applyFont="1" applyFill="1" applyBorder="1" applyAlignment="1" applyProtection="1">
      <alignment horizontal="center" vertical="center"/>
      <protection locked="0"/>
    </xf>
    <xf numFmtId="182" fontId="107" fillId="5" borderId="0" xfId="0" applyNumberFormat="1" applyFont="1" applyFill="1" applyBorder="1" applyAlignment="1" applyProtection="1">
      <alignment horizontal="center" vertical="center" wrapText="1"/>
      <protection locked="0"/>
    </xf>
    <xf numFmtId="0" fontId="107"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horizontal="center" vertical="center" wrapText="1"/>
      <protection locked="0"/>
    </xf>
    <xf numFmtId="0" fontId="87" fillId="5" borderId="18" xfId="0" applyFont="1" applyFill="1" applyBorder="1" applyAlignment="1" applyProtection="1">
      <alignment horizontal="center" vertical="center"/>
      <protection locked="0"/>
    </xf>
    <xf numFmtId="182" fontId="108"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87" fillId="5" borderId="0" xfId="0" applyNumberFormat="1" applyFont="1" applyFill="1" applyBorder="1" applyAlignment="1" applyProtection="1">
      <alignment vertical="center" wrapText="1"/>
      <protection locked="0"/>
    </xf>
    <xf numFmtId="0" fontId="87" fillId="5" borderId="0" xfId="0" applyFont="1" applyFill="1" applyAlignment="1" applyProtection="1">
      <alignment horizontal="center" vertical="center"/>
      <protection locked="0"/>
    </xf>
    <xf numFmtId="0" fontId="108" fillId="5" borderId="0" xfId="0" applyFont="1" applyFill="1" applyAlignment="1" applyProtection="1">
      <alignment horizontal="center" vertical="center"/>
      <protection locked="0"/>
    </xf>
    <xf numFmtId="14" fontId="87" fillId="5" borderId="0" xfId="0" applyNumberFormat="1" applyFont="1" applyFill="1" applyAlignment="1" applyProtection="1">
      <alignment horizontal="center" vertical="center"/>
      <protection locked="0"/>
    </xf>
    <xf numFmtId="9" fontId="87" fillId="5" borderId="0" xfId="0" applyNumberFormat="1" applyFont="1" applyFill="1" applyAlignment="1" applyProtection="1">
      <alignment horizontal="center" vertical="center"/>
      <protection locked="0"/>
    </xf>
    <xf numFmtId="188" fontId="87" fillId="5" borderId="0" xfId="0" applyNumberFormat="1" applyFont="1" applyFill="1" applyAlignment="1" applyProtection="1">
      <alignment horizontal="center" vertical="center"/>
      <protection locked="0"/>
    </xf>
    <xf numFmtId="182" fontId="87" fillId="5" borderId="0" xfId="0" applyNumberFormat="1" applyFont="1" applyFill="1" applyAlignment="1" applyProtection="1">
      <alignment horizontal="center" vertical="center"/>
      <protection locked="0"/>
    </xf>
    <xf numFmtId="177" fontId="87" fillId="5" borderId="0" xfId="0" applyNumberFormat="1" applyFont="1" applyFill="1" applyAlignment="1" applyProtection="1">
      <alignment horizontal="center" vertical="center"/>
      <protection locked="0"/>
    </xf>
    <xf numFmtId="188" fontId="108" fillId="5" borderId="0" xfId="0" applyNumberFormat="1" applyFont="1" applyFill="1" applyAlignment="1" applyProtection="1">
      <alignment horizontal="center" vertical="center"/>
      <protection locked="0"/>
    </xf>
    <xf numFmtId="182" fontId="108" fillId="5" borderId="0" xfId="0" applyNumberFormat="1" applyFont="1" applyFill="1" applyAlignment="1" applyProtection="1">
      <alignment horizontal="center" vertical="center"/>
      <protection locked="0"/>
    </xf>
    <xf numFmtId="0" fontId="205" fillId="5" borderId="0" xfId="0" applyFont="1" applyFill="1" applyAlignment="1" applyProtection="1">
      <alignment horizontal="left" vertical="center"/>
      <protection locked="0"/>
    </xf>
    <xf numFmtId="0" fontId="112" fillId="5" borderId="0" xfId="0" applyFont="1" applyFill="1" applyAlignment="1" applyProtection="1">
      <alignment horizontal="center" vertical="center"/>
      <protection locked="0"/>
    </xf>
    <xf numFmtId="0" fontId="89" fillId="5" borderId="0" xfId="0" applyFont="1" applyFill="1" applyAlignment="1" applyProtection="1">
      <protection locked="0"/>
    </xf>
    <xf numFmtId="0" fontId="87" fillId="5" borderId="0" xfId="0" applyFont="1" applyFill="1" applyBorder="1" applyAlignment="1" applyProtection="1">
      <protection locked="0"/>
    </xf>
    <xf numFmtId="9" fontId="74" fillId="5" borderId="0" xfId="0" applyNumberFormat="1" applyFont="1" applyFill="1" applyBorder="1" applyAlignment="1" applyProtection="1">
      <alignment horizontal="center" vertical="center" wrapText="1"/>
      <protection locked="0"/>
    </xf>
    <xf numFmtId="49" fontId="74" fillId="5" borderId="0" xfId="0" applyNumberFormat="1" applyFont="1" applyFill="1" applyBorder="1" applyAlignment="1" applyProtection="1">
      <alignment horizontal="center" vertical="center" wrapText="1"/>
      <protection locked="0"/>
    </xf>
    <xf numFmtId="49" fontId="74" fillId="5" borderId="0" xfId="0" applyNumberFormat="1" applyFont="1" applyFill="1" applyBorder="1" applyAlignment="1" applyProtection="1">
      <alignment horizontal="center" vertical="center"/>
      <protection locked="0"/>
    </xf>
    <xf numFmtId="49" fontId="74" fillId="5" borderId="0" xfId="0" applyNumberFormat="1" applyFont="1" applyFill="1" applyAlignment="1" applyProtection="1">
      <alignment horizontal="center" vertical="center"/>
      <protection locked="0"/>
    </xf>
    <xf numFmtId="0" fontId="74" fillId="5" borderId="0" xfId="0" applyNumberFormat="1" applyFont="1" applyFill="1" applyBorder="1" applyAlignment="1" applyProtection="1">
      <alignment horizontal="center" vertical="center" wrapText="1"/>
      <protection locked="0"/>
    </xf>
    <xf numFmtId="0" fontId="152" fillId="5" borderId="0" xfId="0" applyFont="1" applyFill="1" applyBorder="1" applyAlignment="1" applyProtection="1">
      <alignment vertical="center"/>
      <protection locked="0"/>
    </xf>
    <xf numFmtId="0" fontId="108" fillId="5" borderId="0" xfId="0" applyNumberFormat="1"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protection locked="0"/>
    </xf>
    <xf numFmtId="0" fontId="87" fillId="5" borderId="0"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0" xfId="0" applyFont="1" applyFill="1" applyAlignment="1" applyProtection="1">
      <alignment horizontal="center" vertical="center"/>
      <protection locked="0"/>
    </xf>
    <xf numFmtId="0" fontId="83" fillId="5" borderId="0" xfId="0" applyFont="1" applyFill="1" applyBorder="1" applyAlignment="1" applyProtection="1">
      <alignment horizontal="center" vertical="center"/>
      <protection locked="0"/>
    </xf>
    <xf numFmtId="9" fontId="83" fillId="5" borderId="0" xfId="0" applyNumberFormat="1" applyFont="1" applyFill="1" applyBorder="1" applyAlignment="1" applyProtection="1">
      <alignment horizontal="center" vertical="center"/>
      <protection locked="0"/>
    </xf>
    <xf numFmtId="0" fontId="83" fillId="5" borderId="0" xfId="0" applyFont="1" applyFill="1" applyBorder="1" applyAlignment="1" applyProtection="1">
      <alignment vertical="center" wrapText="1"/>
      <protection locked="0"/>
    </xf>
    <xf numFmtId="0" fontId="74" fillId="5" borderId="0" xfId="0" applyFont="1" applyFill="1" applyBorder="1" applyAlignment="1" applyProtection="1">
      <alignment vertical="center" wrapText="1"/>
      <protection locked="0"/>
    </xf>
    <xf numFmtId="0" fontId="87" fillId="8" borderId="0" xfId="0" applyFont="1" applyFill="1" applyAlignment="1" applyProtection="1">
      <alignment horizontal="center" vertical="center"/>
      <protection locked="0"/>
    </xf>
    <xf numFmtId="188" fontId="87" fillId="8" borderId="0" xfId="0" applyNumberFormat="1" applyFont="1" applyFill="1" applyAlignment="1" applyProtection="1">
      <alignment horizontal="center" vertical="center"/>
      <protection locked="0"/>
    </xf>
    <xf numFmtId="182" fontId="87" fillId="8" borderId="0" xfId="0" applyNumberFormat="1" applyFont="1" applyFill="1" applyAlignment="1" applyProtection="1">
      <alignment horizontal="center" vertical="center"/>
      <protection locked="0"/>
    </xf>
    <xf numFmtId="0" fontId="107" fillId="5" borderId="0" xfId="0" applyFont="1" applyFill="1" applyBorder="1" applyAlignment="1" applyProtection="1">
      <alignment horizontal="center" vertical="center"/>
      <protection locked="0"/>
    </xf>
    <xf numFmtId="0" fontId="87" fillId="0" borderId="0" xfId="0" applyFont="1" applyFill="1" applyAlignment="1" applyProtection="1">
      <alignment horizontal="center" vertical="center"/>
      <protection locked="0"/>
    </xf>
    <xf numFmtId="188" fontId="87" fillId="0" borderId="0" xfId="0" applyNumberFormat="1" applyFont="1" applyFill="1" applyAlignment="1" applyProtection="1">
      <alignment horizontal="center" vertical="center"/>
      <protection locked="0"/>
    </xf>
    <xf numFmtId="182" fontId="87" fillId="0" borderId="0" xfId="0" applyNumberFormat="1" applyFont="1" applyFill="1" applyAlignment="1" applyProtection="1">
      <alignment horizontal="center" vertical="center"/>
      <protection locked="0"/>
    </xf>
    <xf numFmtId="0" fontId="100" fillId="5" borderId="28" xfId="2" applyFont="1" applyFill="1" applyBorder="1" applyAlignment="1" applyProtection="1">
      <alignment vertical="center"/>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89" fillId="3" borderId="0" xfId="0" applyFont="1" applyFill="1" applyAlignment="1" applyProtection="1">
      <alignment horizontal="left" vertical="center"/>
      <protection locked="0"/>
    </xf>
    <xf numFmtId="0" fontId="89" fillId="3" borderId="0" xfId="0" applyFont="1" applyFill="1" applyAlignment="1" applyProtection="1">
      <alignment vertical="center"/>
      <protection locked="0"/>
    </xf>
    <xf numFmtId="0" fontId="89" fillId="3" borderId="0" xfId="0" applyFont="1" applyFill="1" applyAlignment="1" applyProtection="1">
      <alignment horizontal="center" vertical="center"/>
      <protection locked="0"/>
    </xf>
    <xf numFmtId="0" fontId="89" fillId="8" borderId="0" xfId="0" applyFont="1" applyFill="1" applyAlignment="1" applyProtection="1">
      <alignment vertical="center"/>
      <protection locked="0"/>
    </xf>
    <xf numFmtId="0" fontId="43" fillId="5" borderId="0" xfId="3" applyFont="1" applyFill="1" applyAlignment="1" applyProtection="1">
      <alignment vertical="center" wrapText="1"/>
      <protection locked="0"/>
    </xf>
    <xf numFmtId="0" fontId="43" fillId="5" borderId="0" xfId="3" applyFont="1" applyFill="1" applyAlignment="1" applyProtection="1">
      <alignment horizontal="center" vertical="center" wrapText="1"/>
      <protection locked="0"/>
    </xf>
    <xf numFmtId="0" fontId="61" fillId="5" borderId="0" xfId="3" applyFont="1" applyFill="1" applyAlignment="1" applyProtection="1">
      <alignment horizontal="center" vertical="center" wrapText="1"/>
      <protection locked="0"/>
    </xf>
    <xf numFmtId="0" fontId="89" fillId="5" borderId="0" xfId="3" applyFont="1" applyFill="1" applyAlignment="1" applyProtection="1">
      <alignment vertical="center" wrapText="1"/>
      <protection locked="0"/>
    </xf>
    <xf numFmtId="0" fontId="89" fillId="5" borderId="0" xfId="3" applyFont="1" applyFill="1" applyAlignment="1" applyProtection="1">
      <alignment horizontal="center" vertical="center" wrapText="1"/>
      <protection locked="0"/>
    </xf>
    <xf numFmtId="10" fontId="89" fillId="5" borderId="0" xfId="3" applyNumberFormat="1"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43" fillId="8" borderId="0" xfId="3" applyFont="1" applyFill="1" applyAlignment="1" applyProtection="1">
      <alignment vertical="center" wrapText="1"/>
      <protection locked="0"/>
    </xf>
    <xf numFmtId="0" fontId="43" fillId="8" borderId="0" xfId="3" applyFont="1" applyFill="1" applyAlignment="1" applyProtection="1">
      <alignment horizontal="center" vertical="center" wrapText="1"/>
      <protection locked="0"/>
    </xf>
    <xf numFmtId="0" fontId="43" fillId="8" borderId="0" xfId="3" applyFont="1" applyFill="1" applyAlignment="1" applyProtection="1">
      <alignment horizontal="left" vertical="center" wrapText="1"/>
      <protection locked="0"/>
    </xf>
    <xf numFmtId="0" fontId="43" fillId="0" borderId="0" xfId="3" applyFont="1" applyAlignment="1" applyProtection="1">
      <alignment vertical="center" wrapText="1"/>
      <protection locked="0"/>
    </xf>
    <xf numFmtId="0" fontId="43" fillId="0" borderId="0" xfId="3" applyFont="1" applyAlignment="1" applyProtection="1">
      <alignment horizontal="center" vertical="center" wrapText="1"/>
      <protection locked="0"/>
    </xf>
    <xf numFmtId="0" fontId="76"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0" fontId="87" fillId="5" borderId="0" xfId="0" applyFont="1" applyFill="1" applyBorder="1" applyAlignment="1" applyProtection="1">
      <alignment horizontal="center" vertical="center" wrapText="1"/>
      <protection locked="0"/>
    </xf>
    <xf numFmtId="9" fontId="87" fillId="5" borderId="0" xfId="0" applyNumberFormat="1" applyFont="1" applyFill="1" applyBorder="1" applyAlignment="1" applyProtection="1">
      <alignment horizontal="center" vertical="center" wrapText="1"/>
      <protection locked="0"/>
    </xf>
    <xf numFmtId="0" fontId="87" fillId="5" borderId="0" xfId="0" applyFont="1" applyFill="1" applyBorder="1" applyAlignment="1" applyProtection="1">
      <alignment horizontal="center"/>
      <protection locked="0"/>
    </xf>
    <xf numFmtId="188" fontId="87" fillId="5" borderId="0" xfId="0" applyNumberFormat="1" applyFont="1" applyFill="1" applyBorder="1" applyAlignment="1" applyProtection="1">
      <alignment horizontal="center"/>
      <protection locked="0"/>
    </xf>
    <xf numFmtId="182" fontId="87" fillId="5" borderId="0" xfId="0" applyNumberFormat="1" applyFont="1" applyFill="1" applyBorder="1" applyAlignment="1" applyProtection="1">
      <protection locked="0"/>
    </xf>
    <xf numFmtId="0" fontId="79" fillId="5" borderId="0" xfId="0" applyNumberFormat="1" applyFont="1" applyFill="1" applyAlignment="1" applyProtection="1">
      <alignment horizontal="center" vertical="center"/>
      <protection locked="0"/>
    </xf>
    <xf numFmtId="0" fontId="79" fillId="0" borderId="0" xfId="0" applyNumberFormat="1" applyFont="1" applyAlignment="1" applyProtection="1">
      <alignment horizontal="center" vertical="center"/>
      <protection locked="0"/>
    </xf>
    <xf numFmtId="0" fontId="147" fillId="5" borderId="28" xfId="0" applyFont="1" applyFill="1" applyBorder="1" applyAlignment="1" applyProtection="1">
      <alignment horizontal="center" vertical="center" wrapText="1"/>
      <protection locked="0"/>
    </xf>
    <xf numFmtId="0" fontId="112" fillId="5" borderId="2" xfId="0" applyFont="1" applyFill="1" applyBorder="1" applyAlignment="1" applyProtection="1">
      <alignment horizontal="center" vertical="center"/>
      <protection locked="0"/>
    </xf>
    <xf numFmtId="9" fontId="112" fillId="6" borderId="2" xfId="0" applyNumberFormat="1" applyFont="1" applyFill="1" applyBorder="1" applyAlignment="1" applyProtection="1">
      <alignment horizontal="center" vertical="center"/>
      <protection locked="0"/>
    </xf>
    <xf numFmtId="0" fontId="210" fillId="8" borderId="0" xfId="0" applyFont="1" applyFill="1" applyAlignment="1" applyProtection="1">
      <protection locked="0"/>
    </xf>
    <xf numFmtId="0" fontId="52" fillId="5" borderId="2" xfId="0" applyFont="1" applyFill="1" applyBorder="1" applyAlignment="1" applyProtection="1">
      <alignment horizontal="left" vertical="center"/>
    </xf>
    <xf numFmtId="0" fontId="48" fillId="5" borderId="10" xfId="0" applyFont="1" applyFill="1" applyBorder="1" applyAlignment="1" applyProtection="1">
      <alignment vertical="center" wrapText="1"/>
    </xf>
    <xf numFmtId="0" fontId="74" fillId="0" borderId="12" xfId="2" applyNumberFormat="1" applyFont="1" applyFill="1" applyBorder="1" applyAlignment="1" applyProtection="1">
      <alignment horizontal="center" vertical="center"/>
      <protection locked="0"/>
    </xf>
    <xf numFmtId="0" fontId="79" fillId="5" borderId="44" xfId="0" applyFont="1" applyFill="1" applyBorder="1" applyAlignment="1" applyProtection="1">
      <alignment horizontal="center" vertical="center"/>
    </xf>
    <xf numFmtId="0" fontId="98" fillId="5" borderId="4" xfId="0" applyNumberFormat="1" applyFont="1" applyFill="1" applyBorder="1" applyAlignment="1" applyProtection="1">
      <alignment vertical="center" wrapText="1"/>
      <protection locked="0"/>
    </xf>
    <xf numFmtId="0" fontId="79" fillId="5" borderId="57" xfId="0" applyNumberFormat="1" applyFont="1" applyFill="1" applyBorder="1" applyAlignment="1" applyProtection="1">
      <alignment horizontal="center" vertical="center" wrapText="1"/>
    </xf>
    <xf numFmtId="0" fontId="89" fillId="8" borderId="0" xfId="0" applyFont="1" applyFill="1" applyAlignment="1" applyProtection="1">
      <alignment horizontal="center" vertical="center"/>
      <protection locked="0"/>
    </xf>
    <xf numFmtId="0" fontId="120" fillId="5" borderId="13" xfId="0" applyNumberFormat="1" applyFont="1" applyFill="1" applyBorder="1" applyAlignment="1" applyProtection="1">
      <alignment vertical="center" textRotation="255" wrapText="1"/>
      <protection locked="0"/>
    </xf>
    <xf numFmtId="0" fontId="82" fillId="0" borderId="5" xfId="0" applyNumberFormat="1" applyFont="1" applyFill="1" applyBorder="1" applyAlignment="1" applyProtection="1">
      <alignment horizontal="center"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2" fillId="8" borderId="0" xfId="0" applyFont="1" applyFill="1" applyAlignment="1" applyProtection="1">
      <alignment horizontal="center" vertical="center"/>
      <protection locked="0"/>
    </xf>
    <xf numFmtId="0" fontId="120" fillId="5" borderId="13" xfId="0" applyNumberFormat="1" applyFont="1" applyFill="1" applyBorder="1" applyAlignment="1" applyProtection="1">
      <alignment vertical="center" wrapText="1"/>
      <protection locked="0"/>
    </xf>
    <xf numFmtId="0" fontId="79" fillId="5" borderId="31" xfId="0" applyNumberFormat="1" applyFont="1" applyFill="1" applyBorder="1" applyAlignment="1" applyProtection="1">
      <alignment horizontal="center" vertical="center" wrapText="1"/>
    </xf>
    <xf numFmtId="0" fontId="79" fillId="0" borderId="22" xfId="0" applyNumberFormat="1" applyFont="1" applyFill="1" applyBorder="1" applyAlignment="1" applyProtection="1">
      <alignment horizontal="center" vertical="center" wrapText="1"/>
      <protection locked="0"/>
    </xf>
    <xf numFmtId="0" fontId="89" fillId="0" borderId="10"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89" fillId="0" borderId="15" xfId="0" applyNumberFormat="1" applyFont="1" applyFill="1" applyBorder="1" applyAlignment="1" applyProtection="1">
      <alignment horizontal="center" vertical="center" wrapText="1"/>
      <protection locked="0"/>
    </xf>
    <xf numFmtId="0" fontId="89" fillId="5" borderId="65" xfId="0" applyNumberFormat="1" applyFont="1" applyFill="1" applyBorder="1" applyAlignment="1" applyProtection="1">
      <alignment horizontal="center" vertical="center" wrapText="1"/>
    </xf>
    <xf numFmtId="0" fontId="88" fillId="5" borderId="13" xfId="0" applyNumberFormat="1" applyFont="1" applyFill="1" applyBorder="1" applyAlignment="1" applyProtection="1">
      <alignment vertical="center" wrapText="1"/>
      <protection locked="0"/>
    </xf>
    <xf numFmtId="0" fontId="79" fillId="0" borderId="106"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left" vertical="center" wrapText="1"/>
      <protection locked="0"/>
    </xf>
    <xf numFmtId="0" fontId="79"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79" fillId="0" borderId="17" xfId="0" applyNumberFormat="1"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protection locked="0"/>
    </xf>
    <xf numFmtId="0" fontId="79" fillId="0" borderId="3" xfId="0" applyNumberFormat="1" applyFont="1" applyFill="1" applyBorder="1" applyAlignment="1" applyProtection="1">
      <alignment horizontal="center" vertical="center" wrapText="1"/>
      <protection locked="0"/>
    </xf>
    <xf numFmtId="0" fontId="79" fillId="0" borderId="3" xfId="0" applyFont="1" applyFill="1" applyBorder="1" applyAlignment="1" applyProtection="1">
      <alignment horizontal="center" vertical="center" wrapText="1"/>
      <protection locked="0"/>
    </xf>
    <xf numFmtId="9" fontId="79" fillId="0" borderId="3" xfId="0" applyNumberFormat="1" applyFont="1" applyFill="1" applyBorder="1" applyAlignment="1" applyProtection="1">
      <alignment horizontal="center" vertical="center" wrapText="1"/>
      <protection locked="0"/>
    </xf>
    <xf numFmtId="0" fontId="79" fillId="0" borderId="3" xfId="0" applyFont="1" applyFill="1" applyBorder="1" applyAlignment="1" applyProtection="1">
      <alignment horizontal="center" vertical="center"/>
      <protection locked="0"/>
    </xf>
    <xf numFmtId="0" fontId="79" fillId="0" borderId="65" xfId="0" applyFont="1" applyFill="1" applyBorder="1" applyAlignment="1" applyProtection="1">
      <alignment horizontal="center" vertical="center"/>
      <protection locked="0"/>
    </xf>
    <xf numFmtId="0" fontId="79" fillId="5" borderId="22" xfId="0" applyNumberFormat="1" applyFont="1" applyFill="1" applyBorder="1" applyAlignment="1" applyProtection="1">
      <alignment horizontal="center" vertical="center" wrapText="1"/>
    </xf>
    <xf numFmtId="0" fontId="89" fillId="5" borderId="10" xfId="0" applyNumberFormat="1" applyFont="1" applyFill="1" applyBorder="1" applyAlignment="1" applyProtection="1">
      <alignment horizontal="center" vertical="center" wrapText="1"/>
    </xf>
    <xf numFmtId="0" fontId="79" fillId="0" borderId="113" xfId="0" applyFont="1" applyFill="1" applyBorder="1" applyAlignment="1" applyProtection="1">
      <alignment horizontal="center" vertical="center"/>
      <protection locked="0"/>
    </xf>
    <xf numFmtId="0" fontId="79" fillId="0" borderId="114" xfId="0" applyNumberFormat="1" applyFont="1" applyFill="1" applyBorder="1" applyAlignment="1" applyProtection="1">
      <alignment horizontal="center" vertical="center" wrapText="1"/>
      <protection locked="0"/>
    </xf>
    <xf numFmtId="0" fontId="79" fillId="0" borderId="114" xfId="0" applyFont="1" applyFill="1" applyBorder="1" applyAlignment="1" applyProtection="1">
      <alignment horizontal="center" vertical="center" wrapText="1"/>
      <protection locked="0"/>
    </xf>
    <xf numFmtId="9" fontId="79" fillId="0" borderId="114" xfId="0" applyNumberFormat="1" applyFont="1" applyFill="1" applyBorder="1" applyAlignment="1" applyProtection="1">
      <alignment horizontal="center" vertical="center" wrapText="1"/>
      <protection locked="0"/>
    </xf>
    <xf numFmtId="0" fontId="79" fillId="0" borderId="114" xfId="0" applyFont="1" applyFill="1" applyBorder="1" applyAlignment="1" applyProtection="1">
      <alignment horizontal="center" vertical="center"/>
      <protection locked="0"/>
    </xf>
    <xf numFmtId="0" fontId="79" fillId="0" borderId="110" xfId="0" applyFont="1" applyFill="1" applyBorder="1" applyAlignment="1" applyProtection="1">
      <alignment horizontal="center" vertical="center"/>
      <protection locked="0"/>
    </xf>
    <xf numFmtId="0" fontId="79" fillId="5" borderId="110" xfId="0" applyNumberFormat="1" applyFont="1" applyFill="1" applyBorder="1" applyAlignment="1" applyProtection="1">
      <alignment horizontal="center" vertical="center" wrapText="1"/>
    </xf>
    <xf numFmtId="0" fontId="89" fillId="0" borderId="111" xfId="0" applyNumberFormat="1" applyFont="1" applyFill="1" applyBorder="1" applyAlignment="1" applyProtection="1">
      <alignment horizontal="center" vertical="center" wrapText="1"/>
      <protection locked="0"/>
    </xf>
    <xf numFmtId="0" fontId="89" fillId="0" borderId="112" xfId="0" applyNumberFormat="1" applyFont="1" applyFill="1" applyBorder="1" applyAlignment="1" applyProtection="1">
      <alignment horizontal="center" vertical="center" wrapText="1"/>
      <protection locked="0"/>
    </xf>
    <xf numFmtId="0" fontId="137" fillId="5" borderId="115" xfId="0" applyNumberFormat="1" applyFont="1" applyFill="1" applyBorder="1" applyAlignment="1" applyProtection="1">
      <alignment horizontal="center" vertical="center" wrapText="1"/>
    </xf>
    <xf numFmtId="0" fontId="14" fillId="10" borderId="26" xfId="0" applyNumberFormat="1" applyFont="1" applyFill="1" applyBorder="1" applyAlignment="1" applyProtection="1">
      <alignment horizontal="center" vertical="center" wrapText="1"/>
    </xf>
    <xf numFmtId="0" fontId="79" fillId="10" borderId="1"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left" vertical="center" wrapText="1"/>
      <protection locked="0"/>
    </xf>
    <xf numFmtId="0" fontId="79" fillId="10" borderId="29" xfId="0" applyNumberFormat="1" applyFont="1" applyFill="1" applyBorder="1" applyAlignment="1" applyProtection="1">
      <alignment horizontal="center" vertical="center" wrapText="1"/>
      <protection locked="0"/>
    </xf>
    <xf numFmtId="0" fontId="79" fillId="10" borderId="40" xfId="0" applyFont="1" applyFill="1" applyBorder="1" applyAlignment="1" applyProtection="1">
      <alignment horizontal="center" vertical="center"/>
      <protection locked="0"/>
    </xf>
    <xf numFmtId="0" fontId="79" fillId="10" borderId="27" xfId="0" applyNumberFormat="1" applyFont="1" applyFill="1" applyBorder="1" applyAlignment="1" applyProtection="1">
      <alignment horizontal="center" vertical="center" wrapText="1"/>
      <protection locked="0"/>
    </xf>
    <xf numFmtId="0" fontId="79" fillId="10" borderId="27" xfId="0" applyFont="1" applyFill="1" applyBorder="1" applyAlignment="1" applyProtection="1">
      <alignment horizontal="center" vertical="center" wrapText="1"/>
      <protection locked="0"/>
    </xf>
    <xf numFmtId="9" fontId="79" fillId="10" borderId="27" xfId="0" applyNumberFormat="1" applyFont="1" applyFill="1" applyBorder="1" applyAlignment="1" applyProtection="1">
      <alignment horizontal="center" vertical="center" wrapText="1"/>
      <protection locked="0"/>
    </xf>
    <xf numFmtId="0" fontId="79" fillId="10" borderId="27" xfId="0" applyFont="1" applyFill="1" applyBorder="1" applyAlignment="1" applyProtection="1">
      <alignment horizontal="center" vertical="center"/>
      <protection locked="0"/>
    </xf>
    <xf numFmtId="0" fontId="79" fillId="10" borderId="39" xfId="0" applyFont="1" applyFill="1" applyBorder="1" applyAlignment="1" applyProtection="1">
      <alignment horizontal="center" vertical="center"/>
      <protection locked="0"/>
    </xf>
    <xf numFmtId="0" fontId="88" fillId="10" borderId="116" xfId="0" applyNumberFormat="1" applyFont="1" applyFill="1" applyBorder="1" applyAlignment="1" applyProtection="1">
      <alignment vertical="center" wrapText="1"/>
      <protection locked="0"/>
    </xf>
    <xf numFmtId="0" fontId="79" fillId="10" borderId="54" xfId="0" applyNumberFormat="1" applyFont="1" applyFill="1" applyBorder="1" applyAlignment="1" applyProtection="1">
      <alignment horizontal="center" vertical="center" wrapText="1"/>
    </xf>
    <xf numFmtId="0" fontId="79" fillId="10" borderId="43" xfId="0" applyNumberFormat="1" applyFont="1" applyFill="1" applyBorder="1" applyAlignment="1" applyProtection="1">
      <alignment horizontal="center" vertical="center" wrapText="1"/>
      <protection locked="0"/>
    </xf>
    <xf numFmtId="0" fontId="89" fillId="10" borderId="44" xfId="0" applyNumberFormat="1" applyFont="1" applyFill="1" applyBorder="1" applyAlignment="1" applyProtection="1">
      <alignment horizontal="center" vertical="center" wrapText="1"/>
      <protection locked="0"/>
    </xf>
    <xf numFmtId="0" fontId="89" fillId="10" borderId="45" xfId="0" applyNumberFormat="1" applyFont="1" applyFill="1" applyBorder="1" applyAlignment="1" applyProtection="1">
      <alignment horizontal="center" vertical="center" wrapText="1"/>
      <protection locked="0"/>
    </xf>
    <xf numFmtId="0" fontId="89" fillId="10" borderId="48"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55" fillId="5" borderId="28" xfId="0" applyFont="1" applyFill="1" applyBorder="1" applyAlignment="1" applyProtection="1">
      <alignment vertical="center"/>
    </xf>
    <xf numFmtId="0" fontId="84" fillId="5" borderId="5" xfId="0" applyFont="1" applyFill="1" applyBorder="1" applyProtection="1">
      <alignment vertical="center"/>
    </xf>
    <xf numFmtId="0" fontId="84" fillId="5" borderId="2" xfId="0" applyFont="1" applyFill="1" applyBorder="1" applyProtection="1">
      <alignment vertical="center"/>
    </xf>
    <xf numFmtId="177" fontId="74" fillId="5" borderId="2" xfId="0" applyNumberFormat="1" applyFont="1" applyFill="1" applyBorder="1" applyProtection="1">
      <alignment vertical="center"/>
    </xf>
    <xf numFmtId="178" fontId="133" fillId="5" borderId="11" xfId="2" applyNumberFormat="1" applyFont="1" applyFill="1" applyBorder="1" applyAlignment="1" applyProtection="1">
      <alignment horizontal="left" vertical="center"/>
    </xf>
    <xf numFmtId="178" fontId="74" fillId="5" borderId="11" xfId="2" applyNumberFormat="1" applyFont="1" applyFill="1" applyBorder="1" applyAlignment="1" applyProtection="1">
      <alignment horizontal="left" vertical="center" wrapText="1"/>
    </xf>
    <xf numFmtId="0" fontId="20" fillId="5" borderId="1" xfId="2" applyFont="1" applyFill="1" applyBorder="1" applyAlignment="1" applyProtection="1">
      <alignment vertical="center" wrapText="1"/>
    </xf>
    <xf numFmtId="0" fontId="74" fillId="5" borderId="2" xfId="0" applyFont="1" applyFill="1" applyBorder="1" applyAlignment="1" applyProtection="1">
      <alignment horizontal="right" vertical="center" wrapText="1"/>
    </xf>
    <xf numFmtId="178" fontId="74" fillId="5" borderId="2" xfId="2" applyNumberFormat="1" applyFont="1" applyFill="1" applyBorder="1" applyAlignment="1" applyProtection="1">
      <alignment vertical="center"/>
    </xf>
    <xf numFmtId="178" fontId="74" fillId="5" borderId="5" xfId="2" applyNumberFormat="1" applyFont="1" applyFill="1" applyBorder="1" applyAlignment="1" applyProtection="1">
      <alignment vertical="center"/>
    </xf>
    <xf numFmtId="178" fontId="74" fillId="5" borderId="11" xfId="2"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182" fontId="83" fillId="5" borderId="2" xfId="0" applyNumberFormat="1" applyFont="1" applyFill="1" applyBorder="1" applyAlignment="1" applyProtection="1">
      <alignment horizontal="center" vertical="center"/>
    </xf>
    <xf numFmtId="180" fontId="74" fillId="5" borderId="43" xfId="2" applyNumberFormat="1" applyFont="1" applyFill="1" applyBorder="1" applyAlignment="1" applyProtection="1">
      <alignment horizontal="center" vertical="center"/>
    </xf>
    <xf numFmtId="178" fontId="84" fillId="5" borderId="11" xfId="2"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xf>
    <xf numFmtId="0" fontId="52" fillId="5" borderId="5" xfId="0" applyFont="1" applyFill="1" applyBorder="1" applyAlignment="1" applyProtection="1">
      <alignment horizontal="left" vertical="center"/>
    </xf>
    <xf numFmtId="0" fontId="85" fillId="5" borderId="9" xfId="0" applyFont="1" applyFill="1" applyBorder="1" applyAlignment="1" applyProtection="1">
      <alignment horizontal="center" vertical="center"/>
    </xf>
    <xf numFmtId="178" fontId="74" fillId="5" borderId="2" xfId="2" applyNumberFormat="1" applyFont="1" applyFill="1" applyBorder="1" applyAlignment="1" applyProtection="1">
      <alignment horizontal="center" vertical="center"/>
    </xf>
    <xf numFmtId="0" fontId="74" fillId="0" borderId="12" xfId="2" applyNumberFormat="1" applyFont="1" applyFill="1" applyBorder="1" applyAlignment="1" applyProtection="1">
      <alignment horizontal="center" vertical="center"/>
    </xf>
    <xf numFmtId="9" fontId="74" fillId="5" borderId="5" xfId="0"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82" fontId="74" fillId="5" borderId="2" xfId="0" applyNumberFormat="1" applyFont="1" applyFill="1" applyBorder="1" applyAlignment="1" applyProtection="1">
      <alignment vertical="center"/>
    </xf>
    <xf numFmtId="182" fontId="74" fillId="5" borderId="5" xfId="0" applyNumberFormat="1" applyFont="1" applyFill="1" applyBorder="1" applyAlignment="1" applyProtection="1">
      <alignment vertical="center"/>
    </xf>
    <xf numFmtId="182" fontId="74" fillId="5" borderId="12" xfId="0" applyNumberFormat="1" applyFont="1" applyFill="1" applyBorder="1" applyAlignment="1" applyProtection="1">
      <alignment vertical="center"/>
    </xf>
    <xf numFmtId="182" fontId="74" fillId="5" borderId="2" xfId="0" applyNumberFormat="1" applyFont="1" applyFill="1" applyBorder="1" applyAlignment="1" applyProtection="1">
      <alignment horizontal="center" vertical="center"/>
    </xf>
    <xf numFmtId="182" fontId="74" fillId="5" borderId="5" xfId="0" applyNumberFormat="1" applyFont="1" applyFill="1" applyBorder="1" applyAlignment="1" applyProtection="1">
      <alignment horizontal="center" vertical="center"/>
    </xf>
    <xf numFmtId="10" fontId="74" fillId="5" borderId="2" xfId="0" applyNumberFormat="1" applyFont="1" applyFill="1" applyBorder="1" applyAlignment="1" applyProtection="1">
      <alignment horizontal="center" vertical="center"/>
    </xf>
    <xf numFmtId="183" fontId="74" fillId="5" borderId="2"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79" fillId="5" borderId="20" xfId="0" applyFont="1" applyFill="1" applyBorder="1" applyAlignment="1" applyProtection="1">
      <alignment horizontal="left" vertical="center"/>
      <protection locked="0"/>
    </xf>
    <xf numFmtId="0" fontId="136" fillId="5" borderId="47" xfId="0" applyFont="1" applyFill="1" applyBorder="1" applyAlignment="1" applyProtection="1">
      <alignment vertical="center"/>
    </xf>
    <xf numFmtId="0" fontId="55" fillId="5" borderId="2" xfId="0" applyFont="1" applyFill="1" applyBorder="1" applyAlignment="1" applyProtection="1">
      <alignment vertical="center"/>
    </xf>
    <xf numFmtId="0" fontId="43" fillId="5" borderId="11" xfId="2" applyFont="1" applyFill="1" applyBorder="1" applyAlignment="1" applyProtection="1"/>
    <xf numFmtId="0" fontId="212" fillId="5" borderId="9" xfId="0" applyFont="1" applyFill="1" applyBorder="1" applyAlignment="1" applyProtection="1">
      <alignment horizontal="right" vertical="center"/>
    </xf>
    <xf numFmtId="0" fontId="213" fillId="5" borderId="5" xfId="0" applyFont="1" applyFill="1" applyBorder="1" applyAlignment="1" applyProtection="1">
      <alignment horizontal="left" vertical="center"/>
    </xf>
    <xf numFmtId="0" fontId="214" fillId="5" borderId="9" xfId="0" applyFont="1" applyFill="1" applyBorder="1" applyAlignment="1" applyProtection="1">
      <alignment horizontal="right" vertical="center"/>
    </xf>
    <xf numFmtId="0" fontId="85" fillId="5" borderId="9" xfId="0" applyFont="1" applyFill="1" applyBorder="1" applyAlignment="1" applyProtection="1">
      <alignment horizontal="right" vertical="center"/>
    </xf>
    <xf numFmtId="178" fontId="55" fillId="5" borderId="2" xfId="2" applyNumberFormat="1" applyFont="1" applyFill="1" applyBorder="1" applyAlignment="1" applyProtection="1">
      <alignment vertical="center"/>
    </xf>
    <xf numFmtId="14" fontId="78" fillId="5" borderId="34" xfId="0" applyNumberFormat="1" applyFont="1" applyFill="1" applyBorder="1" applyAlignment="1" applyProtection="1">
      <alignment horizontal="center" vertical="center"/>
    </xf>
    <xf numFmtId="0" fontId="155" fillId="5" borderId="2" xfId="0" applyFont="1" applyFill="1" applyBorder="1" applyAlignment="1" applyProtection="1">
      <alignment horizontal="left" vertical="center" wrapText="1"/>
      <protection locked="0"/>
    </xf>
    <xf numFmtId="0" fontId="85" fillId="5" borderId="2" xfId="0" applyFont="1" applyFill="1" applyBorder="1" applyAlignment="1" applyProtection="1">
      <alignment horizontal="center" vertical="center" wrapText="1"/>
    </xf>
    <xf numFmtId="177" fontId="79" fillId="0" borderId="2" xfId="0" applyNumberFormat="1" applyFont="1" applyFill="1" applyBorder="1" applyAlignment="1" applyProtection="1">
      <alignment horizontal="center" vertical="center" wrapText="1"/>
      <protection locked="0"/>
    </xf>
    <xf numFmtId="0" fontId="84" fillId="5" borderId="21" xfId="0" applyFont="1" applyFill="1" applyBorder="1" applyProtection="1">
      <alignment vertical="center"/>
    </xf>
    <xf numFmtId="0" fontId="84" fillId="5" borderId="0" xfId="0" applyFont="1" applyFill="1" applyAlignment="1" applyProtection="1">
      <alignment vertical="center"/>
      <protection locked="0"/>
    </xf>
    <xf numFmtId="0" fontId="155" fillId="5" borderId="0" xfId="0" applyFont="1" applyFill="1" applyAlignment="1" applyProtection="1">
      <alignment vertical="center"/>
      <protection locked="0"/>
    </xf>
    <xf numFmtId="0" fontId="152" fillId="5" borderId="0" xfId="0" applyFont="1" applyFill="1" applyAlignment="1" applyProtection="1">
      <alignment horizontal="center" vertical="center"/>
      <protection locked="0"/>
    </xf>
    <xf numFmtId="0" fontId="152" fillId="5" borderId="0" xfId="0" applyFont="1" applyFill="1" applyAlignment="1" applyProtection="1">
      <alignment horizontal="left" vertical="center"/>
      <protection locked="0"/>
    </xf>
    <xf numFmtId="0" fontId="152" fillId="0" borderId="2" xfId="0" applyNumberFormat="1" applyFont="1" applyFill="1" applyBorder="1" applyAlignment="1" applyProtection="1">
      <alignment horizontal="center" vertical="center" wrapText="1"/>
      <protection locked="0"/>
    </xf>
    <xf numFmtId="0" fontId="152" fillId="0" borderId="2" xfId="0" applyNumberFormat="1" applyFont="1" applyFill="1" applyBorder="1" applyAlignment="1" applyProtection="1">
      <alignment horizontal="left" vertical="center" wrapText="1"/>
      <protection locked="0"/>
    </xf>
    <xf numFmtId="0" fontId="152" fillId="0" borderId="12" xfId="0" applyNumberFormat="1" applyFont="1" applyFill="1" applyBorder="1" applyAlignment="1" applyProtection="1">
      <alignment horizontal="center" vertical="center" wrapText="1"/>
      <protection locked="0"/>
    </xf>
    <xf numFmtId="182" fontId="88" fillId="0" borderId="12" xfId="0" applyNumberFormat="1" applyFont="1" applyFill="1" applyBorder="1" applyAlignment="1" applyProtection="1">
      <alignment horizontal="center" vertical="center"/>
      <protection locked="0"/>
    </xf>
    <xf numFmtId="49" fontId="88" fillId="5" borderId="53" xfId="0" applyNumberFormat="1" applyFont="1" applyFill="1" applyBorder="1" applyAlignment="1" applyProtection="1">
      <alignment vertical="center"/>
    </xf>
    <xf numFmtId="0" fontId="88" fillId="5" borderId="27" xfId="0" applyFont="1" applyFill="1" applyBorder="1" applyAlignment="1" applyProtection="1">
      <alignment vertical="center" wrapText="1"/>
    </xf>
    <xf numFmtId="0" fontId="88" fillId="5" borderId="27" xfId="0" applyFont="1" applyFill="1" applyBorder="1" applyAlignment="1" applyProtection="1">
      <alignment horizontal="center" vertical="center"/>
    </xf>
    <xf numFmtId="0" fontId="79" fillId="5" borderId="27" xfId="0" applyFont="1" applyFill="1" applyBorder="1" applyAlignment="1" applyProtection="1">
      <alignment vertical="center"/>
    </xf>
    <xf numFmtId="0" fontId="52" fillId="5" borderId="6" xfId="0" applyFont="1" applyFill="1" applyBorder="1" applyAlignment="1" applyProtection="1">
      <alignment horizontal="left" vertical="center"/>
    </xf>
    <xf numFmtId="0" fontId="88" fillId="0" borderId="7" xfId="0" applyFont="1" applyFill="1" applyBorder="1" applyAlignment="1" applyProtection="1">
      <alignment horizontal="center" vertical="center"/>
      <protection locked="0"/>
    </xf>
    <xf numFmtId="0" fontId="216" fillId="8" borderId="36" xfId="0" applyFont="1" applyFill="1" applyBorder="1" applyAlignment="1" applyProtection="1">
      <alignment vertical="center"/>
      <protection locked="0"/>
    </xf>
    <xf numFmtId="0" fontId="109" fillId="8" borderId="37" xfId="0" applyFont="1" applyFill="1" applyBorder="1" applyAlignment="1" applyProtection="1">
      <alignment vertical="center"/>
      <protection locked="0"/>
    </xf>
    <xf numFmtId="0" fontId="109" fillId="8" borderId="38" xfId="0" applyFont="1" applyFill="1" applyBorder="1" applyAlignment="1" applyProtection="1">
      <alignment horizontal="left" vertical="center"/>
      <protection locked="0"/>
    </xf>
    <xf numFmtId="0" fontId="135" fillId="6" borderId="7" xfId="0" applyFont="1" applyFill="1" applyBorder="1" applyAlignment="1" applyProtection="1">
      <alignment horizontal="center" vertical="center"/>
      <protection locked="0"/>
    </xf>
    <xf numFmtId="0" fontId="151" fillId="6" borderId="12" xfId="0" applyFont="1" applyFill="1" applyBorder="1" applyAlignment="1" applyProtection="1">
      <alignment horizontal="center"/>
      <protection locked="0"/>
    </xf>
    <xf numFmtId="0" fontId="109" fillId="8" borderId="12" xfId="0" applyFont="1" applyFill="1" applyBorder="1" applyAlignment="1" applyProtection="1">
      <alignment horizontal="center" vertical="center"/>
      <protection locked="0"/>
    </xf>
    <xf numFmtId="0" fontId="109" fillId="0" borderId="12" xfId="0" applyFont="1" applyFill="1" applyBorder="1" applyAlignment="1" applyProtection="1">
      <alignment horizontal="center" vertical="center"/>
      <protection locked="0"/>
    </xf>
    <xf numFmtId="10" fontId="109" fillId="0" borderId="46" xfId="0" applyNumberFormat="1" applyFont="1" applyFill="1" applyBorder="1" applyAlignment="1" applyProtection="1">
      <alignment horizontal="center" vertical="center"/>
      <protection locked="0"/>
    </xf>
    <xf numFmtId="0" fontId="109" fillId="6" borderId="57" xfId="0" applyFont="1" applyFill="1" applyBorder="1" applyAlignment="1" applyProtection="1">
      <alignment horizontal="center" vertical="center"/>
      <protection locked="0"/>
    </xf>
    <xf numFmtId="49" fontId="35" fillId="5" borderId="0" xfId="0" applyNumberFormat="1" applyFont="1" applyFill="1" applyBorder="1" applyAlignment="1" applyProtection="1">
      <alignment horizontal="center"/>
    </xf>
    <xf numFmtId="0" fontId="109" fillId="5" borderId="0" xfId="0" applyNumberFormat="1" applyFont="1" applyFill="1" applyBorder="1" applyAlignment="1" applyProtection="1">
      <alignment horizontal="center"/>
    </xf>
    <xf numFmtId="182" fontId="74" fillId="0" borderId="5" xfId="0" applyNumberFormat="1" applyFont="1" applyBorder="1" applyAlignment="1" applyProtection="1">
      <alignment horizontal="center" vertical="center"/>
      <protection locked="0"/>
    </xf>
    <xf numFmtId="0" fontId="20" fillId="5" borderId="2" xfId="0" applyFont="1" applyFill="1" applyBorder="1" applyAlignment="1" applyProtection="1">
      <alignment horizontal="center" vertical="center" wrapText="1"/>
      <protection locked="0"/>
    </xf>
    <xf numFmtId="0" fontId="74" fillId="6" borderId="2" xfId="0" applyFont="1" applyFill="1" applyBorder="1" applyAlignment="1" applyProtection="1">
      <alignment vertical="center"/>
      <protection locked="0"/>
    </xf>
    <xf numFmtId="0" fontId="101" fillId="8" borderId="0" xfId="0" applyFont="1" applyFill="1" applyAlignment="1" applyProtection="1">
      <alignment horizontal="center" vertical="center"/>
      <protection locked="0"/>
    </xf>
    <xf numFmtId="0" fontId="119"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51" fillId="5" borderId="82" xfId="0" applyFont="1" applyFill="1" applyBorder="1" applyAlignment="1" applyProtection="1">
      <alignment vertical="center" wrapText="1"/>
    </xf>
    <xf numFmtId="0" fontId="151" fillId="5" borderId="38" xfId="0" applyFont="1" applyFill="1" applyBorder="1" applyAlignment="1" applyProtection="1">
      <alignment vertical="center"/>
    </xf>
    <xf numFmtId="0" fontId="151" fillId="5" borderId="38" xfId="0" applyFont="1" applyFill="1" applyBorder="1" applyAlignment="1" applyProtection="1">
      <alignment horizontal="center" vertical="center" wrapText="1"/>
    </xf>
    <xf numFmtId="0" fontId="179" fillId="5" borderId="80" xfId="0" applyFont="1" applyFill="1" applyBorder="1" applyAlignment="1" applyProtection="1">
      <alignment vertical="center" wrapText="1"/>
    </xf>
    <xf numFmtId="0" fontId="151" fillId="5" borderId="66" xfId="0" applyFont="1" applyFill="1" applyBorder="1" applyAlignment="1" applyProtection="1">
      <alignment vertical="center"/>
    </xf>
    <xf numFmtId="0" fontId="179" fillId="5" borderId="66" xfId="0" applyFont="1" applyFill="1" applyBorder="1" applyAlignment="1" applyProtection="1">
      <alignment horizontal="center" vertical="center" wrapText="1"/>
    </xf>
    <xf numFmtId="0" fontId="179" fillId="5" borderId="80" xfId="0" applyFont="1" applyFill="1" applyBorder="1" applyAlignment="1" applyProtection="1">
      <alignment horizontal="right" vertical="center" wrapText="1"/>
    </xf>
    <xf numFmtId="10" fontId="179" fillId="5" borderId="66" xfId="0" applyNumberFormat="1" applyFont="1" applyFill="1" applyBorder="1" applyAlignment="1" applyProtection="1">
      <alignment horizontal="center" vertical="center" wrapText="1"/>
    </xf>
    <xf numFmtId="0" fontId="179" fillId="5" borderId="66" xfId="0" applyFont="1" applyFill="1" applyBorder="1" applyAlignment="1" applyProtection="1">
      <alignment vertical="center"/>
    </xf>
    <xf numFmtId="0" fontId="175" fillId="5" borderId="0" xfId="0" applyFont="1" applyFill="1" applyAlignment="1" applyProtection="1">
      <alignment vertical="center"/>
    </xf>
    <xf numFmtId="193" fontId="179"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7" fillId="5" borderId="2" xfId="3" applyNumberFormat="1" applyFont="1" applyFill="1" applyBorder="1" applyAlignment="1" applyProtection="1">
      <alignment horizontal="center" vertical="center" wrapText="1"/>
    </xf>
    <xf numFmtId="0" fontId="167" fillId="5" borderId="10" xfId="3" applyNumberFormat="1" applyFont="1" applyFill="1" applyBorder="1" applyAlignment="1" applyProtection="1">
      <alignment horizontal="center" vertical="center" wrapText="1"/>
    </xf>
    <xf numFmtId="0" fontId="167" fillId="5" borderId="44" xfId="3" applyNumberFormat="1" applyFont="1" applyFill="1" applyBorder="1" applyAlignment="1" applyProtection="1">
      <alignment horizontal="center" vertical="center" wrapText="1"/>
    </xf>
    <xf numFmtId="49" fontId="167" fillId="5" borderId="2" xfId="3" applyNumberFormat="1" applyFont="1" applyFill="1" applyBorder="1" applyAlignment="1" applyProtection="1">
      <alignment horizontal="center" vertical="center" wrapText="1"/>
    </xf>
    <xf numFmtId="49" fontId="167" fillId="5" borderId="55" xfId="3" applyNumberFormat="1" applyFont="1" applyFill="1" applyBorder="1" applyAlignment="1" applyProtection="1">
      <alignment horizontal="center" vertical="center" wrapText="1"/>
    </xf>
    <xf numFmtId="49" fontId="167" fillId="5" borderId="44" xfId="3" applyNumberFormat="1" applyFont="1" applyFill="1" applyBorder="1" applyAlignment="1" applyProtection="1">
      <alignment horizontal="center" vertical="center" wrapText="1"/>
    </xf>
    <xf numFmtId="0" fontId="213" fillId="5" borderId="2" xfId="0" applyFont="1" applyFill="1" applyBorder="1" applyAlignment="1" applyProtection="1">
      <alignment horizontal="center" vertical="center" wrapText="1"/>
    </xf>
    <xf numFmtId="10" fontId="152" fillId="0" borderId="2" xfId="3" applyNumberFormat="1" applyFont="1" applyBorder="1" applyAlignment="1" applyProtection="1">
      <alignment horizontal="center" vertical="center"/>
      <protection locked="0"/>
    </xf>
    <xf numFmtId="183" fontId="152" fillId="5" borderId="2" xfId="3" applyNumberFormat="1" applyFont="1" applyFill="1" applyBorder="1" applyAlignment="1" applyProtection="1">
      <alignment horizontal="center" vertical="center"/>
    </xf>
    <xf numFmtId="10" fontId="155" fillId="5" borderId="2" xfId="3" applyNumberFormat="1" applyFont="1" applyFill="1" applyBorder="1" applyAlignment="1" applyProtection="1">
      <alignment horizontal="center" vertical="center" wrapText="1"/>
    </xf>
    <xf numFmtId="10" fontId="152" fillId="0" borderId="2" xfId="0" applyNumberFormat="1" applyFont="1" applyBorder="1" applyAlignment="1" applyProtection="1">
      <alignment horizontal="center" vertical="center"/>
      <protection locked="0"/>
    </xf>
    <xf numFmtId="0" fontId="206" fillId="5" borderId="0" xfId="3" applyFont="1" applyFill="1" applyProtection="1">
      <alignment vertical="center"/>
    </xf>
    <xf numFmtId="0" fontId="148" fillId="5" borderId="0" xfId="3" applyNumberFormat="1" applyFill="1" applyAlignment="1" applyProtection="1">
      <alignment horizontal="center" vertical="center" wrapText="1"/>
    </xf>
    <xf numFmtId="0" fontId="162" fillId="5" borderId="0" xfId="3" applyFont="1" applyFill="1" applyProtection="1">
      <alignment vertical="center"/>
    </xf>
    <xf numFmtId="0" fontId="152" fillId="5" borderId="0" xfId="3" applyFont="1" applyFill="1" applyProtection="1">
      <alignment vertical="center"/>
    </xf>
    <xf numFmtId="0" fontId="152" fillId="5" borderId="0" xfId="3" applyFont="1" applyFill="1" applyAlignment="1" applyProtection="1">
      <alignment horizontal="center" vertical="center"/>
    </xf>
    <xf numFmtId="0" fontId="206" fillId="5" borderId="59" xfId="3" applyFont="1" applyFill="1" applyBorder="1" applyAlignment="1" applyProtection="1">
      <alignment vertical="center"/>
    </xf>
    <xf numFmtId="0" fontId="149" fillId="5" borderId="28" xfId="3" applyNumberFormat="1" applyFont="1" applyFill="1" applyBorder="1" applyAlignment="1" applyProtection="1">
      <alignment horizontal="center" vertical="center" wrapText="1"/>
    </xf>
    <xf numFmtId="0" fontId="162" fillId="5" borderId="28" xfId="3" applyFont="1" applyFill="1" applyBorder="1" applyProtection="1">
      <alignment vertical="center"/>
    </xf>
    <xf numFmtId="0" fontId="207" fillId="5" borderId="30" xfId="3" applyFont="1" applyFill="1" applyBorder="1" applyAlignment="1" applyProtection="1">
      <alignment vertical="center"/>
    </xf>
    <xf numFmtId="0" fontId="207" fillId="5" borderId="57" xfId="3" applyFont="1" applyFill="1" applyBorder="1" applyAlignment="1" applyProtection="1">
      <alignment horizontal="center" vertical="center"/>
    </xf>
    <xf numFmtId="0" fontId="206" fillId="5" borderId="0" xfId="3" applyFont="1" applyFill="1" applyBorder="1" applyAlignment="1" applyProtection="1">
      <alignment vertical="center"/>
    </xf>
    <xf numFmtId="0" fontId="166" fillId="5" borderId="2" xfId="3" applyFont="1" applyFill="1" applyBorder="1" applyAlignment="1" applyProtection="1">
      <alignment horizontal="center" vertical="center" wrapText="1"/>
    </xf>
    <xf numFmtId="0" fontId="155" fillId="5" borderId="2" xfId="3" applyFont="1" applyFill="1" applyBorder="1" applyAlignment="1" applyProtection="1">
      <alignment horizontal="center" vertical="center" wrapText="1"/>
    </xf>
    <xf numFmtId="0" fontId="89" fillId="5" borderId="12" xfId="3" applyFont="1" applyFill="1" applyBorder="1" applyAlignment="1" applyProtection="1">
      <alignment horizontal="center" vertical="center" wrapText="1"/>
    </xf>
    <xf numFmtId="0" fontId="213" fillId="5" borderId="13" xfId="0" applyFont="1" applyFill="1" applyBorder="1" applyAlignment="1" applyProtection="1">
      <alignment horizontal="center" vertical="center" wrapText="1"/>
    </xf>
    <xf numFmtId="0" fontId="74" fillId="5" borderId="2" xfId="3" applyNumberFormat="1" applyFont="1" applyFill="1" applyBorder="1" applyAlignment="1" applyProtection="1">
      <alignment horizontal="center" vertical="center" wrapText="1"/>
    </xf>
    <xf numFmtId="9" fontId="155" fillId="5" borderId="2" xfId="3" applyNumberFormat="1" applyFont="1" applyFill="1" applyBorder="1" applyAlignment="1" applyProtection="1">
      <alignment horizontal="center" vertical="center" wrapText="1"/>
    </xf>
    <xf numFmtId="10" fontId="89" fillId="5" borderId="25" xfId="3" applyNumberFormat="1" applyFont="1" applyFill="1" applyBorder="1" applyAlignment="1" applyProtection="1">
      <alignment horizontal="center" vertical="center" wrapText="1"/>
    </xf>
    <xf numFmtId="10" fontId="130" fillId="5" borderId="0" xfId="3" applyNumberFormat="1" applyFont="1" applyFill="1" applyBorder="1" applyAlignment="1" applyProtection="1">
      <alignment horizontal="center" vertical="center" wrapText="1"/>
    </xf>
    <xf numFmtId="10" fontId="87" fillId="5" borderId="2" xfId="3" applyNumberFormat="1" applyFont="1" applyFill="1" applyBorder="1" applyAlignment="1" applyProtection="1">
      <alignment horizontal="center" vertical="center" wrapText="1"/>
    </xf>
    <xf numFmtId="10" fontId="89" fillId="5" borderId="52" xfId="3" applyNumberFormat="1" applyFont="1" applyFill="1" applyBorder="1" applyAlignment="1" applyProtection="1">
      <alignment vertical="center" wrapText="1"/>
    </xf>
    <xf numFmtId="0" fontId="167" fillId="5" borderId="64"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9" fontId="155" fillId="5" borderId="44" xfId="3" applyNumberFormat="1" applyFont="1" applyFill="1" applyBorder="1" applyAlignment="1" applyProtection="1">
      <alignment horizontal="center" vertical="center" wrapText="1"/>
    </xf>
    <xf numFmtId="10" fontId="89" fillId="5" borderId="69" xfId="3" applyNumberFormat="1" applyFont="1" applyFill="1" applyBorder="1" applyAlignment="1" applyProtection="1">
      <alignment vertical="center" wrapText="1"/>
    </xf>
    <xf numFmtId="0" fontId="208" fillId="5" borderId="30" xfId="3" applyFont="1" applyFill="1" applyBorder="1" applyAlignment="1" applyProtection="1">
      <alignment vertical="center"/>
    </xf>
    <xf numFmtId="10" fontId="89" fillId="5" borderId="52" xfId="3" applyNumberFormat="1" applyFont="1" applyFill="1" applyBorder="1" applyAlignment="1" applyProtection="1">
      <alignment horizontal="center" vertical="center" wrapText="1"/>
    </xf>
    <xf numFmtId="10" fontId="130" fillId="5" borderId="0" xfId="3" applyNumberFormat="1" applyFont="1" applyFill="1" applyBorder="1" applyAlignment="1" applyProtection="1">
      <alignment vertical="center" wrapText="1"/>
    </xf>
    <xf numFmtId="10" fontId="89" fillId="5" borderId="69" xfId="3" applyNumberFormat="1" applyFont="1" applyFill="1" applyBorder="1" applyAlignment="1" applyProtection="1">
      <alignment horizontal="center" vertical="center" wrapText="1"/>
    </xf>
    <xf numFmtId="0" fontId="167" fillId="5" borderId="0" xfId="3" applyFont="1" applyFill="1" applyAlignment="1" applyProtection="1">
      <alignment horizontal="left" vertical="center"/>
    </xf>
    <xf numFmtId="0" fontId="167" fillId="5" borderId="2" xfId="3" applyFont="1" applyFill="1" applyBorder="1" applyAlignment="1" applyProtection="1">
      <alignment horizontal="center" vertical="center"/>
    </xf>
    <xf numFmtId="0" fontId="172" fillId="5" borderId="0" xfId="3" applyFont="1" applyFill="1" applyAlignment="1" applyProtection="1">
      <alignment horizontal="center" vertical="center"/>
    </xf>
    <xf numFmtId="180" fontId="161" fillId="5" borderId="3" xfId="5" applyNumberFormat="1" applyFont="1" applyFill="1" applyBorder="1" applyAlignment="1" applyProtection="1">
      <alignment horizontal="center" vertical="center" wrapText="1"/>
    </xf>
    <xf numFmtId="0" fontId="43" fillId="0" borderId="2" xfId="3" applyFont="1" applyFill="1" applyBorder="1" applyAlignment="1" applyProtection="1">
      <alignment vertical="center" wrapText="1"/>
      <protection locked="0"/>
    </xf>
    <xf numFmtId="0" fontId="100" fillId="5" borderId="2" xfId="3" applyFont="1" applyFill="1" applyBorder="1" applyAlignment="1" applyProtection="1">
      <alignment horizontal="right" vertical="center" wrapText="1"/>
    </xf>
    <xf numFmtId="0" fontId="81" fillId="5" borderId="13" xfId="0" applyNumberFormat="1" applyFont="1" applyFill="1" applyBorder="1" applyAlignment="1" applyProtection="1">
      <alignment horizontal="left" vertical="center"/>
    </xf>
    <xf numFmtId="0" fontId="81" fillId="5" borderId="2" xfId="0" applyNumberFormat="1" applyFont="1" applyFill="1" applyBorder="1" applyAlignment="1" applyProtection="1">
      <alignment horizontal="center" vertical="center" wrapText="1"/>
    </xf>
    <xf numFmtId="0" fontId="81" fillId="5" borderId="0" xfId="0" applyFont="1" applyFill="1" applyBorder="1" applyAlignment="1" applyProtection="1">
      <alignment vertical="center"/>
    </xf>
    <xf numFmtId="0" fontId="81" fillId="5" borderId="13" xfId="0" applyFont="1" applyFill="1" applyBorder="1" applyAlignment="1" applyProtection="1">
      <alignment vertical="center" wrapText="1"/>
    </xf>
    <xf numFmtId="0" fontId="181" fillId="0" borderId="5" xfId="0" applyFont="1" applyFill="1" applyBorder="1" applyAlignment="1" applyProtection="1">
      <alignment horizontal="center" vertical="center" wrapText="1"/>
      <protection locked="0"/>
    </xf>
    <xf numFmtId="0" fontId="181" fillId="0" borderId="8" xfId="0" applyFont="1" applyFill="1" applyBorder="1" applyAlignment="1" applyProtection="1">
      <alignment horizontal="center" vertical="center" wrapText="1"/>
      <protection locked="0"/>
    </xf>
    <xf numFmtId="0" fontId="181" fillId="0" borderId="9" xfId="0" applyFont="1" applyFill="1" applyBorder="1" applyAlignment="1" applyProtection="1">
      <alignment horizontal="center" vertical="center" wrapText="1"/>
      <protection locked="0"/>
    </xf>
    <xf numFmtId="10" fontId="152" fillId="5" borderId="2" xfId="3" applyNumberFormat="1" applyFont="1" applyFill="1" applyBorder="1" applyAlignment="1" applyProtection="1">
      <alignment horizontal="center" vertical="center"/>
    </xf>
    <xf numFmtId="10" fontId="152" fillId="5" borderId="2" xfId="0" applyNumberFormat="1" applyFont="1" applyFill="1" applyBorder="1" applyAlignment="1" applyProtection="1">
      <alignment horizontal="center" vertical="center"/>
    </xf>
    <xf numFmtId="0" fontId="174" fillId="5" borderId="31" xfId="0" applyFont="1" applyFill="1" applyBorder="1" applyAlignment="1" applyProtection="1">
      <alignment horizontal="left" vertical="center"/>
    </xf>
    <xf numFmtId="0" fontId="79" fillId="5" borderId="8" xfId="0" applyFont="1" applyFill="1" applyBorder="1" applyProtection="1">
      <alignment vertical="center"/>
      <protection locked="0"/>
    </xf>
    <xf numFmtId="0" fontId="79" fillId="5" borderId="16" xfId="0" applyFont="1" applyFill="1" applyBorder="1" applyProtection="1">
      <alignment vertical="center"/>
      <protection locked="0"/>
    </xf>
    <xf numFmtId="0" fontId="79" fillId="5" borderId="0" xfId="0" applyFont="1" applyFill="1" applyBorder="1" applyProtection="1">
      <alignment vertical="center"/>
      <protection locked="0"/>
    </xf>
    <xf numFmtId="0" fontId="79" fillId="5" borderId="65" xfId="0" applyFont="1" applyFill="1" applyBorder="1" applyProtection="1">
      <alignment vertical="center"/>
      <protection locked="0"/>
    </xf>
    <xf numFmtId="0" fontId="72" fillId="5" borderId="64" xfId="0" applyFont="1" applyFill="1" applyBorder="1" applyProtection="1">
      <alignment vertical="center"/>
      <protection locked="0"/>
    </xf>
    <xf numFmtId="49" fontId="98" fillId="5" borderId="11" xfId="2" applyNumberFormat="1" applyFont="1" applyFill="1" applyBorder="1" applyAlignment="1" applyProtection="1">
      <alignment horizontal="left" vertical="center"/>
    </xf>
    <xf numFmtId="49" fontId="98" fillId="5" borderId="11" xfId="0" applyNumberFormat="1" applyFont="1" applyFill="1" applyBorder="1" applyAlignment="1" applyProtection="1">
      <alignment horizontal="left" vertical="center"/>
    </xf>
    <xf numFmtId="49" fontId="98" fillId="5" borderId="43" xfId="2" applyNumberFormat="1" applyFont="1" applyFill="1" applyBorder="1" applyAlignment="1" applyProtection="1">
      <alignment horizontal="left" vertical="center"/>
    </xf>
    <xf numFmtId="0" fontId="63" fillId="5" borderId="5" xfId="2" applyFont="1" applyFill="1" applyBorder="1" applyAlignment="1" applyProtection="1">
      <alignment vertical="center"/>
    </xf>
    <xf numFmtId="178" fontId="98" fillId="0" borderId="2" xfId="2" applyNumberFormat="1" applyFont="1" applyFill="1" applyBorder="1" applyAlignment="1" applyProtection="1">
      <alignment horizontal="center" vertical="center"/>
      <protection locked="0"/>
    </xf>
    <xf numFmtId="10" fontId="89"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30" fillId="5" borderId="12" xfId="2" applyFont="1" applyFill="1" applyBorder="1" applyAlignment="1" applyProtection="1">
      <alignment vertical="center" wrapText="1"/>
    </xf>
    <xf numFmtId="0" fontId="130" fillId="5" borderId="12" xfId="2" applyFont="1" applyFill="1" applyBorder="1" applyAlignment="1" applyProtection="1">
      <alignment horizontal="left" vertical="center"/>
    </xf>
    <xf numFmtId="0" fontId="45" fillId="6" borderId="12" xfId="2" applyFont="1" applyFill="1" applyBorder="1" applyAlignment="1" applyProtection="1">
      <alignment vertical="center"/>
      <protection locked="0"/>
    </xf>
    <xf numFmtId="10" fontId="79"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9" fillId="5" borderId="64" xfId="0" applyFont="1" applyFill="1" applyBorder="1" applyAlignment="1" applyProtection="1">
      <alignment vertical="center"/>
    </xf>
    <xf numFmtId="0" fontId="51" fillId="5" borderId="45" xfId="0" applyFont="1" applyFill="1" applyBorder="1" applyAlignment="1" applyProtection="1"/>
    <xf numFmtId="0" fontId="79" fillId="5" borderId="2" xfId="0" applyFont="1" applyFill="1" applyBorder="1" applyAlignment="1" applyProtection="1">
      <alignment horizontal="left" vertical="center" wrapText="1"/>
    </xf>
    <xf numFmtId="0" fontId="79" fillId="5" borderId="5" xfId="0" applyFont="1" applyFill="1" applyBorder="1" applyAlignment="1" applyProtection="1">
      <alignment horizontal="left" vertical="center" wrapText="1"/>
    </xf>
    <xf numFmtId="0" fontId="79" fillId="5" borderId="19" xfId="0"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0" fontId="20" fillId="5" borderId="22" xfId="0" applyFont="1" applyFill="1" applyBorder="1" applyAlignment="1" applyProtection="1">
      <alignment vertical="center" wrapText="1"/>
    </xf>
    <xf numFmtId="49" fontId="79" fillId="5" borderId="24" xfId="0" applyNumberFormat="1" applyFont="1" applyFill="1" applyBorder="1" applyAlignment="1" applyProtection="1">
      <alignment horizontal="center" vertical="center"/>
    </xf>
    <xf numFmtId="0" fontId="79" fillId="5" borderId="17" xfId="0" applyFont="1" applyFill="1" applyBorder="1" applyAlignment="1" applyProtection="1">
      <alignment horizontal="right" vertical="center"/>
    </xf>
    <xf numFmtId="0" fontId="79" fillId="5" borderId="63" xfId="0" applyFont="1" applyFill="1" applyBorder="1" applyAlignment="1" applyProtection="1">
      <alignment horizontal="center" vertical="center"/>
    </xf>
    <xf numFmtId="182" fontId="88" fillId="5" borderId="15" xfId="0" applyNumberFormat="1" applyFont="1" applyFill="1" applyBorder="1" applyAlignment="1" applyProtection="1">
      <alignment horizontal="center" vertical="center"/>
    </xf>
    <xf numFmtId="49" fontId="79" fillId="5" borderId="18" xfId="0" applyNumberFormat="1" applyFont="1" applyFill="1" applyBorder="1" applyAlignment="1" applyProtection="1">
      <alignment horizontal="left" vertical="center"/>
    </xf>
    <xf numFmtId="0" fontId="14"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9" fillId="5" borderId="10" xfId="0" applyFont="1" applyFill="1" applyBorder="1" applyAlignment="1" applyProtection="1">
      <alignment vertical="center"/>
    </xf>
    <xf numFmtId="0" fontId="14" fillId="5" borderId="10" xfId="0" applyFont="1" applyFill="1" applyBorder="1" applyAlignment="1" applyProtection="1">
      <alignment vertical="center"/>
    </xf>
    <xf numFmtId="0" fontId="14" fillId="5" borderId="10" xfId="0" applyFont="1" applyFill="1" applyBorder="1" applyAlignment="1" applyProtection="1">
      <alignment horizontal="left" vertical="center"/>
    </xf>
    <xf numFmtId="0" fontId="88" fillId="5" borderId="2" xfId="0" applyFont="1" applyFill="1" applyBorder="1" applyAlignment="1" applyProtection="1">
      <alignment horizontal="center" vertical="center"/>
      <protection locked="0"/>
    </xf>
    <xf numFmtId="49" fontId="79" fillId="5" borderId="3" xfId="0" applyNumberFormat="1" applyFont="1" applyFill="1" applyBorder="1" applyAlignment="1" applyProtection="1">
      <alignment horizontal="left" vertical="center"/>
    </xf>
    <xf numFmtId="0" fontId="14" fillId="5" borderId="32" xfId="0" applyFont="1" applyFill="1" applyBorder="1" applyAlignment="1" applyProtection="1">
      <alignment vertical="center"/>
    </xf>
    <xf numFmtId="49" fontId="88" fillId="5" borderId="22" xfId="0" applyNumberFormat="1" applyFont="1" applyFill="1" applyBorder="1" applyAlignment="1" applyProtection="1">
      <alignment horizontal="left" vertical="center"/>
    </xf>
    <xf numFmtId="49" fontId="88" fillId="5" borderId="24" xfId="0" applyNumberFormat="1" applyFont="1" applyFill="1" applyBorder="1" applyAlignment="1" applyProtection="1">
      <alignment horizontal="left" vertical="center"/>
    </xf>
    <xf numFmtId="49" fontId="79" fillId="5" borderId="22" xfId="0" applyNumberFormat="1" applyFont="1" applyFill="1" applyBorder="1" applyAlignment="1" applyProtection="1">
      <alignment horizontal="center" vertical="center"/>
    </xf>
    <xf numFmtId="49" fontId="88" fillId="5" borderId="24" xfId="0" applyNumberFormat="1" applyFont="1" applyFill="1" applyBorder="1" applyAlignment="1" applyProtection="1">
      <alignment horizontal="center" vertical="center"/>
    </xf>
    <xf numFmtId="49" fontId="79" fillId="5" borderId="50" xfId="0" applyNumberFormat="1" applyFont="1" applyFill="1" applyBorder="1" applyAlignment="1" applyProtection="1">
      <alignment horizontal="right" vertical="center"/>
    </xf>
    <xf numFmtId="0" fontId="130" fillId="0" borderId="2" xfId="0" applyFont="1" applyFill="1" applyBorder="1" applyAlignment="1">
      <alignment horizontal="center" vertical="center"/>
    </xf>
    <xf numFmtId="178" fontId="130" fillId="0" borderId="12" xfId="0" applyNumberFormat="1" applyFont="1" applyFill="1" applyBorder="1" applyAlignment="1">
      <alignment horizontal="center" vertical="center"/>
    </xf>
    <xf numFmtId="0" fontId="203" fillId="0" borderId="2" xfId="0" applyFont="1" applyFill="1" applyBorder="1" applyAlignment="1">
      <alignment horizontal="center" vertical="center"/>
    </xf>
    <xf numFmtId="9" fontId="130" fillId="0" borderId="2" xfId="0" applyNumberFormat="1" applyFont="1" applyFill="1" applyBorder="1" applyAlignment="1">
      <alignment horizontal="center" vertical="center"/>
    </xf>
    <xf numFmtId="178" fontId="130" fillId="0" borderId="2" xfId="0" applyNumberFormat="1" applyFont="1" applyFill="1" applyBorder="1" applyAlignment="1">
      <alignment horizontal="center" vertical="center"/>
    </xf>
    <xf numFmtId="0" fontId="130"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8"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5"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203" fillId="0" borderId="2" xfId="0" applyFont="1" applyFill="1" applyBorder="1" applyAlignment="1">
      <alignment horizontal="center" vertical="center" wrapText="1"/>
    </xf>
    <xf numFmtId="0" fontId="35" fillId="0" borderId="2" xfId="0" applyFont="1" applyFill="1" applyBorder="1" applyAlignment="1">
      <alignment vertical="center"/>
    </xf>
    <xf numFmtId="0" fontId="203"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203" fillId="0" borderId="2" xfId="0" applyFont="1" applyBorder="1" applyAlignment="1">
      <alignment horizontal="center" vertical="center"/>
    </xf>
    <xf numFmtId="9" fontId="203"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8"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30" fillId="0" borderId="2" xfId="0" applyFont="1" applyBorder="1" applyAlignment="1">
      <alignment horizontal="center"/>
    </xf>
    <xf numFmtId="0" fontId="130" fillId="0" borderId="2" xfId="0" applyFont="1" applyBorder="1" applyAlignment="1"/>
    <xf numFmtId="49" fontId="130" fillId="0" borderId="2" xfId="0" applyNumberFormat="1" applyFont="1" applyBorder="1" applyAlignment="1">
      <alignment horizontal="center"/>
    </xf>
    <xf numFmtId="9" fontId="130" fillId="0" borderId="2" xfId="0" applyNumberFormat="1" applyFont="1" applyBorder="1" applyAlignment="1"/>
    <xf numFmtId="0" fontId="130" fillId="0" borderId="2" xfId="0" applyFont="1" applyFill="1" applyBorder="1" applyAlignment="1">
      <alignment horizontal="center"/>
    </xf>
    <xf numFmtId="182" fontId="79" fillId="5" borderId="5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vertical="center"/>
    </xf>
    <xf numFmtId="0" fontId="14" fillId="5" borderId="86" xfId="0" applyFont="1" applyFill="1" applyBorder="1" applyAlignment="1" applyProtection="1">
      <alignment vertical="center" wrapText="1"/>
    </xf>
    <xf numFmtId="0" fontId="88" fillId="0" borderId="71" xfId="0" applyFont="1" applyFill="1" applyBorder="1" applyAlignment="1" applyProtection="1">
      <alignment horizontal="center" vertical="center"/>
      <protection locked="0"/>
    </xf>
    <xf numFmtId="0" fontId="79" fillId="5" borderId="71" xfId="0" applyFont="1" applyFill="1" applyBorder="1" applyAlignment="1" applyProtection="1">
      <alignment vertical="center"/>
    </xf>
    <xf numFmtId="0" fontId="52" fillId="5" borderId="71" xfId="0" applyFont="1" applyFill="1" applyBorder="1" applyAlignment="1" applyProtection="1">
      <alignment horizontal="left" vertical="center"/>
    </xf>
    <xf numFmtId="182" fontId="88" fillId="5" borderId="72" xfId="0" applyNumberFormat="1" applyFont="1" applyFill="1" applyBorder="1" applyAlignment="1" applyProtection="1">
      <alignment horizontal="center" vertical="center"/>
    </xf>
    <xf numFmtId="49" fontId="85" fillId="5" borderId="117" xfId="0" applyNumberFormat="1" applyFont="1" applyFill="1" applyBorder="1" applyAlignment="1" applyProtection="1">
      <alignment horizontal="center" vertical="center"/>
    </xf>
    <xf numFmtId="0" fontId="79" fillId="5" borderId="71" xfId="0" applyFont="1" applyFill="1" applyBorder="1" applyAlignment="1" applyProtection="1">
      <alignment horizontal="center" vertical="center"/>
    </xf>
    <xf numFmtId="0" fontId="79" fillId="5" borderId="71" xfId="0" applyFont="1" applyFill="1" applyBorder="1" applyAlignment="1" applyProtection="1">
      <alignment horizontal="left" vertical="center" wrapText="1"/>
    </xf>
    <xf numFmtId="0" fontId="79" fillId="5" borderId="71" xfId="0" applyFont="1" applyFill="1" applyBorder="1" applyAlignment="1" applyProtection="1">
      <alignment horizontal="left" vertical="center"/>
    </xf>
    <xf numFmtId="182" fontId="79" fillId="5" borderId="72" xfId="0" applyNumberFormat="1" applyFont="1" applyFill="1" applyBorder="1" applyAlignment="1" applyProtection="1">
      <alignment horizontal="center" vertical="center"/>
    </xf>
    <xf numFmtId="0" fontId="79" fillId="5" borderId="17" xfId="0" applyFont="1" applyFill="1" applyBorder="1" applyAlignment="1" applyProtection="1">
      <alignment horizontal="left" vertical="center" wrapText="1"/>
    </xf>
    <xf numFmtId="0" fontId="79" fillId="5" borderId="19" xfId="0" applyFont="1" applyFill="1" applyBorder="1" applyAlignment="1" applyProtection="1">
      <alignment horizontal="center" vertical="center" wrapText="1"/>
    </xf>
    <xf numFmtId="0" fontId="79" fillId="5" borderId="63" xfId="0" applyFont="1" applyFill="1" applyBorder="1" applyAlignment="1" applyProtection="1">
      <alignment horizontal="center" vertical="center" wrapText="1"/>
    </xf>
    <xf numFmtId="49" fontId="79" fillId="5" borderId="117" xfId="0" applyNumberFormat="1" applyFont="1" applyFill="1" applyBorder="1" applyAlignment="1" applyProtection="1">
      <alignment horizontal="center" vertical="center"/>
    </xf>
    <xf numFmtId="0" fontId="102" fillId="5" borderId="19" xfId="0" applyFont="1" applyFill="1" applyBorder="1" applyAlignment="1" applyProtection="1">
      <alignment vertical="center"/>
    </xf>
    <xf numFmtId="0" fontId="102" fillId="5" borderId="63" xfId="0" applyFont="1" applyFill="1" applyBorder="1" applyAlignment="1" applyProtection="1">
      <alignment vertical="center"/>
    </xf>
    <xf numFmtId="182" fontId="88" fillId="5" borderId="90" xfId="0" applyNumberFormat="1" applyFont="1" applyFill="1" applyBorder="1" applyAlignment="1" applyProtection="1">
      <alignment horizontal="center" vertical="center"/>
    </xf>
    <xf numFmtId="182" fontId="88" fillId="5" borderId="71" xfId="0" applyNumberFormat="1" applyFont="1" applyFill="1" applyBorder="1" applyAlignment="1" applyProtection="1">
      <alignment horizontal="center" vertical="center"/>
    </xf>
    <xf numFmtId="0" fontId="79" fillId="5" borderId="84" xfId="0" applyFont="1" applyFill="1" applyBorder="1" applyAlignment="1" applyProtection="1">
      <alignment horizontal="left" vertical="center"/>
    </xf>
    <xf numFmtId="0" fontId="102" fillId="5" borderId="85" xfId="0" applyFont="1" applyFill="1" applyBorder="1" applyAlignment="1" applyProtection="1">
      <alignment vertical="center"/>
    </xf>
    <xf numFmtId="0" fontId="102" fillId="5" borderId="90" xfId="0" applyFont="1" applyFill="1" applyBorder="1" applyAlignment="1" applyProtection="1">
      <alignment vertical="center"/>
    </xf>
    <xf numFmtId="0" fontId="193" fillId="0" borderId="0" xfId="0" applyFont="1" applyAlignment="1" applyProtection="1">
      <alignment horizontal="left" vertical="top" wrapText="1"/>
    </xf>
    <xf numFmtId="49" fontId="79" fillId="5" borderId="117" xfId="0" applyNumberFormat="1" applyFont="1" applyFill="1" applyBorder="1" applyAlignment="1" applyProtection="1">
      <alignment horizontal="left" vertical="center"/>
    </xf>
    <xf numFmtId="49" fontId="79" fillId="5" borderId="81" xfId="0" applyNumberFormat="1" applyFont="1" applyFill="1" applyBorder="1" applyAlignment="1" applyProtection="1">
      <alignment horizontal="center" vertical="center"/>
    </xf>
    <xf numFmtId="49" fontId="88" fillId="5" borderId="87" xfId="0" applyNumberFormat="1" applyFont="1" applyFill="1" applyBorder="1" applyAlignment="1" applyProtection="1">
      <alignment horizontal="center" vertical="center"/>
    </xf>
    <xf numFmtId="0" fontId="79" fillId="5" borderId="0" xfId="0" applyFont="1" applyFill="1" applyBorder="1" applyAlignment="1" applyProtection="1">
      <alignment vertical="center"/>
    </xf>
    <xf numFmtId="0" fontId="14" fillId="5" borderId="118" xfId="0" applyFont="1" applyFill="1" applyBorder="1" applyAlignment="1" applyProtection="1">
      <alignment vertical="center" wrapText="1"/>
    </xf>
    <xf numFmtId="0" fontId="88" fillId="0" borderId="70" xfId="0" applyFont="1" applyFill="1" applyBorder="1" applyAlignment="1" applyProtection="1">
      <alignment horizontal="center" vertical="center"/>
      <protection locked="0"/>
    </xf>
    <xf numFmtId="0" fontId="14" fillId="5" borderId="10" xfId="0" applyFont="1" applyFill="1" applyBorder="1" applyAlignment="1" applyProtection="1">
      <alignment vertical="center" wrapText="1"/>
    </xf>
    <xf numFmtId="0" fontId="43" fillId="5" borderId="2" xfId="2" applyFont="1" applyFill="1" applyBorder="1" applyAlignment="1" applyProtection="1">
      <alignment horizontal="left"/>
    </xf>
    <xf numFmtId="0" fontId="51" fillId="5" borderId="26" xfId="0" applyNumberFormat="1" applyFont="1" applyFill="1" applyBorder="1" applyAlignment="1" applyProtection="1">
      <alignment vertical="center"/>
    </xf>
    <xf numFmtId="0" fontId="78" fillId="5" borderId="58" xfId="0" applyNumberFormat="1" applyFont="1" applyFill="1" applyBorder="1" applyAlignment="1" applyProtection="1">
      <alignment vertical="center"/>
    </xf>
    <xf numFmtId="0" fontId="61" fillId="5" borderId="0" xfId="0" applyFont="1" applyFill="1" applyAlignment="1" applyProtection="1">
      <alignment horizontal="center" vertical="center"/>
      <protection locked="0"/>
    </xf>
    <xf numFmtId="0" fontId="52" fillId="5" borderId="2" xfId="0" applyFont="1" applyFill="1" applyBorder="1" applyAlignment="1" applyProtection="1">
      <alignment vertical="center"/>
    </xf>
    <xf numFmtId="0" fontId="52" fillId="5" borderId="5" xfId="0" applyFont="1" applyFill="1" applyBorder="1" applyAlignment="1" applyProtection="1">
      <alignment vertical="center"/>
    </xf>
    <xf numFmtId="0" fontId="98" fillId="5" borderId="2" xfId="0" applyNumberFormat="1" applyFont="1" applyFill="1" applyBorder="1" applyAlignment="1" applyProtection="1">
      <alignment horizontal="center" vertical="center"/>
    </xf>
    <xf numFmtId="0" fontId="74" fillId="5" borderId="0" xfId="0" applyFont="1" applyFill="1" applyAlignment="1" applyProtection="1">
      <alignment horizontal="center"/>
    </xf>
    <xf numFmtId="0" fontId="74" fillId="5" borderId="2" xfId="0" applyFont="1" applyFill="1" applyBorder="1" applyAlignment="1" applyProtection="1">
      <alignment horizontal="center" vertical="center"/>
    </xf>
    <xf numFmtId="0" fontId="65" fillId="5" borderId="103" xfId="0" applyFont="1" applyFill="1" applyBorder="1" applyAlignment="1" applyProtection="1">
      <alignment horizontal="center" vertical="center"/>
    </xf>
    <xf numFmtId="0" fontId="65" fillId="5" borderId="0" xfId="0" applyFont="1" applyFill="1" applyBorder="1" applyAlignment="1" applyProtection="1">
      <alignment horizontal="center" vertical="center"/>
    </xf>
    <xf numFmtId="0" fontId="74" fillId="5" borderId="2"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163" fillId="5" borderId="0" xfId="0" applyFont="1" applyFill="1" applyAlignment="1" applyProtection="1">
      <alignment horizontal="center" vertical="center" wrapText="1"/>
    </xf>
    <xf numFmtId="0" fontId="55" fillId="5" borderId="0" xfId="0" applyFont="1" applyFill="1" applyAlignment="1" applyProtection="1">
      <alignment horizontal="center" vertical="center" wrapText="1"/>
    </xf>
    <xf numFmtId="49" fontId="51" fillId="5" borderId="35" xfId="0" applyNumberFormat="1" applyFont="1" applyFill="1" applyBorder="1" applyAlignment="1" applyProtection="1">
      <alignment vertical="center" wrapText="1"/>
    </xf>
    <xf numFmtId="49" fontId="51" fillId="5" borderId="79" xfId="0" applyNumberFormat="1" applyFont="1" applyFill="1" applyBorder="1" applyAlignment="1" applyProtection="1">
      <alignment vertical="center" wrapText="1"/>
    </xf>
    <xf numFmtId="49" fontId="51" fillId="5" borderId="80" xfId="0" applyNumberFormat="1" applyFont="1" applyFill="1" applyBorder="1" applyAlignment="1" applyProtection="1">
      <alignment vertical="center" wrapText="1"/>
    </xf>
    <xf numFmtId="0" fontId="51" fillId="5" borderId="35" xfId="0" applyFont="1" applyFill="1" applyBorder="1" applyAlignment="1" applyProtection="1">
      <alignment vertical="center" wrapText="1"/>
    </xf>
    <xf numFmtId="0" fontId="51" fillId="5" borderId="79" xfId="0" applyFont="1" applyFill="1" applyBorder="1" applyAlignment="1" applyProtection="1">
      <alignment vertical="center" wrapText="1"/>
    </xf>
    <xf numFmtId="0" fontId="51" fillId="5" borderId="80" xfId="0" applyFont="1" applyFill="1" applyBorder="1" applyAlignment="1" applyProtection="1">
      <alignment vertical="center" wrapText="1"/>
    </xf>
    <xf numFmtId="0" fontId="83" fillId="5" borderId="52" xfId="0" applyNumberFormat="1" applyFont="1" applyFill="1" applyBorder="1" applyAlignment="1" applyProtection="1">
      <alignment horizontal="center" vertical="center" wrapText="1"/>
    </xf>
    <xf numFmtId="0" fontId="55" fillId="5" borderId="52" xfId="0"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protection locked="0"/>
    </xf>
    <xf numFmtId="0" fontId="55" fillId="5" borderId="13" xfId="0" applyFont="1" applyFill="1" applyBorder="1" applyAlignment="1" applyProtection="1">
      <alignment horizontal="center" vertical="center" wrapText="1"/>
    </xf>
    <xf numFmtId="0" fontId="83" fillId="0" borderId="45" xfId="0" applyFont="1" applyFill="1" applyBorder="1" applyAlignment="1" applyProtection="1">
      <alignment horizontal="center" vertical="center"/>
      <protection locked="0"/>
    </xf>
    <xf numFmtId="0" fontId="87" fillId="5" borderId="24" xfId="0" applyNumberFormat="1" applyFont="1" applyFill="1" applyBorder="1" applyAlignment="1" applyProtection="1">
      <alignment horizontal="center" vertical="center" wrapText="1"/>
    </xf>
    <xf numFmtId="0" fontId="87" fillId="5" borderId="64"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61" fillId="5" borderId="3" xfId="0" applyNumberFormat="1" applyFont="1" applyFill="1" applyBorder="1" applyAlignment="1" applyProtection="1">
      <alignment horizontal="center" vertical="center" wrapText="1"/>
    </xf>
    <xf numFmtId="0" fontId="109" fillId="5" borderId="79" xfId="0" applyNumberFormat="1" applyFont="1" applyFill="1" applyBorder="1" applyAlignment="1" applyProtection="1">
      <alignment horizontal="center" vertical="center" wrapText="1"/>
    </xf>
    <xf numFmtId="0" fontId="55" fillId="5" borderId="4" xfId="0" applyFont="1" applyFill="1" applyBorder="1" applyAlignment="1" applyProtection="1">
      <alignment horizontal="center" vertical="center" wrapText="1"/>
    </xf>
    <xf numFmtId="0" fontId="87" fillId="5" borderId="75" xfId="0" applyNumberFormat="1" applyFont="1" applyFill="1" applyBorder="1" applyAlignment="1" applyProtection="1">
      <alignment horizontal="center" vertical="center" wrapText="1"/>
    </xf>
    <xf numFmtId="0" fontId="109" fillId="5" borderId="24" xfId="0" applyNumberFormat="1" applyFont="1" applyFill="1" applyBorder="1" applyAlignment="1" applyProtection="1">
      <alignment horizontal="center" vertical="center" wrapText="1"/>
    </xf>
    <xf numFmtId="0" fontId="55" fillId="5" borderId="25" xfId="0" applyFont="1" applyFill="1" applyBorder="1" applyAlignment="1" applyProtection="1">
      <alignment horizontal="center" vertical="center" wrapText="1"/>
    </xf>
    <xf numFmtId="0" fontId="20" fillId="5" borderId="11" xfId="0" applyFont="1" applyFill="1" applyBorder="1" applyAlignment="1" applyProtection="1">
      <alignment horizontal="center" vertical="center"/>
    </xf>
    <xf numFmtId="0" fontId="20" fillId="5" borderId="2" xfId="0" applyFont="1" applyFill="1" applyBorder="1" applyAlignment="1" applyProtection="1">
      <alignment horizontal="left" vertical="center"/>
    </xf>
    <xf numFmtId="0" fontId="20" fillId="5" borderId="12" xfId="0" applyFont="1" applyFill="1" applyBorder="1" applyAlignment="1" applyProtection="1">
      <alignment horizontal="center" vertical="center"/>
    </xf>
    <xf numFmtId="0" fontId="74" fillId="5" borderId="11" xfId="0" applyFont="1" applyFill="1" applyBorder="1" applyProtection="1">
      <alignment vertical="center"/>
    </xf>
    <xf numFmtId="0" fontId="74" fillId="5" borderId="12" xfId="0" applyFont="1" applyFill="1" applyBorder="1" applyProtection="1">
      <alignment vertical="center"/>
    </xf>
    <xf numFmtId="0" fontId="20" fillId="0" borderId="11" xfId="0" applyFont="1" applyBorder="1" applyProtection="1">
      <alignment vertical="center"/>
      <protection locked="0"/>
    </xf>
    <xf numFmtId="0" fontId="20" fillId="0" borderId="2" xfId="0" applyFont="1" applyBorder="1" applyProtection="1">
      <alignment vertical="center"/>
      <protection locked="0"/>
    </xf>
    <xf numFmtId="0" fontId="20" fillId="5" borderId="12" xfId="0" applyFont="1" applyFill="1" applyBorder="1" applyProtection="1">
      <alignment vertical="center"/>
    </xf>
    <xf numFmtId="0" fontId="74" fillId="5" borderId="22" xfId="0" applyFont="1" applyFill="1" applyBorder="1" applyProtection="1">
      <alignment vertical="center"/>
    </xf>
    <xf numFmtId="0" fontId="20" fillId="0" borderId="22" xfId="0" applyFont="1" applyBorder="1" applyProtection="1">
      <alignment vertical="center"/>
      <protection locked="0"/>
    </xf>
    <xf numFmtId="0" fontId="20" fillId="0" borderId="10" xfId="0" applyFont="1" applyBorder="1" applyProtection="1">
      <alignment vertical="center"/>
      <protection locked="0"/>
    </xf>
    <xf numFmtId="0" fontId="20" fillId="5" borderId="25" xfId="0" applyFont="1" applyFill="1" applyBorder="1" applyProtection="1">
      <alignment vertical="center"/>
    </xf>
    <xf numFmtId="0" fontId="78" fillId="5" borderId="43" xfId="0" applyFont="1" applyFill="1" applyBorder="1" applyProtection="1">
      <alignment vertical="center"/>
    </xf>
    <xf numFmtId="0" fontId="78" fillId="5" borderId="44" xfId="0" applyFont="1" applyFill="1" applyBorder="1" applyProtection="1">
      <alignment vertical="center"/>
    </xf>
    <xf numFmtId="0" fontId="78" fillId="5" borderId="46" xfId="0" applyFont="1" applyFill="1" applyBorder="1" applyProtection="1">
      <alignment vertical="center"/>
    </xf>
    <xf numFmtId="0" fontId="74" fillId="5" borderId="46" xfId="0" applyFont="1" applyFill="1" applyBorder="1" applyProtection="1">
      <alignment vertical="center"/>
    </xf>
    <xf numFmtId="0" fontId="20" fillId="5" borderId="28" xfId="2" applyFont="1" applyFill="1" applyBorder="1" applyAlignment="1" applyProtection="1">
      <alignment horizontal="center" vertical="center" wrapText="1"/>
    </xf>
    <xf numFmtId="182" fontId="88" fillId="6" borderId="25" xfId="0" applyNumberFormat="1" applyFont="1" applyFill="1" applyBorder="1" applyAlignment="1" applyProtection="1">
      <alignment horizontal="center" vertical="center"/>
      <protection locked="0"/>
    </xf>
    <xf numFmtId="0" fontId="100" fillId="5" borderId="21" xfId="0" applyFont="1" applyFill="1" applyBorder="1" applyAlignment="1" applyProtection="1">
      <alignment horizontal="right" vertical="center"/>
    </xf>
    <xf numFmtId="0" fontId="104" fillId="5" borderId="5" xfId="0" applyFont="1" applyFill="1" applyBorder="1" applyAlignment="1" applyProtection="1">
      <alignment horizontal="right" vertical="center"/>
    </xf>
    <xf numFmtId="0" fontId="104" fillId="5" borderId="8" xfId="0" applyFont="1" applyFill="1" applyBorder="1" applyAlignment="1" applyProtection="1">
      <alignment horizontal="center" vertical="center"/>
    </xf>
    <xf numFmtId="0" fontId="104" fillId="2" borderId="8" xfId="0" applyFont="1" applyFill="1" applyBorder="1" applyAlignment="1" applyProtection="1">
      <alignment vertical="center"/>
      <protection locked="0"/>
    </xf>
    <xf numFmtId="0" fontId="104" fillId="6" borderId="9" xfId="0" applyFont="1" applyFill="1" applyBorder="1" applyAlignment="1" applyProtection="1">
      <alignment vertical="center"/>
    </xf>
    <xf numFmtId="0" fontId="86" fillId="5" borderId="59" xfId="0" applyNumberFormat="1" applyFont="1" applyFill="1" applyBorder="1" applyAlignment="1" applyProtection="1">
      <alignment horizontal="right" vertical="center" wrapText="1"/>
    </xf>
    <xf numFmtId="0" fontId="86" fillId="5" borderId="57" xfId="0" applyNumberFormat="1" applyFont="1" applyFill="1" applyBorder="1" applyAlignment="1" applyProtection="1">
      <alignment vertical="center" wrapText="1"/>
    </xf>
    <xf numFmtId="0" fontId="111" fillId="3" borderId="30" xfId="0" applyNumberFormat="1" applyFont="1" applyFill="1" applyBorder="1" applyAlignment="1" applyProtection="1">
      <alignment vertical="center" wrapText="1"/>
      <protection locked="0"/>
    </xf>
    <xf numFmtId="0" fontId="111" fillId="5" borderId="30" xfId="0" applyNumberFormat="1" applyFont="1" applyFill="1" applyBorder="1" applyAlignment="1" applyProtection="1">
      <alignment vertical="center" wrapText="1"/>
    </xf>
    <xf numFmtId="0" fontId="111" fillId="3" borderId="59" xfId="0" applyNumberFormat="1" applyFont="1" applyFill="1" applyBorder="1" applyAlignment="1" applyProtection="1">
      <alignment vertical="center" wrapText="1"/>
      <protection locked="0"/>
    </xf>
    <xf numFmtId="0" fontId="111" fillId="5" borderId="57" xfId="0" applyNumberFormat="1" applyFont="1" applyFill="1" applyBorder="1" applyAlignment="1" applyProtection="1">
      <alignment vertical="center" wrapText="1"/>
    </xf>
    <xf numFmtId="0" fontId="86" fillId="5" borderId="60" xfId="0" applyNumberFormat="1" applyFont="1" applyFill="1" applyBorder="1" applyAlignment="1" applyProtection="1">
      <alignment vertical="center" wrapText="1"/>
    </xf>
    <xf numFmtId="0" fontId="86" fillId="5" borderId="48" xfId="0" applyNumberFormat="1" applyFont="1" applyFill="1" applyBorder="1" applyAlignment="1" applyProtection="1">
      <alignment vertical="center" wrapText="1"/>
    </xf>
    <xf numFmtId="0" fontId="86" fillId="5" borderId="56" xfId="0" applyNumberFormat="1" applyFont="1" applyFill="1" applyBorder="1" applyAlignment="1" applyProtection="1">
      <alignment vertical="center" wrapText="1"/>
    </xf>
    <xf numFmtId="0" fontId="86" fillId="5" borderId="61" xfId="0" applyNumberFormat="1" applyFont="1" applyFill="1" applyBorder="1" applyAlignment="1" applyProtection="1">
      <alignment vertical="center" wrapText="1"/>
    </xf>
    <xf numFmtId="0" fontId="79" fillId="5" borderId="8" xfId="0"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79" fillId="5" borderId="2" xfId="0" applyFont="1" applyFill="1" applyBorder="1" applyAlignment="1" applyProtection="1">
      <alignment horizontal="left" vertical="center" wrapText="1"/>
    </xf>
    <xf numFmtId="0" fontId="79" fillId="5" borderId="8"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49" fontId="137" fillId="5" borderId="53" xfId="0" applyNumberFormat="1" applyFont="1" applyFill="1" applyBorder="1" applyAlignment="1" applyProtection="1">
      <alignment vertical="center"/>
    </xf>
    <xf numFmtId="0" fontId="61" fillId="5" borderId="28" xfId="0" applyFont="1" applyFill="1" applyBorder="1" applyAlignment="1" applyProtection="1">
      <alignment vertical="center"/>
      <protection locked="0"/>
    </xf>
    <xf numFmtId="0" fontId="81" fillId="5" borderId="10" xfId="0" applyFont="1" applyFill="1" applyBorder="1" applyAlignment="1" applyProtection="1">
      <alignment horizontal="left" vertical="center"/>
    </xf>
    <xf numFmtId="49" fontId="81" fillId="5" borderId="2" xfId="0" applyNumberFormat="1" applyFont="1" applyFill="1" applyBorder="1" applyAlignment="1" applyProtection="1">
      <alignment horizontal="center" vertical="center" wrapText="1"/>
    </xf>
    <xf numFmtId="0" fontId="74" fillId="5" borderId="20" xfId="0" applyFont="1" applyFill="1" applyBorder="1" applyProtection="1">
      <alignment vertical="center"/>
      <protection locked="0"/>
    </xf>
    <xf numFmtId="0" fontId="198"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81" fillId="5" borderId="1" xfId="0" applyFont="1" applyFill="1" applyBorder="1" applyAlignment="1" applyProtection="1">
      <alignment horizontal="right" vertical="center" wrapText="1"/>
    </xf>
    <xf numFmtId="0" fontId="81" fillId="5" borderId="11" xfId="0" applyFont="1" applyFill="1" applyBorder="1" applyAlignment="1" applyProtection="1">
      <alignment horizontal="right" vertical="center" wrapText="1"/>
    </xf>
    <xf numFmtId="0" fontId="81" fillId="5" borderId="92" xfId="0" applyFont="1" applyFill="1" applyBorder="1" applyAlignment="1" applyProtection="1">
      <alignment horizontal="right" vertical="center" wrapText="1"/>
    </xf>
    <xf numFmtId="0" fontId="160" fillId="0" borderId="0" xfId="10" applyFont="1">
      <alignment vertical="center"/>
    </xf>
    <xf numFmtId="0" fontId="160" fillId="0" borderId="0" xfId="10" applyFont="1" applyAlignment="1">
      <alignment horizontal="center" vertical="center"/>
    </xf>
    <xf numFmtId="49" fontId="89" fillId="5" borderId="2" xfId="10" applyNumberFormat="1" applyFont="1" applyFill="1" applyBorder="1" applyAlignment="1" applyProtection="1">
      <alignment horizontal="center" vertical="center" wrapText="1"/>
    </xf>
    <xf numFmtId="0" fontId="239" fillId="12" borderId="120" xfId="10" applyFont="1" applyFill="1" applyBorder="1" applyAlignment="1" applyProtection="1">
      <alignment horizontal="center" vertical="center" wrapText="1"/>
    </xf>
    <xf numFmtId="0" fontId="239" fillId="12" borderId="121" xfId="10" applyFont="1" applyFill="1" applyBorder="1" applyAlignment="1" applyProtection="1">
      <alignment horizontal="center" vertical="center" wrapText="1"/>
    </xf>
    <xf numFmtId="0" fontId="239" fillId="13" borderId="124" xfId="10" applyFont="1" applyFill="1" applyBorder="1" applyAlignment="1" applyProtection="1">
      <alignment horizontal="center" vertical="center" wrapText="1"/>
    </xf>
    <xf numFmtId="0" fontId="239" fillId="12" borderId="124" xfId="10" applyFont="1" applyFill="1" applyBorder="1" applyAlignment="1" applyProtection="1">
      <alignment horizontal="center" vertical="center" wrapText="1"/>
    </xf>
    <xf numFmtId="185" fontId="160" fillId="12" borderId="120" xfId="10" applyNumberFormat="1" applyFont="1" applyFill="1" applyBorder="1" applyAlignment="1">
      <alignment horizontal="center" vertical="center" wrapText="1"/>
    </xf>
    <xf numFmtId="185" fontId="160" fillId="12" borderId="127" xfId="10" applyNumberFormat="1" applyFont="1" applyFill="1" applyBorder="1" applyAlignment="1">
      <alignment horizontal="center" vertical="center" wrapText="1"/>
    </xf>
    <xf numFmtId="0" fontId="155" fillId="0" borderId="0" xfId="10" applyFont="1">
      <alignment vertical="center"/>
    </xf>
    <xf numFmtId="10" fontId="155" fillId="0" borderId="122" xfId="10" applyNumberFormat="1" applyFont="1" applyBorder="1">
      <alignment vertical="center"/>
    </xf>
    <xf numFmtId="10" fontId="155" fillId="0" borderId="0" xfId="10" applyNumberFormat="1" applyFont="1">
      <alignment vertical="center"/>
    </xf>
    <xf numFmtId="178" fontId="155" fillId="0" borderId="0" xfId="10" applyNumberFormat="1" applyFont="1">
      <alignment vertical="center"/>
    </xf>
    <xf numFmtId="182" fontId="155" fillId="0" borderId="122" xfId="10" applyNumberFormat="1" applyFont="1" applyBorder="1">
      <alignment vertical="center"/>
    </xf>
    <xf numFmtId="182" fontId="155" fillId="0" borderId="0" xfId="10" applyNumberFormat="1" applyFont="1">
      <alignment vertical="center"/>
    </xf>
    <xf numFmtId="185" fontId="155" fillId="0" borderId="0" xfId="10" applyNumberFormat="1" applyFont="1" applyAlignment="1">
      <alignment horizontal="center" vertical="center"/>
    </xf>
    <xf numFmtId="0" fontId="239" fillId="13" borderId="128" xfId="10" applyFont="1" applyFill="1" applyBorder="1" applyAlignment="1" applyProtection="1">
      <alignment horizontal="center" vertical="center" wrapText="1"/>
    </xf>
    <xf numFmtId="0" fontId="239" fillId="12" borderId="128" xfId="10" applyFont="1" applyFill="1" applyBorder="1" applyAlignment="1" applyProtection="1">
      <alignment horizontal="center" vertical="center" wrapText="1"/>
    </xf>
    <xf numFmtId="10" fontId="155" fillId="0" borderId="126" xfId="10" applyNumberFormat="1" applyFont="1" applyBorder="1">
      <alignment vertical="center"/>
    </xf>
    <xf numFmtId="10" fontId="155" fillId="0" borderId="19" xfId="10" applyNumberFormat="1" applyFont="1" applyBorder="1">
      <alignment vertical="center"/>
    </xf>
    <xf numFmtId="10" fontId="155" fillId="0" borderId="0" xfId="10" applyNumberFormat="1" applyFont="1" applyAlignment="1">
      <alignment horizontal="center" vertical="center"/>
    </xf>
    <xf numFmtId="0" fontId="239" fillId="12" borderId="130" xfId="10" applyFont="1" applyFill="1" applyBorder="1" applyAlignment="1" applyProtection="1">
      <alignment horizontal="center" vertical="center" wrapText="1"/>
    </xf>
    <xf numFmtId="0" fontId="239" fillId="12" borderId="131" xfId="10" applyFont="1" applyFill="1" applyBorder="1" applyAlignment="1" applyProtection="1">
      <alignment horizontal="center" vertical="center" wrapText="1"/>
    </xf>
    <xf numFmtId="10" fontId="155" fillId="0" borderId="132" xfId="10" applyNumberFormat="1" applyFont="1" applyBorder="1">
      <alignment vertical="center"/>
    </xf>
    <xf numFmtId="10" fontId="155" fillId="0" borderId="14" xfId="10" applyNumberFormat="1" applyFont="1" applyBorder="1">
      <alignment vertical="center"/>
    </xf>
    <xf numFmtId="0" fontId="155" fillId="0" borderId="122" xfId="10" applyFont="1" applyBorder="1">
      <alignment vertical="center"/>
    </xf>
    <xf numFmtId="0" fontId="239" fillId="13" borderId="120" xfId="10" applyFont="1" applyFill="1" applyBorder="1" applyAlignment="1" applyProtection="1">
      <alignment horizontal="center" vertical="center" wrapText="1"/>
    </xf>
    <xf numFmtId="0" fontId="239" fillId="13" borderId="121" xfId="10" applyFont="1" applyFill="1" applyBorder="1" applyAlignment="1" applyProtection="1">
      <alignment horizontal="center" vertical="center" wrapText="1"/>
    </xf>
    <xf numFmtId="10" fontId="155" fillId="0" borderId="0" xfId="10" applyNumberFormat="1" applyFont="1" applyBorder="1">
      <alignment vertical="center"/>
    </xf>
    <xf numFmtId="185" fontId="160" fillId="12" borderId="124" xfId="10" applyNumberFormat="1" applyFont="1" applyFill="1" applyBorder="1" applyAlignment="1">
      <alignment horizontal="center" vertical="center" wrapText="1"/>
    </xf>
    <xf numFmtId="185" fontId="160" fillId="12" borderId="133" xfId="10" applyNumberFormat="1" applyFont="1" applyFill="1" applyBorder="1" applyAlignment="1">
      <alignment horizontal="center" vertical="center" wrapText="1"/>
    </xf>
    <xf numFmtId="0" fontId="155" fillId="13" borderId="120" xfId="10" applyFont="1" applyFill="1" applyBorder="1" applyAlignment="1" applyProtection="1">
      <alignment horizontal="center" vertical="center" wrapText="1"/>
    </xf>
    <xf numFmtId="0" fontId="155" fillId="13" borderId="121" xfId="10" applyFont="1" applyFill="1" applyBorder="1" applyAlignment="1" applyProtection="1">
      <alignment horizontal="center" vertical="center" wrapText="1"/>
    </xf>
    <xf numFmtId="49" fontId="89" fillId="6" borderId="2" xfId="10" applyNumberFormat="1" applyFont="1" applyFill="1" applyBorder="1" applyAlignment="1" applyProtection="1">
      <alignment horizontal="center" vertical="center" wrapText="1"/>
    </xf>
    <xf numFmtId="185" fontId="155" fillId="6" borderId="0" xfId="10" applyNumberFormat="1" applyFont="1" applyFill="1" applyAlignment="1">
      <alignment horizontal="center" vertical="center"/>
    </xf>
    <xf numFmtId="0" fontId="155" fillId="6" borderId="124" xfId="10" applyFont="1" applyFill="1" applyBorder="1" applyAlignment="1" applyProtection="1">
      <alignment horizontal="center" vertical="center" wrapText="1"/>
    </xf>
    <xf numFmtId="0" fontId="155" fillId="6" borderId="128" xfId="10" applyFont="1" applyFill="1" applyBorder="1" applyAlignment="1" applyProtection="1">
      <alignment horizontal="center" vertical="center" wrapText="1"/>
    </xf>
    <xf numFmtId="0" fontId="155" fillId="6" borderId="0" xfId="10" applyFont="1" applyFill="1">
      <alignment vertical="center"/>
    </xf>
    <xf numFmtId="10" fontId="155" fillId="6" borderId="122" xfId="10" applyNumberFormat="1" applyFont="1" applyFill="1" applyBorder="1">
      <alignment vertical="center"/>
    </xf>
    <xf numFmtId="10" fontId="155" fillId="6" borderId="0" xfId="10" applyNumberFormat="1" applyFont="1" applyFill="1">
      <alignment vertical="center"/>
    </xf>
    <xf numFmtId="178" fontId="155" fillId="6" borderId="0" xfId="10" applyNumberFormat="1" applyFont="1" applyFill="1">
      <alignment vertical="center"/>
    </xf>
    <xf numFmtId="10" fontId="155" fillId="6" borderId="126" xfId="10" applyNumberFormat="1" applyFont="1" applyFill="1" applyBorder="1">
      <alignment vertical="center"/>
    </xf>
    <xf numFmtId="10" fontId="155" fillId="6" borderId="19" xfId="10" applyNumberFormat="1" applyFont="1" applyFill="1" applyBorder="1">
      <alignment vertical="center"/>
    </xf>
    <xf numFmtId="0" fontId="155" fillId="12" borderId="130" xfId="10" applyFont="1" applyFill="1" applyBorder="1" applyAlignment="1" applyProtection="1">
      <alignment horizontal="center" vertical="center" wrapText="1"/>
    </xf>
    <xf numFmtId="0" fontId="155" fillId="12" borderId="131" xfId="10" applyFont="1" applyFill="1" applyBorder="1" applyAlignment="1" applyProtection="1">
      <alignment horizontal="center" vertical="center" wrapText="1"/>
    </xf>
    <xf numFmtId="185" fontId="160" fillId="12" borderId="130" xfId="10" applyNumberFormat="1" applyFont="1" applyFill="1" applyBorder="1" applyAlignment="1">
      <alignment horizontal="center" vertical="center" wrapText="1"/>
    </xf>
    <xf numFmtId="185" fontId="160" fillId="12" borderId="134" xfId="10" applyNumberFormat="1" applyFont="1" applyFill="1" applyBorder="1" applyAlignment="1">
      <alignment horizontal="center" vertical="center" wrapText="1"/>
    </xf>
    <xf numFmtId="185" fontId="155" fillId="14" borderId="0" xfId="10" applyNumberFormat="1" applyFont="1" applyFill="1" applyAlignment="1">
      <alignment horizontal="center" vertical="center"/>
    </xf>
    <xf numFmtId="185" fontId="155" fillId="0" borderId="61" xfId="10" applyNumberFormat="1" applyFont="1" applyBorder="1" applyAlignment="1">
      <alignment horizontal="center" vertical="center"/>
    </xf>
    <xf numFmtId="0" fontId="239" fillId="13" borderId="135" xfId="10" applyFont="1" applyFill="1" applyBorder="1" applyAlignment="1" applyProtection="1">
      <alignment horizontal="center" vertical="center" wrapText="1"/>
    </xf>
    <xf numFmtId="0" fontId="239" fillId="13" borderId="136" xfId="10" applyFont="1" applyFill="1" applyBorder="1" applyAlignment="1" applyProtection="1">
      <alignment horizontal="center" vertical="center" wrapText="1"/>
    </xf>
    <xf numFmtId="0" fontId="155" fillId="0" borderId="61" xfId="10" applyFont="1" applyBorder="1">
      <alignment vertical="center"/>
    </xf>
    <xf numFmtId="10" fontId="155" fillId="0" borderId="137" xfId="10" applyNumberFormat="1" applyFont="1" applyBorder="1">
      <alignment vertical="center"/>
    </xf>
    <xf numFmtId="10" fontId="155" fillId="0" borderId="61" xfId="10" applyNumberFormat="1" applyFont="1" applyBorder="1">
      <alignment vertical="center"/>
    </xf>
    <xf numFmtId="178" fontId="155" fillId="0" borderId="61" xfId="10" applyNumberFormat="1" applyFont="1" applyBorder="1">
      <alignment vertical="center"/>
    </xf>
    <xf numFmtId="10" fontId="155" fillId="0" borderId="61" xfId="10" applyNumberFormat="1" applyFont="1" applyBorder="1" applyAlignment="1">
      <alignment horizontal="center" vertical="center"/>
    </xf>
    <xf numFmtId="0" fontId="239" fillId="12" borderId="138" xfId="10" applyFont="1" applyFill="1" applyBorder="1" applyAlignment="1" applyProtection="1">
      <alignment horizontal="center" vertical="center" wrapText="1"/>
    </xf>
    <xf numFmtId="0" fontId="239" fillId="12" borderId="139" xfId="10" applyFont="1" applyFill="1" applyBorder="1" applyAlignment="1" applyProtection="1">
      <alignment horizontal="center" vertical="center" wrapText="1"/>
    </xf>
    <xf numFmtId="10" fontId="155" fillId="15" borderId="122" xfId="10" applyNumberFormat="1" applyFont="1" applyFill="1" applyBorder="1">
      <alignment vertical="center"/>
    </xf>
    <xf numFmtId="10" fontId="155" fillId="15" borderId="0" xfId="10" applyNumberFormat="1" applyFont="1" applyFill="1">
      <alignment vertical="center"/>
    </xf>
    <xf numFmtId="179" fontId="155" fillId="0" borderId="0" xfId="10" applyNumberFormat="1" applyFont="1" applyAlignment="1">
      <alignment horizontal="center" vertical="center"/>
    </xf>
    <xf numFmtId="10" fontId="155" fillId="15" borderId="126" xfId="10" applyNumberFormat="1" applyFont="1" applyFill="1" applyBorder="1">
      <alignment vertical="center"/>
    </xf>
    <xf numFmtId="10" fontId="155" fillId="15" borderId="19" xfId="10" applyNumberFormat="1" applyFont="1" applyFill="1" applyBorder="1">
      <alignment vertical="center"/>
    </xf>
    <xf numFmtId="10" fontId="155" fillId="15" borderId="137" xfId="10" applyNumberFormat="1" applyFont="1" applyFill="1" applyBorder="1">
      <alignment vertical="center"/>
    </xf>
    <xf numFmtId="10" fontId="155" fillId="15" borderId="61" xfId="10" applyNumberFormat="1" applyFont="1" applyFill="1" applyBorder="1">
      <alignment vertical="center"/>
    </xf>
    <xf numFmtId="179" fontId="155" fillId="0" borderId="61" xfId="10" applyNumberFormat="1" applyFont="1" applyBorder="1" applyAlignment="1">
      <alignment horizontal="center" vertical="center"/>
    </xf>
    <xf numFmtId="0" fontId="160" fillId="13" borderId="140" xfId="10" applyFont="1" applyFill="1" applyBorder="1" applyAlignment="1">
      <alignment horizontal="center" vertical="center" wrapText="1"/>
    </xf>
    <xf numFmtId="0" fontId="160" fillId="13" borderId="141" xfId="10" applyFont="1" applyFill="1" applyBorder="1" applyAlignment="1">
      <alignment horizontal="center" vertical="center" wrapText="1"/>
    </xf>
    <xf numFmtId="181" fontId="155" fillId="0" borderId="0" xfId="10" applyNumberFormat="1" applyFont="1" applyAlignment="1">
      <alignment horizontal="center" vertical="center"/>
    </xf>
    <xf numFmtId="181" fontId="155" fillId="0" borderId="122" xfId="10" applyNumberFormat="1" applyFont="1" applyBorder="1" applyAlignment="1">
      <alignment horizontal="center" vertical="center"/>
    </xf>
    <xf numFmtId="178" fontId="155" fillId="15" borderId="0" xfId="10" applyNumberFormat="1" applyFont="1" applyFill="1" applyAlignment="1">
      <alignment horizontal="center" vertical="center"/>
    </xf>
    <xf numFmtId="0" fontId="239" fillId="13" borderId="130" xfId="10" applyFont="1" applyFill="1" applyBorder="1" applyAlignment="1" applyProtection="1">
      <alignment horizontal="center" vertical="center" wrapText="1"/>
    </xf>
    <xf numFmtId="0" fontId="160" fillId="12" borderId="130" xfId="10" applyFont="1" applyFill="1" applyBorder="1" applyAlignment="1">
      <alignment horizontal="center" vertical="center" wrapText="1"/>
    </xf>
    <xf numFmtId="0" fontId="160" fillId="12" borderId="134" xfId="10" applyFont="1" applyFill="1" applyBorder="1" applyAlignment="1">
      <alignment horizontal="center" vertical="center" wrapText="1"/>
    </xf>
    <xf numFmtId="178" fontId="155" fillId="6" borderId="0" xfId="10" applyNumberFormat="1" applyFont="1" applyFill="1" applyAlignment="1">
      <alignment horizontal="center" vertical="center"/>
    </xf>
    <xf numFmtId="0" fontId="239" fillId="6" borderId="124" xfId="10" applyFont="1" applyFill="1" applyBorder="1" applyAlignment="1" applyProtection="1">
      <alignment horizontal="center" vertical="center" wrapText="1"/>
    </xf>
    <xf numFmtId="181" fontId="155" fillId="6" borderId="0" xfId="10" applyNumberFormat="1" applyFont="1" applyFill="1" applyAlignment="1">
      <alignment horizontal="center" vertical="center"/>
    </xf>
    <xf numFmtId="0" fontId="155" fillId="6" borderId="122" xfId="10" applyFont="1" applyFill="1" applyBorder="1">
      <alignment vertical="center"/>
    </xf>
    <xf numFmtId="179" fontId="155" fillId="6" borderId="0" xfId="10" applyNumberFormat="1" applyFont="1" applyFill="1" applyAlignment="1">
      <alignment horizontal="center" vertical="center"/>
    </xf>
    <xf numFmtId="0" fontId="160" fillId="12" borderId="142" xfId="10" applyFont="1" applyFill="1" applyBorder="1" applyAlignment="1">
      <alignment horizontal="center" vertical="center" wrapText="1"/>
    </xf>
    <xf numFmtId="0" fontId="160" fillId="12" borderId="143" xfId="10" applyFont="1" applyFill="1" applyBorder="1" applyAlignment="1">
      <alignment horizontal="center" vertical="center" wrapText="1"/>
    </xf>
    <xf numFmtId="0" fontId="160" fillId="12" borderId="144" xfId="10" applyFont="1" applyFill="1" applyBorder="1" applyAlignment="1">
      <alignment horizontal="center" vertical="center" wrapText="1"/>
    </xf>
    <xf numFmtId="0" fontId="213" fillId="0" borderId="0" xfId="10" applyFont="1">
      <alignment vertical="center"/>
    </xf>
    <xf numFmtId="0" fontId="161" fillId="0" borderId="0" xfId="10" applyFont="1">
      <alignment vertical="center"/>
    </xf>
    <xf numFmtId="0" fontId="161" fillId="0" borderId="122" xfId="10" applyFont="1" applyBorder="1">
      <alignment vertical="center"/>
    </xf>
    <xf numFmtId="181" fontId="161" fillId="0" borderId="0" xfId="10" applyNumberFormat="1" applyFont="1" applyAlignment="1">
      <alignment horizontal="center" vertical="center"/>
    </xf>
    <xf numFmtId="181" fontId="161" fillId="0" borderId="122" xfId="10" applyNumberFormat="1" applyFont="1" applyBorder="1" applyAlignment="1">
      <alignment horizontal="center" vertical="center"/>
    </xf>
    <xf numFmtId="0" fontId="239" fillId="13" borderId="145" xfId="10" applyFont="1" applyFill="1" applyBorder="1" applyAlignment="1">
      <alignment horizontal="center" vertical="center" wrapText="1"/>
    </xf>
    <xf numFmtId="0" fontId="239" fillId="13" borderId="120" xfId="10" applyFont="1" applyFill="1" applyBorder="1" applyAlignment="1">
      <alignment horizontal="center" vertical="center" wrapText="1"/>
    </xf>
    <xf numFmtId="0" fontId="239" fillId="12" borderId="146" xfId="10" applyFont="1" applyFill="1" applyBorder="1" applyAlignment="1">
      <alignment horizontal="center" vertical="center" wrapText="1"/>
    </xf>
    <xf numFmtId="0" fontId="239" fillId="12" borderId="124" xfId="10" applyFont="1" applyFill="1" applyBorder="1" applyAlignment="1">
      <alignment horizontal="center" vertical="center" wrapText="1"/>
    </xf>
    <xf numFmtId="0" fontId="239" fillId="13" borderId="124" xfId="10" applyFont="1" applyFill="1" applyBorder="1" applyAlignment="1">
      <alignment horizontal="center" vertical="center" wrapText="1"/>
    </xf>
    <xf numFmtId="0" fontId="239" fillId="13" borderId="146" xfId="10" applyFont="1" applyFill="1" applyBorder="1" applyAlignment="1">
      <alignment horizontal="center" vertical="center" wrapText="1"/>
    </xf>
    <xf numFmtId="0" fontId="239" fillId="12" borderId="147" xfId="10" applyFont="1" applyFill="1" applyBorder="1" applyAlignment="1">
      <alignment horizontal="center" vertical="center" wrapText="1"/>
    </xf>
    <xf numFmtId="0" fontId="239" fillId="12" borderId="130" xfId="10" applyFont="1" applyFill="1" applyBorder="1" applyAlignment="1">
      <alignment horizontal="center" vertical="center" wrapText="1"/>
    </xf>
    <xf numFmtId="0" fontId="160" fillId="0" borderId="0" xfId="10" applyFont="1" applyFill="1">
      <alignment vertical="center"/>
    </xf>
    <xf numFmtId="0" fontId="152" fillId="0" borderId="0" xfId="1" applyFont="1" applyFill="1" applyAlignment="1" applyProtection="1">
      <alignment horizontal="center" vertical="center"/>
    </xf>
    <xf numFmtId="0" fontId="20" fillId="0" borderId="0" xfId="1" applyFont="1" applyFill="1" applyAlignment="1" applyProtection="1">
      <alignment horizontal="center" vertical="center"/>
    </xf>
    <xf numFmtId="0" fontId="160" fillId="0" borderId="0" xfId="10" applyFont="1" applyFill="1" applyBorder="1" applyAlignment="1">
      <alignment horizontal="center" vertical="center"/>
    </xf>
    <xf numFmtId="0" fontId="160" fillId="0" borderId="0" xfId="10" applyFont="1" applyFill="1" applyAlignment="1">
      <alignment horizontal="center" vertical="center"/>
    </xf>
    <xf numFmtId="0" fontId="155" fillId="0" borderId="0" xfId="10" applyFont="1" applyAlignment="1">
      <alignment horizontal="center" vertical="center"/>
    </xf>
    <xf numFmtId="0" fontId="160" fillId="0" borderId="122" xfId="10" applyFont="1" applyFill="1" applyBorder="1" applyAlignment="1">
      <alignment horizontal="center" vertical="center"/>
    </xf>
    <xf numFmtId="0" fontId="160" fillId="0" borderId="148" xfId="10" applyFont="1" applyBorder="1">
      <alignment vertical="center"/>
    </xf>
    <xf numFmtId="0" fontId="20" fillId="5" borderId="148" xfId="1" applyFont="1" applyFill="1" applyBorder="1" applyAlignment="1" applyProtection="1">
      <alignment horizontal="center" vertical="center"/>
    </xf>
    <xf numFmtId="0" fontId="160" fillId="0" borderId="148" xfId="10" applyFont="1" applyBorder="1" applyAlignment="1">
      <alignment horizontal="center" vertical="center"/>
    </xf>
    <xf numFmtId="0" fontId="160" fillId="0" borderId="148" xfId="10" applyFont="1" applyBorder="1" applyAlignment="1">
      <alignment vertical="center"/>
    </xf>
    <xf numFmtId="0" fontId="160" fillId="0" borderId="149" xfId="10" applyFont="1" applyBorder="1" applyAlignment="1">
      <alignment vertical="center"/>
    </xf>
    <xf numFmtId="0" fontId="241" fillId="14" borderId="0" xfId="10" applyFont="1" applyFill="1">
      <alignment vertical="center"/>
    </xf>
    <xf numFmtId="10" fontId="241" fillId="14" borderId="126" xfId="10" applyNumberFormat="1" applyFont="1" applyFill="1" applyBorder="1" applyAlignment="1">
      <alignment vertical="center"/>
    </xf>
    <xf numFmtId="0" fontId="203" fillId="6" borderId="0" xfId="10" applyFont="1" applyFill="1">
      <alignment vertical="center"/>
    </xf>
    <xf numFmtId="0" fontId="162" fillId="5" borderId="148" xfId="1" applyFont="1" applyFill="1" applyBorder="1" applyAlignment="1" applyProtection="1">
      <alignment horizontal="center" vertical="center"/>
    </xf>
    <xf numFmtId="0" fontId="155" fillId="6" borderId="0" xfId="10" applyNumberFormat="1" applyFont="1" applyFill="1" applyAlignment="1">
      <alignment horizontal="center" vertical="center"/>
    </xf>
    <xf numFmtId="14" fontId="155" fillId="0" borderId="0" xfId="10" applyNumberFormat="1" applyFont="1">
      <alignment vertical="center"/>
    </xf>
    <xf numFmtId="0" fontId="155" fillId="0" borderId="0" xfId="10" applyNumberFormat="1" applyFont="1" applyAlignment="1">
      <alignment horizontal="center" vertical="center"/>
    </xf>
    <xf numFmtId="0" fontId="203" fillId="0" borderId="0" xfId="10" applyFont="1">
      <alignment vertical="center"/>
    </xf>
    <xf numFmtId="10" fontId="89" fillId="5" borderId="12" xfId="3" applyNumberFormat="1" applyFont="1" applyFill="1" applyBorder="1" applyAlignment="1" applyProtection="1">
      <alignment horizontal="center" vertical="center" wrapText="1"/>
    </xf>
    <xf numFmtId="0" fontId="89" fillId="5" borderId="68" xfId="3" applyFont="1" applyFill="1" applyBorder="1" applyAlignment="1" applyProtection="1">
      <alignment horizontal="center" vertical="center" wrapText="1"/>
    </xf>
    <xf numFmtId="49" fontId="138" fillId="5" borderId="24" xfId="0" applyNumberFormat="1" applyFont="1" applyFill="1" applyBorder="1" applyAlignment="1" applyProtection="1">
      <alignment horizontal="left" vertical="center" wrapText="1"/>
    </xf>
    <xf numFmtId="0" fontId="60" fillId="5" borderId="55" xfId="3" applyFont="1" applyFill="1" applyBorder="1" applyAlignment="1" applyProtection="1">
      <alignment horizontal="left" vertical="center" wrapText="1"/>
    </xf>
    <xf numFmtId="186" fontId="86" fillId="5" borderId="55" xfId="3" applyNumberFormat="1" applyFont="1" applyFill="1" applyBorder="1" applyAlignment="1" applyProtection="1">
      <alignment horizontal="center" vertical="center" wrapText="1"/>
    </xf>
    <xf numFmtId="0" fontId="43" fillId="5" borderId="55" xfId="3" applyFont="1" applyFill="1" applyBorder="1" applyAlignment="1" applyProtection="1">
      <alignment horizontal="center" vertical="center" wrapText="1"/>
    </xf>
    <xf numFmtId="182" fontId="155" fillId="5" borderId="55" xfId="3" applyNumberFormat="1" applyFont="1" applyFill="1" applyBorder="1" applyAlignment="1" applyProtection="1">
      <alignment horizontal="center" vertical="center" wrapText="1"/>
    </xf>
    <xf numFmtId="0" fontId="89" fillId="5" borderId="69" xfId="3" applyFont="1" applyFill="1" applyBorder="1" applyAlignment="1" applyProtection="1">
      <alignment horizontal="center" vertical="center" wrapText="1"/>
    </xf>
    <xf numFmtId="10" fontId="87" fillId="5" borderId="83" xfId="3" applyNumberFormat="1" applyFont="1" applyFill="1" applyBorder="1" applyAlignment="1" applyProtection="1">
      <alignment horizontal="center" vertical="center" wrapText="1"/>
    </xf>
    <xf numFmtId="0" fontId="155" fillId="5" borderId="41" xfId="3" applyFont="1" applyFill="1" applyBorder="1" applyAlignment="1" applyProtection="1">
      <alignment horizontal="center" vertical="center" wrapText="1"/>
    </xf>
    <xf numFmtId="0" fontId="43" fillId="5" borderId="26" xfId="3" applyFont="1" applyFill="1" applyBorder="1" applyAlignment="1" applyProtection="1">
      <alignment horizontal="center" vertical="center" wrapText="1"/>
    </xf>
    <xf numFmtId="0" fontId="147" fillId="5" borderId="6" xfId="3" applyFont="1" applyFill="1" applyBorder="1" applyAlignment="1" applyProtection="1">
      <alignment vertical="center" wrapText="1"/>
      <protection locked="0"/>
    </xf>
    <xf numFmtId="0" fontId="147" fillId="5" borderId="39" xfId="3" applyFont="1" applyFill="1" applyBorder="1" applyAlignment="1" applyProtection="1">
      <alignment vertical="center"/>
      <protection locked="0"/>
    </xf>
    <xf numFmtId="0" fontId="147" fillId="5" borderId="26" xfId="3" applyFont="1" applyFill="1" applyBorder="1" applyAlignment="1" applyProtection="1">
      <alignment horizontal="center" vertical="center" wrapText="1"/>
      <protection locked="0"/>
    </xf>
    <xf numFmtId="178" fontId="74" fillId="0" borderId="67" xfId="0" applyNumberFormat="1" applyFont="1" applyFill="1" applyBorder="1" applyAlignment="1" applyProtection="1">
      <alignment horizontal="center" vertical="center" wrapText="1"/>
      <protection locked="0"/>
    </xf>
    <xf numFmtId="179" fontId="74" fillId="0" borderId="5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4" fillId="5" borderId="42" xfId="0" applyNumberFormat="1" applyFont="1" applyFill="1" applyBorder="1" applyAlignment="1" applyProtection="1">
      <alignment horizontal="center" vertical="center" wrapText="1"/>
    </xf>
    <xf numFmtId="185" fontId="241" fillId="14" borderId="0" xfId="10" applyNumberFormat="1" applyFont="1" applyFill="1" applyBorder="1" applyAlignment="1">
      <alignment horizontal="center" vertical="center"/>
    </xf>
    <xf numFmtId="0" fontId="78" fillId="5" borderId="23" xfId="0" applyNumberFormat="1" applyFont="1" applyFill="1" applyBorder="1" applyAlignment="1" applyProtection="1">
      <alignment vertical="center"/>
    </xf>
    <xf numFmtId="0" fontId="51" fillId="5" borderId="11" xfId="0" applyNumberFormat="1" applyFont="1" applyFill="1" applyBorder="1" applyAlignment="1" applyProtection="1">
      <alignment horizontal="center" vertical="center" wrapText="1"/>
    </xf>
    <xf numFmtId="14" fontId="87" fillId="5" borderId="0" xfId="0" applyNumberFormat="1" applyFont="1" applyFill="1" applyAlignment="1" applyProtection="1">
      <alignment horizontal="center" vertical="center"/>
    </xf>
    <xf numFmtId="177" fontId="87" fillId="5" borderId="0" xfId="0" applyNumberFormat="1" applyFont="1" applyFill="1" applyAlignment="1" applyProtection="1">
      <alignment horizontal="center" vertical="center"/>
    </xf>
    <xf numFmtId="0" fontId="74" fillId="5" borderId="42" xfId="0" applyNumberFormat="1" applyFont="1" applyFill="1" applyBorder="1" applyAlignment="1" applyProtection="1">
      <alignment horizontal="center" vertical="center" wrapText="1"/>
    </xf>
    <xf numFmtId="189" fontId="74" fillId="5" borderId="42" xfId="0" applyNumberFormat="1" applyFont="1" applyFill="1" applyBorder="1" applyAlignment="1" applyProtection="1">
      <alignment horizontal="center" vertical="center" wrapText="1"/>
    </xf>
    <xf numFmtId="0" fontId="74" fillId="5" borderId="32" xfId="0" applyNumberFormat="1" applyFont="1" applyFill="1" applyBorder="1" applyAlignment="1" applyProtection="1">
      <alignment horizontal="center" vertical="center" wrapText="1"/>
      <protection locked="0"/>
    </xf>
    <xf numFmtId="189" fontId="74" fillId="5" borderId="6" xfId="0" applyNumberFormat="1" applyFont="1" applyFill="1" applyBorder="1" applyAlignment="1" applyProtection="1">
      <alignment horizontal="center" vertical="center" wrapText="1"/>
    </xf>
    <xf numFmtId="0" fontId="143" fillId="5" borderId="21" xfId="3" applyNumberFormat="1" applyFont="1" applyFill="1" applyBorder="1" applyAlignment="1" applyProtection="1">
      <alignment horizontal="center" vertical="center" wrapText="1"/>
      <protection locked="0"/>
    </xf>
    <xf numFmtId="0" fontId="78" fillId="6" borderId="2" xfId="0" applyNumberFormat="1" applyFont="1" applyFill="1" applyBorder="1" applyAlignment="1" applyProtection="1">
      <alignment horizontal="center" vertical="center" wrapText="1"/>
      <protection locked="0"/>
    </xf>
    <xf numFmtId="0" fontId="104" fillId="6" borderId="2" xfId="0" applyFont="1" applyFill="1" applyBorder="1" applyAlignment="1" applyProtection="1">
      <alignment horizontal="center" vertical="center"/>
      <protection locked="0"/>
    </xf>
    <xf numFmtId="0" fontId="78" fillId="5" borderId="2" xfId="0" applyFont="1" applyFill="1" applyBorder="1" applyAlignment="1" applyProtection="1">
      <alignment horizontal="center" vertical="center"/>
    </xf>
    <xf numFmtId="0" fontId="73" fillId="6" borderId="30" xfId="2" applyFont="1" applyFill="1" applyBorder="1" applyAlignment="1" applyProtection="1">
      <alignment horizontal="right" vertical="center"/>
      <protection locked="0"/>
    </xf>
    <xf numFmtId="0" fontId="79" fillId="0" borderId="8" xfId="0" applyFont="1" applyFill="1" applyBorder="1" applyAlignment="1" applyProtection="1">
      <alignment vertical="center"/>
      <protection locked="0"/>
    </xf>
    <xf numFmtId="0" fontId="137" fillId="5" borderId="8" xfId="0" applyFont="1" applyFill="1" applyBorder="1" applyAlignment="1" applyProtection="1">
      <alignment vertical="center"/>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16" xfId="0" applyFont="1" applyFill="1" applyBorder="1" applyAlignment="1" applyProtection="1">
      <alignment vertical="center"/>
    </xf>
    <xf numFmtId="0" fontId="79"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9" fillId="5" borderId="16" xfId="0" applyFont="1" applyFill="1" applyBorder="1" applyAlignment="1" applyProtection="1">
      <alignment horizontal="left" vertical="center"/>
    </xf>
    <xf numFmtId="0" fontId="51" fillId="5" borderId="5" xfId="0" applyFont="1" applyFill="1" applyBorder="1" applyAlignment="1" applyProtection="1">
      <alignment vertical="center"/>
    </xf>
    <xf numFmtId="178" fontId="79" fillId="5" borderId="5" xfId="0" applyNumberFormat="1" applyFont="1" applyFill="1" applyBorder="1" applyAlignment="1" applyProtection="1">
      <alignment vertical="center"/>
    </xf>
    <xf numFmtId="0" fontId="79" fillId="5" borderId="45" xfId="0" applyFont="1" applyFill="1" applyBorder="1" applyAlignment="1" applyProtection="1">
      <alignment vertical="center"/>
    </xf>
    <xf numFmtId="0" fontId="79" fillId="5" borderId="56" xfId="0" applyFont="1" applyFill="1" applyBorder="1" applyAlignment="1" applyProtection="1">
      <alignment vertical="center"/>
    </xf>
    <xf numFmtId="0" fontId="79" fillId="5" borderId="48" xfId="0" applyFont="1" applyFill="1" applyBorder="1" applyAlignment="1" applyProtection="1">
      <alignment vertical="center"/>
    </xf>
    <xf numFmtId="0" fontId="73" fillId="5" borderId="68" xfId="0" applyFont="1" applyFill="1" applyBorder="1" applyAlignment="1" applyProtection="1">
      <alignment vertical="center"/>
    </xf>
    <xf numFmtId="0" fontId="78" fillId="5" borderId="61" xfId="0" applyFont="1" applyFill="1" applyBorder="1" applyAlignment="1" applyProtection="1">
      <alignment vertical="center"/>
    </xf>
    <xf numFmtId="0" fontId="78" fillId="5" borderId="66" xfId="0" applyFont="1" applyFill="1" applyBorder="1" applyAlignment="1" applyProtection="1">
      <alignment vertical="center"/>
    </xf>
    <xf numFmtId="0" fontId="73" fillId="5" borderId="59" xfId="0" applyFont="1" applyFill="1" applyBorder="1" applyAlignment="1" applyProtection="1">
      <alignment vertical="center"/>
    </xf>
    <xf numFmtId="0" fontId="73" fillId="5" borderId="30" xfId="0" applyFont="1" applyFill="1" applyBorder="1" applyAlignment="1" applyProtection="1">
      <alignment vertical="center"/>
    </xf>
    <xf numFmtId="185" fontId="78" fillId="5" borderId="29" xfId="0" applyNumberFormat="1" applyFont="1" applyFill="1" applyBorder="1" applyAlignment="1" applyProtection="1">
      <alignment horizontal="center" vertical="center"/>
    </xf>
    <xf numFmtId="0" fontId="73" fillId="5" borderId="57" xfId="0" applyFont="1" applyFill="1" applyBorder="1" applyAlignment="1" applyProtection="1">
      <alignment vertical="center"/>
    </xf>
    <xf numFmtId="0" fontId="78" fillId="5" borderId="11" xfId="0" applyFont="1" applyFill="1" applyBorder="1" applyAlignment="1" applyProtection="1">
      <alignment horizontal="center" vertical="center"/>
    </xf>
    <xf numFmtId="0" fontId="78" fillId="5" borderId="4" xfId="0" applyFont="1" applyFill="1" applyBorder="1" applyAlignment="1" applyProtection="1">
      <alignment vertical="center"/>
    </xf>
    <xf numFmtId="185" fontId="79" fillId="0" borderId="2" xfId="0" applyNumberFormat="1" applyFont="1" applyFill="1" applyBorder="1" applyAlignment="1" applyProtection="1">
      <alignment horizontal="center" vertical="center"/>
      <protection locked="0"/>
    </xf>
    <xf numFmtId="185" fontId="79" fillId="0" borderId="12" xfId="0" applyNumberFormat="1" applyFont="1" applyFill="1" applyBorder="1" applyAlignment="1" applyProtection="1">
      <alignment horizontal="center" vertical="center"/>
      <protection locked="0"/>
    </xf>
    <xf numFmtId="49" fontId="79" fillId="5" borderId="43" xfId="0" applyNumberFormat="1" applyFont="1" applyFill="1" applyBorder="1" applyAlignment="1" applyProtection="1">
      <alignment horizontal="left" vertical="center"/>
    </xf>
    <xf numFmtId="185" fontId="79" fillId="0" borderId="44" xfId="0" applyNumberFormat="1" applyFont="1" applyFill="1" applyBorder="1" applyAlignment="1" applyProtection="1">
      <alignment horizontal="center" vertical="center"/>
      <protection locked="0"/>
    </xf>
    <xf numFmtId="185" fontId="79" fillId="0" borderId="46" xfId="0" applyNumberFormat="1" applyFont="1" applyFill="1" applyBorder="1" applyAlignment="1" applyProtection="1">
      <alignment horizontal="center" vertical="center"/>
      <protection locked="0"/>
    </xf>
    <xf numFmtId="49" fontId="73" fillId="5" borderId="59" xfId="0" applyNumberFormat="1" applyFont="1" applyFill="1" applyBorder="1" applyAlignment="1" applyProtection="1">
      <alignment vertical="center"/>
    </xf>
    <xf numFmtId="49" fontId="78" fillId="5" borderId="11" xfId="0" applyNumberFormat="1" applyFont="1" applyFill="1" applyBorder="1" applyAlignment="1" applyProtection="1">
      <alignment horizontal="center" vertical="center"/>
    </xf>
    <xf numFmtId="185" fontId="78" fillId="5" borderId="2" xfId="0" applyNumberFormat="1" applyFont="1" applyFill="1" applyBorder="1" applyAlignment="1" applyProtection="1">
      <alignment horizontal="center" vertical="center"/>
    </xf>
    <xf numFmtId="49" fontId="79" fillId="5" borderId="11" xfId="2" applyNumberFormat="1" applyFont="1" applyFill="1" applyBorder="1" applyAlignment="1" applyProtection="1">
      <alignment horizontal="left" vertical="center"/>
    </xf>
    <xf numFmtId="0" fontId="79" fillId="5" borderId="5" xfId="2" applyFont="1" applyFill="1" applyBorder="1" applyAlignment="1" applyProtection="1">
      <alignment vertical="center"/>
    </xf>
    <xf numFmtId="180" fontId="79" fillId="5" borderId="2" xfId="2" applyNumberFormat="1" applyFont="1" applyFill="1" applyBorder="1" applyAlignment="1" applyProtection="1">
      <alignment horizontal="center" vertical="center"/>
    </xf>
    <xf numFmtId="0" fontId="79" fillId="5" borderId="2" xfId="0" applyFont="1" applyFill="1" applyBorder="1" applyAlignment="1" applyProtection="1">
      <alignment vertical="center"/>
    </xf>
    <xf numFmtId="182" fontId="79" fillId="5" borderId="2" xfId="2" applyNumberFormat="1" applyFont="1" applyFill="1" applyBorder="1" applyAlignment="1" applyProtection="1">
      <alignment horizontal="center" vertical="center"/>
    </xf>
    <xf numFmtId="9" fontId="79" fillId="5" borderId="2" xfId="2" applyNumberFormat="1" applyFont="1" applyFill="1" applyBorder="1" applyAlignment="1" applyProtection="1">
      <alignment horizontal="center" vertical="center"/>
    </xf>
    <xf numFmtId="178" fontId="79" fillId="5" borderId="2" xfId="2" applyNumberFormat="1" applyFont="1" applyFill="1" applyBorder="1" applyAlignment="1" applyProtection="1">
      <alignment horizontal="center" vertical="center"/>
    </xf>
    <xf numFmtId="10" fontId="79" fillId="5" borderId="2" xfId="2"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78" fontId="78" fillId="5" borderId="2" xfId="2" applyNumberFormat="1" applyFont="1" applyFill="1" applyBorder="1" applyAlignment="1" applyProtection="1">
      <alignment horizontal="center" vertical="center"/>
    </xf>
    <xf numFmtId="0" fontId="78" fillId="5" borderId="2" xfId="2" applyFont="1" applyFill="1" applyBorder="1" applyAlignment="1" applyProtection="1">
      <alignment vertical="center"/>
    </xf>
    <xf numFmtId="180"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178" fontId="78" fillId="5" borderId="0" xfId="0" applyNumberFormat="1" applyFont="1" applyFill="1" applyBorder="1" applyAlignment="1" applyProtection="1">
      <alignment horizontal="center" vertical="center"/>
    </xf>
    <xf numFmtId="0" fontId="79" fillId="5" borderId="2" xfId="2" applyFont="1" applyFill="1" applyBorder="1" applyAlignment="1" applyProtection="1">
      <alignment horizontal="left" vertical="center"/>
    </xf>
    <xf numFmtId="186" fontId="79" fillId="5" borderId="9" xfId="0" applyNumberFormat="1" applyFont="1" applyFill="1" applyBorder="1" applyAlignment="1" applyProtection="1">
      <alignment horizontal="center" vertical="center"/>
    </xf>
    <xf numFmtId="178" fontId="79" fillId="5" borderId="0"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left" vertical="center"/>
    </xf>
    <xf numFmtId="0" fontId="78" fillId="5" borderId="2" xfId="2" applyFont="1" applyFill="1" applyBorder="1" applyAlignment="1" applyProtection="1">
      <alignment horizontal="left" vertical="center"/>
    </xf>
    <xf numFmtId="0" fontId="79" fillId="5" borderId="5" xfId="2" applyFont="1" applyFill="1" applyBorder="1" applyAlignment="1" applyProtection="1">
      <alignment horizontal="left" vertical="center"/>
    </xf>
    <xf numFmtId="178" fontId="79" fillId="5" borderId="56" xfId="2" applyNumberFormat="1" applyFont="1" applyFill="1" applyBorder="1" applyAlignment="1" applyProtection="1">
      <alignment vertical="center"/>
    </xf>
    <xf numFmtId="185" fontId="73" fillId="5" borderId="55" xfId="0" applyNumberFormat="1" applyFont="1" applyFill="1" applyBorder="1" applyAlignment="1" applyProtection="1">
      <alignment horizontal="center" vertical="center"/>
    </xf>
    <xf numFmtId="0" fontId="79" fillId="6" borderId="0" xfId="0" applyFont="1" applyFill="1" applyProtection="1">
      <alignment vertical="center"/>
      <protection locked="0"/>
    </xf>
    <xf numFmtId="49" fontId="198" fillId="0" borderId="2" xfId="0" applyNumberFormat="1" applyFont="1" applyBorder="1" applyAlignment="1" applyProtection="1">
      <alignment horizontal="center" vertical="center" wrapText="1"/>
      <protection locked="0"/>
    </xf>
    <xf numFmtId="0" fontId="197" fillId="0" borderId="0" xfId="0" applyFont="1" applyAlignment="1">
      <alignment horizontal="center" vertical="center" wrapText="1"/>
    </xf>
    <xf numFmtId="0" fontId="197" fillId="0" borderId="0" xfId="0" applyFont="1" applyAlignment="1">
      <alignment horizontal="right" vertical="center"/>
    </xf>
    <xf numFmtId="0" fontId="197" fillId="0" borderId="19" xfId="0" applyFont="1" applyBorder="1" applyAlignment="1">
      <alignment vertical="center" wrapText="1"/>
    </xf>
    <xf numFmtId="0" fontId="189" fillId="0" borderId="0" xfId="0" applyFont="1" applyAlignment="1">
      <alignment horizontal="center" vertical="center" wrapText="1"/>
    </xf>
    <xf numFmtId="191" fontId="142" fillId="0" borderId="0" xfId="0" applyNumberFormat="1" applyFont="1" applyAlignment="1" applyProtection="1">
      <alignment horizontal="right" vertical="center" shrinkToFit="1"/>
      <protection locked="0"/>
    </xf>
    <xf numFmtId="0" fontId="249" fillId="0" borderId="0" xfId="0" applyFont="1" applyAlignment="1" applyProtection="1">
      <alignment horizontal="left" vertical="center" wrapText="1"/>
      <protection locked="0"/>
    </xf>
    <xf numFmtId="0" fontId="249" fillId="0" borderId="0" xfId="0" applyFont="1" applyAlignment="1" applyProtection="1">
      <alignment horizontal="left" vertical="top" wrapText="1"/>
    </xf>
    <xf numFmtId="0" fontId="193" fillId="0" borderId="0" xfId="0" applyFont="1">
      <alignment vertical="center"/>
    </xf>
    <xf numFmtId="0" fontId="183" fillId="0" borderId="0" xfId="0" applyFont="1" applyBorder="1">
      <alignment vertical="center"/>
    </xf>
    <xf numFmtId="0" fontId="183" fillId="0" borderId="2" xfId="0" applyFont="1" applyBorder="1" applyAlignment="1">
      <alignment vertical="center" wrapText="1"/>
    </xf>
    <xf numFmtId="0" fontId="183" fillId="0" borderId="2" xfId="0" applyFont="1" applyBorder="1" applyAlignment="1" applyProtection="1">
      <alignment horizontal="left" vertical="center"/>
    </xf>
    <xf numFmtId="0" fontId="183" fillId="0" borderId="0" xfId="0" applyFont="1" applyBorder="1" applyProtection="1">
      <alignment vertical="center"/>
      <protection locked="0"/>
    </xf>
    <xf numFmtId="0" fontId="183" fillId="0" borderId="2" xfId="0" applyFont="1" applyFill="1" applyBorder="1" applyAlignment="1" applyProtection="1">
      <alignment horizontal="left" vertical="center"/>
    </xf>
    <xf numFmtId="0" fontId="183" fillId="0" borderId="0" xfId="0" applyFont="1">
      <alignment vertical="center"/>
    </xf>
    <xf numFmtId="0" fontId="183" fillId="0" borderId="2" xfId="0" applyFont="1" applyBorder="1">
      <alignment vertical="center"/>
    </xf>
    <xf numFmtId="49" fontId="183" fillId="0" borderId="2" xfId="0" applyNumberFormat="1" applyFont="1" applyBorder="1" applyAlignment="1" applyProtection="1">
      <alignment horizontal="left" vertical="center"/>
    </xf>
    <xf numFmtId="0" fontId="183" fillId="0" borderId="2" xfId="0" applyNumberFormat="1" applyFont="1" applyBorder="1" applyAlignment="1" applyProtection="1">
      <alignment horizontal="left" vertical="center"/>
    </xf>
    <xf numFmtId="0" fontId="183" fillId="0" borderId="2" xfId="0" applyFont="1" applyBorder="1" applyAlignment="1">
      <alignment horizontal="lef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21" xfId="0" applyFont="1" applyBorder="1" applyAlignment="1">
      <alignment vertical="center" wrapText="1"/>
    </xf>
    <xf numFmtId="0" fontId="183" fillId="0" borderId="21" xfId="0" applyFont="1" applyBorder="1" applyAlignment="1" applyProtection="1">
      <alignment horizontal="left" vertical="center"/>
    </xf>
    <xf numFmtId="0" fontId="183" fillId="0" borderId="71" xfId="0" applyFont="1" applyBorder="1" applyAlignment="1">
      <alignment horizontal="left" vertical="center" wrapText="1"/>
    </xf>
    <xf numFmtId="0" fontId="157" fillId="0" borderId="71" xfId="0" applyFont="1" applyBorder="1" applyAlignment="1" applyProtection="1">
      <alignment horizontal="left" vertical="center"/>
      <protection locked="0"/>
    </xf>
    <xf numFmtId="0" fontId="183" fillId="0" borderId="91" xfId="0" applyFont="1" applyBorder="1">
      <alignment vertical="center"/>
    </xf>
    <xf numFmtId="0" fontId="183" fillId="0" borderId="74" xfId="0" applyFont="1" applyBorder="1" applyAlignment="1">
      <alignment vertical="center" wrapText="1"/>
    </xf>
    <xf numFmtId="0" fontId="183" fillId="0" borderId="74" xfId="0" applyFont="1" applyBorder="1" applyAlignment="1" applyProtection="1">
      <alignment horizontal="left" vertical="center"/>
    </xf>
    <xf numFmtId="0" fontId="183" fillId="0" borderId="78" xfId="0" applyFont="1" applyBorder="1" applyProtection="1">
      <alignment vertical="center"/>
      <protection locked="0"/>
    </xf>
    <xf numFmtId="49" fontId="183" fillId="0" borderId="78" xfId="0" applyNumberFormat="1" applyFont="1" applyBorder="1" applyProtection="1">
      <alignment vertical="center"/>
      <protection locked="0"/>
    </xf>
    <xf numFmtId="184" fontId="183" fillId="0" borderId="78" xfId="0" applyNumberFormat="1" applyFont="1" applyBorder="1" applyProtection="1">
      <alignment vertical="center"/>
      <protection locked="0"/>
    </xf>
    <xf numFmtId="0" fontId="183" fillId="0" borderId="0" xfId="0" applyFont="1" applyFill="1" applyBorder="1" applyProtection="1">
      <alignment vertical="center"/>
    </xf>
    <xf numFmtId="0" fontId="183" fillId="0" borderId="71" xfId="0" applyFont="1" applyBorder="1" applyAlignment="1">
      <alignment vertical="center" wrapText="1"/>
    </xf>
    <xf numFmtId="0" fontId="183" fillId="0" borderId="71" xfId="0" applyFont="1" applyBorder="1" applyAlignment="1" applyProtection="1">
      <alignment horizontal="left" vertical="center"/>
    </xf>
    <xf numFmtId="0" fontId="183" fillId="0" borderId="78" xfId="0" applyFont="1" applyBorder="1">
      <alignment vertical="center"/>
    </xf>
    <xf numFmtId="0" fontId="183" fillId="0" borderId="74" xfId="0" applyFont="1" applyBorder="1">
      <alignment vertical="center"/>
    </xf>
    <xf numFmtId="191" fontId="183" fillId="0" borderId="71" xfId="0" applyNumberFormat="1" applyFont="1" applyBorder="1" applyAlignment="1" applyProtection="1">
      <alignment horizontal="left" vertical="center"/>
    </xf>
    <xf numFmtId="0" fontId="183" fillId="0" borderId="21" xfId="0" applyFont="1" applyBorder="1" applyAlignment="1">
      <alignment horizontal="left" vertical="center"/>
    </xf>
    <xf numFmtId="0" fontId="183" fillId="0" borderId="71" xfId="0" applyNumberFormat="1" applyFont="1" applyBorder="1" applyAlignment="1" applyProtection="1">
      <alignment horizontal="left" vertical="center"/>
    </xf>
    <xf numFmtId="0" fontId="183" fillId="0" borderId="71" xfId="0" applyFont="1" applyBorder="1" applyAlignment="1">
      <alignment horizontal="left" vertical="center"/>
    </xf>
    <xf numFmtId="0" fontId="250" fillId="5" borderId="53" xfId="0" applyFont="1" applyFill="1" applyBorder="1" applyAlignment="1" applyProtection="1">
      <alignment vertical="center" wrapText="1"/>
    </xf>
    <xf numFmtId="0" fontId="74" fillId="2" borderId="30"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protection locked="0"/>
    </xf>
    <xf numFmtId="0" fontId="250" fillId="5" borderId="24" xfId="0" applyFont="1" applyFill="1" applyBorder="1" applyAlignment="1" applyProtection="1">
      <alignment vertical="center" wrapText="1"/>
    </xf>
    <xf numFmtId="184" fontId="74" fillId="5" borderId="62" xfId="0" applyNumberFormat="1" applyFont="1" applyFill="1" applyBorder="1" applyAlignment="1" applyProtection="1">
      <alignment horizontal="center" vertical="center" wrapText="1"/>
    </xf>
    <xf numFmtId="0" fontId="78" fillId="5" borderId="59" xfId="0" applyFont="1" applyFill="1" applyBorder="1" applyAlignment="1" applyProtection="1">
      <alignment vertical="center" wrapText="1"/>
    </xf>
    <xf numFmtId="0" fontId="78" fillId="5" borderId="64" xfId="0" applyFont="1" applyFill="1" applyBorder="1" applyAlignment="1" applyProtection="1">
      <alignment vertical="center" wrapText="1"/>
    </xf>
    <xf numFmtId="0" fontId="78" fillId="5" borderId="87" xfId="0" applyFont="1" applyFill="1" applyBorder="1" applyAlignment="1" applyProtection="1">
      <alignment vertical="center" wrapText="1"/>
    </xf>
    <xf numFmtId="0" fontId="106" fillId="5" borderId="64" xfId="0" applyFont="1" applyFill="1" applyBorder="1" applyAlignment="1" applyProtection="1">
      <alignment vertical="center" wrapText="1"/>
    </xf>
    <xf numFmtId="0" fontId="86" fillId="5" borderId="64" xfId="0" applyFont="1" applyFill="1" applyBorder="1" applyAlignment="1" applyProtection="1">
      <alignment vertical="center" wrapText="1"/>
    </xf>
    <xf numFmtId="0" fontId="86" fillId="8" borderId="87" xfId="0" applyFont="1" applyFill="1" applyBorder="1" applyAlignment="1" applyProtection="1">
      <alignment vertical="center" wrapText="1"/>
    </xf>
    <xf numFmtId="0" fontId="86" fillId="8" borderId="54" xfId="0" applyFont="1" applyFill="1" applyBorder="1" applyAlignment="1" applyProtection="1">
      <alignment vertical="center" wrapText="1"/>
    </xf>
    <xf numFmtId="0" fontId="78" fillId="5" borderId="57"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xf>
    <xf numFmtId="0" fontId="78" fillId="5" borderId="63"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protection locked="0"/>
    </xf>
    <xf numFmtId="0" fontId="78" fillId="8" borderId="63" xfId="0" applyFont="1" applyFill="1" applyBorder="1" applyAlignment="1" applyProtection="1">
      <alignment horizontal="left" vertical="center" wrapText="1"/>
      <protection locked="0"/>
    </xf>
    <xf numFmtId="0" fontId="78" fillId="8" borderId="66" xfId="0" applyFont="1" applyFill="1" applyBorder="1" applyAlignment="1" applyProtection="1">
      <alignment horizontal="left" vertical="center" wrapText="1"/>
      <protection locked="0"/>
    </xf>
    <xf numFmtId="0" fontId="87" fillId="5" borderId="0" xfId="3" applyFont="1" applyFill="1" applyAlignment="1" applyProtection="1">
      <alignment horizontal="center" vertical="center" wrapText="1"/>
      <protection locked="0"/>
    </xf>
    <xf numFmtId="0" fontId="109" fillId="0" borderId="2" xfId="3" applyFont="1" applyFill="1" applyBorder="1" applyAlignment="1" applyProtection="1">
      <alignment horizontal="center" vertical="center" wrapText="1"/>
      <protection locked="0"/>
    </xf>
    <xf numFmtId="0" fontId="89" fillId="5" borderId="2" xfId="3" applyFont="1" applyFill="1" applyBorder="1" applyAlignment="1" applyProtection="1">
      <alignment horizontal="center" vertical="center" wrapText="1"/>
      <protection locked="0"/>
    </xf>
    <xf numFmtId="180" fontId="89" fillId="5" borderId="2" xfId="3" applyNumberFormat="1" applyFont="1" applyFill="1" applyBorder="1" applyAlignment="1" applyProtection="1">
      <alignment horizontal="center" vertical="center" wrapText="1"/>
      <protection locked="0"/>
    </xf>
    <xf numFmtId="0" fontId="89" fillId="8" borderId="0" xfId="3" applyFont="1" applyFill="1" applyAlignment="1" applyProtection="1">
      <alignment horizontal="center" vertical="center" wrapText="1"/>
    </xf>
    <xf numFmtId="0" fontId="89" fillId="0" borderId="0" xfId="3" applyFont="1" applyAlignment="1" applyProtection="1">
      <alignment horizontal="center" vertical="center" wrapText="1"/>
    </xf>
    <xf numFmtId="185" fontId="155" fillId="5" borderId="2" xfId="3" applyNumberFormat="1" applyFont="1" applyFill="1" applyBorder="1" applyAlignment="1" applyProtection="1">
      <alignment horizontal="center" vertical="center"/>
    </xf>
    <xf numFmtId="178"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wrapText="1"/>
    </xf>
    <xf numFmtId="0" fontId="155" fillId="5" borderId="2" xfId="3" applyFont="1" applyFill="1" applyBorder="1" applyAlignment="1" applyProtection="1">
      <alignment vertical="center" wrapText="1"/>
    </xf>
    <xf numFmtId="0" fontId="89" fillId="5" borderId="9" xfId="3" applyFont="1" applyFill="1" applyBorder="1" applyAlignment="1" applyProtection="1">
      <alignment horizontal="center" vertical="center" wrapText="1"/>
      <protection locked="0"/>
    </xf>
    <xf numFmtId="0" fontId="143" fillId="5" borderId="2" xfId="3" applyFont="1" applyFill="1" applyBorder="1" applyAlignment="1" applyProtection="1">
      <alignment horizontal="center" vertical="center" wrapText="1"/>
    </xf>
    <xf numFmtId="0" fontId="109" fillId="5" borderId="2" xfId="3" applyFont="1" applyFill="1" applyBorder="1" applyAlignment="1" applyProtection="1">
      <alignment horizontal="center" vertical="center" wrapText="1"/>
    </xf>
    <xf numFmtId="178" fontId="130" fillId="5" borderId="91" xfId="4" applyNumberFormat="1" applyFont="1" applyFill="1" applyBorder="1" applyAlignment="1">
      <alignment horizontal="center"/>
    </xf>
    <xf numFmtId="0" fontId="0" fillId="0" borderId="0" xfId="0" applyAlignment="1"/>
    <xf numFmtId="0" fontId="149" fillId="5" borderId="0" xfId="0" applyFont="1" applyFill="1" applyAlignment="1"/>
    <xf numFmtId="0" fontId="130" fillId="5" borderId="0" xfId="4" applyFont="1" applyFill="1"/>
    <xf numFmtId="0" fontId="130" fillId="5" borderId="1" xfId="4" applyFont="1" applyFill="1" applyBorder="1"/>
    <xf numFmtId="0" fontId="203" fillId="5" borderId="6" xfId="4" applyFont="1" applyFill="1" applyBorder="1" applyAlignment="1">
      <alignment horizontal="center" vertical="center" wrapText="1"/>
    </xf>
    <xf numFmtId="0" fontId="130" fillId="5" borderId="7" xfId="4" applyFont="1" applyFill="1" applyBorder="1" applyAlignment="1">
      <alignment horizontal="center"/>
    </xf>
    <xf numFmtId="0" fontId="203" fillId="5" borderId="1" xfId="4" applyFont="1" applyFill="1" applyBorder="1" applyAlignment="1">
      <alignment horizontal="center" vertical="center" wrapText="1"/>
    </xf>
    <xf numFmtId="0" fontId="130" fillId="5" borderId="6" xfId="4" applyNumberFormat="1" applyFont="1" applyFill="1" applyBorder="1" applyAlignment="1">
      <alignment horizontal="center"/>
    </xf>
    <xf numFmtId="0" fontId="130" fillId="0" borderId="0" xfId="4" applyFont="1"/>
    <xf numFmtId="0" fontId="130" fillId="5" borderId="11" xfId="4" applyFont="1" applyFill="1" applyBorder="1"/>
    <xf numFmtId="0" fontId="203" fillId="5" borderId="2" xfId="4" applyFont="1" applyFill="1" applyBorder="1" applyAlignment="1">
      <alignment horizontal="center" vertical="center" wrapText="1"/>
    </xf>
    <xf numFmtId="0" fontId="130" fillId="5" borderId="12" xfId="4" applyFont="1" applyFill="1" applyBorder="1" applyAlignment="1">
      <alignment horizontal="center"/>
    </xf>
    <xf numFmtId="0" fontId="203" fillId="5" borderId="11" xfId="4" applyFont="1" applyFill="1" applyBorder="1" applyAlignment="1">
      <alignment horizontal="center" vertical="center" wrapText="1"/>
    </xf>
    <xf numFmtId="0" fontId="130" fillId="5" borderId="2" xfId="4" applyNumberFormat="1" applyFont="1" applyFill="1" applyBorder="1" applyAlignment="1">
      <alignment horizontal="center"/>
    </xf>
    <xf numFmtId="0" fontId="130" fillId="5" borderId="43" xfId="4" applyFont="1" applyFill="1" applyBorder="1"/>
    <xf numFmtId="0" fontId="203" fillId="5" borderId="44" xfId="4" applyFont="1" applyFill="1" applyBorder="1" applyAlignment="1">
      <alignment horizontal="center" vertical="center" wrapText="1"/>
    </xf>
    <xf numFmtId="0" fontId="130" fillId="5" borderId="46" xfId="4" applyFont="1" applyFill="1" applyBorder="1" applyAlignment="1">
      <alignment horizontal="center"/>
    </xf>
    <xf numFmtId="0" fontId="203" fillId="5" borderId="43" xfId="4" applyFont="1" applyFill="1" applyBorder="1" applyAlignment="1">
      <alignment horizontal="center" vertical="center" wrapText="1"/>
    </xf>
    <xf numFmtId="0" fontId="130" fillId="5" borderId="44" xfId="4" applyNumberFormat="1" applyFont="1" applyFill="1" applyBorder="1" applyAlignment="1">
      <alignment horizontal="center"/>
    </xf>
    <xf numFmtId="0" fontId="130" fillId="5" borderId="0" xfId="4" applyNumberFormat="1" applyFont="1" applyFill="1" applyAlignment="1">
      <alignment horizontal="center"/>
    </xf>
    <xf numFmtId="0" fontId="130" fillId="5" borderId="0" xfId="4" applyFont="1" applyFill="1" applyAlignment="1">
      <alignment horizontal="right"/>
    </xf>
    <xf numFmtId="14" fontId="130" fillId="5" borderId="0" xfId="4" applyNumberFormat="1" applyFont="1" applyFill="1" applyAlignment="1">
      <alignment horizontal="center"/>
    </xf>
    <xf numFmtId="0" fontId="251" fillId="5" borderId="0" xfId="4" applyNumberFormat="1" applyFont="1" applyFill="1" applyAlignment="1">
      <alignment horizontal="center"/>
    </xf>
    <xf numFmtId="0" fontId="252" fillId="5" borderId="0" xfId="4" applyFont="1" applyFill="1" applyAlignment="1">
      <alignment horizontal="left"/>
    </xf>
    <xf numFmtId="14" fontId="251" fillId="5" borderId="0" xfId="4" applyNumberFormat="1" applyFont="1" applyFill="1" applyAlignment="1">
      <alignment horizontal="center"/>
    </xf>
    <xf numFmtId="0" fontId="251" fillId="5" borderId="0" xfId="4" applyFont="1" applyFill="1"/>
    <xf numFmtId="0" fontId="251" fillId="0" borderId="0" xfId="4" applyFont="1"/>
    <xf numFmtId="0" fontId="251" fillId="0" borderId="0" xfId="0" applyFont="1" applyAlignment="1"/>
    <xf numFmtId="0" fontId="253" fillId="5" borderId="0" xfId="4" applyFont="1" applyFill="1"/>
    <xf numFmtId="0" fontId="254" fillId="5" borderId="0" xfId="4" applyFont="1" applyFill="1"/>
    <xf numFmtId="0" fontId="253" fillId="0" borderId="0" xfId="4" applyFont="1"/>
    <xf numFmtId="0" fontId="203"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203" fillId="0" borderId="0" xfId="4" applyFont="1" applyAlignment="1"/>
    <xf numFmtId="0" fontId="203"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30" fillId="5" borderId="2" xfId="4" applyFont="1" applyFill="1" applyBorder="1"/>
    <xf numFmtId="0" fontId="233" fillId="5" borderId="2" xfId="4" applyFont="1" applyFill="1" applyBorder="1" applyAlignment="1">
      <alignment horizontal="center" vertical="center" wrapText="1"/>
    </xf>
    <xf numFmtId="0" fontId="203"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4"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6" fillId="0" borderId="0" xfId="0" applyFont="1" applyAlignment="1"/>
    <xf numFmtId="0" fontId="130" fillId="5" borderId="2" xfId="4" applyFont="1" applyFill="1" applyBorder="1" applyAlignment="1">
      <alignment horizontal="center" wrapText="1"/>
    </xf>
    <xf numFmtId="14" fontId="130" fillId="5" borderId="2" xfId="4" applyNumberFormat="1" applyFont="1" applyFill="1" applyBorder="1" applyAlignment="1">
      <alignment horizontal="center" wrapText="1"/>
    </xf>
    <xf numFmtId="180" fontId="257" fillId="5" borderId="2" xfId="4" applyNumberFormat="1" applyFont="1" applyFill="1" applyBorder="1" applyAlignment="1">
      <alignment horizontal="center"/>
    </xf>
    <xf numFmtId="14" fontId="213" fillId="5" borderId="2" xfId="4" applyNumberFormat="1" applyFont="1" applyFill="1" applyBorder="1" applyAlignment="1">
      <alignment horizontal="center" wrapText="1"/>
    </xf>
    <xf numFmtId="0" fontId="130" fillId="5" borderId="0" xfId="4" applyFont="1" applyFill="1" applyBorder="1" applyAlignment="1">
      <alignment horizontal="center" wrapText="1"/>
    </xf>
    <xf numFmtId="14" fontId="130"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30"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6"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10" fontId="155" fillId="6" borderId="0" xfId="10" applyNumberFormat="1" applyFont="1" applyFill="1" applyAlignment="1">
      <alignment horizontal="center" vertical="center"/>
    </xf>
    <xf numFmtId="0" fontId="48" fillId="5" borderId="2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xf>
    <xf numFmtId="0" fontId="14" fillId="0" borderId="2" xfId="0" applyFont="1" applyBorder="1" applyAlignment="1" applyProtection="1">
      <alignment horizontal="center" vertical="center" wrapText="1"/>
      <protection locked="0"/>
    </xf>
    <xf numFmtId="0" fontId="14" fillId="2" borderId="21" xfId="0"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0" fontId="20" fillId="6" borderId="21" xfId="0" applyFont="1" applyFill="1" applyBorder="1" applyAlignment="1" applyProtection="1">
      <alignment horizontal="center" vertical="center" wrapText="1"/>
      <protection locked="0"/>
    </xf>
    <xf numFmtId="177" fontId="14" fillId="0" borderId="2" xfId="0" applyNumberFormat="1" applyFont="1" applyBorder="1" applyAlignment="1" applyProtection="1">
      <alignment vertical="center" wrapText="1"/>
      <protection locked="0"/>
    </xf>
    <xf numFmtId="0" fontId="14" fillId="2" borderId="17" xfId="0" applyFont="1" applyFill="1" applyBorder="1" applyAlignment="1" applyProtection="1">
      <alignment horizontal="left" vertical="center"/>
      <protection locked="0"/>
    </xf>
    <xf numFmtId="0" fontId="14" fillId="2" borderId="8" xfId="0" applyFont="1" applyFill="1" applyBorder="1" applyAlignment="1" applyProtection="1">
      <alignment horizontal="left" vertical="center"/>
      <protection locked="0"/>
    </xf>
    <xf numFmtId="0" fontId="14" fillId="2" borderId="5" xfId="0" applyFont="1" applyFill="1" applyBorder="1" applyAlignment="1" applyProtection="1">
      <alignment horizontal="left" vertical="center"/>
      <protection locked="0"/>
    </xf>
    <xf numFmtId="177" fontId="14" fillId="0" borderId="2" xfId="0" applyNumberFormat="1" applyFont="1" applyBorder="1" applyAlignment="1" applyProtection="1">
      <alignment horizontal="center" vertical="center" wrapText="1"/>
      <protection locked="0"/>
    </xf>
    <xf numFmtId="177" fontId="14" fillId="0" borderId="21"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vertical="center" wrapText="1"/>
      <protection locked="0"/>
    </xf>
    <xf numFmtId="178" fontId="14" fillId="0" borderId="2" xfId="2" applyNumberFormat="1" applyFont="1" applyFill="1" applyBorder="1" applyAlignment="1" applyProtection="1">
      <alignment vertical="center"/>
      <protection locked="0" hidden="1"/>
    </xf>
    <xf numFmtId="182" fontId="155" fillId="0" borderId="2" xfId="0" applyNumberFormat="1" applyFont="1" applyFill="1" applyBorder="1" applyAlignment="1" applyProtection="1">
      <alignment horizontal="center" vertical="center"/>
      <protection locked="0"/>
    </xf>
    <xf numFmtId="178" fontId="79" fillId="0" borderId="2" xfId="2" applyNumberFormat="1" applyFont="1" applyFill="1" applyBorder="1" applyAlignment="1" applyProtection="1">
      <alignment horizontal="center" vertical="center"/>
      <protection locked="0"/>
    </xf>
    <xf numFmtId="10" fontId="79" fillId="0" borderId="2" xfId="2" applyNumberFormat="1" applyFont="1" applyFill="1" applyBorder="1" applyAlignment="1" applyProtection="1">
      <alignment horizontal="center" vertical="center"/>
      <protection locked="0"/>
    </xf>
    <xf numFmtId="9" fontId="79" fillId="0" borderId="5" xfId="0" applyNumberFormat="1" applyFont="1" applyFill="1" applyBorder="1" applyAlignment="1" applyProtection="1">
      <alignment horizontal="center" vertical="center"/>
      <protection locked="0"/>
    </xf>
    <xf numFmtId="185" fontId="155" fillId="0" borderId="10" xfId="0" applyNumberFormat="1" applyFont="1" applyFill="1" applyBorder="1" applyAlignment="1" applyProtection="1">
      <alignment horizontal="center" vertical="center"/>
      <protection locked="0"/>
    </xf>
    <xf numFmtId="0" fontId="78" fillId="5" borderId="2" xfId="0" applyNumberFormat="1" applyFont="1" applyFill="1" applyBorder="1" applyAlignment="1" applyProtection="1">
      <alignment horizontal="right"/>
    </xf>
    <xf numFmtId="0" fontId="78" fillId="5" borderId="2" xfId="2" applyNumberFormat="1" applyFont="1" applyFill="1" applyBorder="1" applyAlignment="1" applyProtection="1">
      <alignment horizontal="right"/>
    </xf>
    <xf numFmtId="0" fontId="51" fillId="5" borderId="2" xfId="2" applyFont="1" applyFill="1" applyBorder="1" applyAlignment="1" applyProtection="1">
      <alignment vertical="center" wrapText="1"/>
    </xf>
    <xf numFmtId="0" fontId="43" fillId="5" borderId="44" xfId="0" applyFont="1" applyFill="1" applyBorder="1" applyAlignment="1" applyProtection="1">
      <alignment vertical="center"/>
    </xf>
    <xf numFmtId="49" fontId="136" fillId="5" borderId="11" xfId="0" applyNumberFormat="1" applyFont="1" applyFill="1" applyBorder="1" applyAlignment="1" applyProtection="1">
      <alignment horizontal="left" vertical="center" wrapText="1"/>
    </xf>
    <xf numFmtId="0" fontId="22" fillId="5" borderId="5" xfId="2" applyFont="1" applyFill="1" applyBorder="1" applyAlignment="1" applyProtection="1">
      <alignment vertical="center"/>
    </xf>
    <xf numFmtId="0" fontId="22" fillId="5" borderId="2" xfId="2"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88" fillId="5" borderId="10" xfId="0" applyNumberFormat="1" applyFont="1" applyFill="1" applyBorder="1" applyAlignment="1" applyProtection="1">
      <alignment horizontal="center" vertical="center"/>
    </xf>
    <xf numFmtId="182" fontId="74" fillId="0" borderId="12" xfId="0" applyNumberFormat="1" applyFont="1" applyBorder="1" applyAlignment="1" applyProtection="1">
      <alignment horizontal="center" vertical="center"/>
      <protection locked="0"/>
    </xf>
    <xf numFmtId="0" fontId="23" fillId="5" borderId="1" xfId="0" applyFont="1" applyFill="1" applyBorder="1" applyAlignment="1" applyProtection="1">
      <alignment vertical="center" wrapText="1"/>
    </xf>
    <xf numFmtId="0" fontId="109" fillId="5" borderId="7" xfId="0" applyFont="1" applyFill="1" applyBorder="1" applyAlignment="1" applyProtection="1">
      <alignment horizontal="center" vertical="center" wrapText="1"/>
    </xf>
    <xf numFmtId="0" fontId="23" fillId="5" borderId="43" xfId="0" applyFont="1" applyFill="1" applyBorder="1" applyAlignment="1" applyProtection="1">
      <alignment vertical="center" wrapText="1"/>
    </xf>
    <xf numFmtId="0" fontId="258" fillId="0" borderId="0" xfId="0" applyFont="1">
      <alignment vertical="center"/>
    </xf>
    <xf numFmtId="0" fontId="260" fillId="5" borderId="2" xfId="14" applyFont="1" applyFill="1" applyBorder="1" applyAlignment="1">
      <alignment horizontal="center" vertical="center" wrapText="1"/>
    </xf>
    <xf numFmtId="0" fontId="260" fillId="0" borderId="0" xfId="14" applyFont="1" applyBorder="1" applyAlignment="1">
      <alignment horizontal="left" vertical="center" wrapText="1"/>
    </xf>
    <xf numFmtId="14" fontId="260" fillId="5" borderId="2" xfId="14" applyNumberFormat="1" applyFont="1" applyFill="1" applyBorder="1" applyAlignment="1">
      <alignment horizontal="center" vertical="center" wrapText="1"/>
    </xf>
    <xf numFmtId="0" fontId="260" fillId="13" borderId="2" xfId="14" applyFont="1" applyFill="1" applyBorder="1" applyAlignment="1" applyProtection="1">
      <alignment horizontal="center" vertical="center" wrapText="1"/>
      <protection locked="0"/>
    </xf>
    <xf numFmtId="0" fontId="260" fillId="5" borderId="10" xfId="14" applyFont="1" applyFill="1" applyBorder="1" applyAlignment="1">
      <alignment horizontal="center" vertical="center" wrapText="1"/>
    </xf>
    <xf numFmtId="0" fontId="260" fillId="0" borderId="2" xfId="14" applyFont="1" applyBorder="1" applyAlignment="1" applyProtection="1">
      <alignment horizontal="left" vertical="center" wrapText="1"/>
      <protection locked="0"/>
    </xf>
    <xf numFmtId="0" fontId="259" fillId="5" borderId="2" xfId="14" applyFill="1" applyBorder="1" applyAlignment="1">
      <alignment vertical="center"/>
    </xf>
    <xf numFmtId="0" fontId="148" fillId="5" borderId="2" xfId="14" applyFont="1" applyFill="1" applyBorder="1" applyAlignment="1">
      <alignment vertical="center"/>
    </xf>
    <xf numFmtId="0" fontId="259" fillId="0" borderId="2" xfId="14" applyBorder="1" applyAlignment="1" applyProtection="1">
      <alignment vertical="center"/>
      <protection locked="0"/>
    </xf>
    <xf numFmtId="0" fontId="155" fillId="5" borderId="2" xfId="0" applyFont="1" applyFill="1" applyBorder="1" applyAlignment="1" applyProtection="1">
      <alignment horizontal="center" vertical="center" wrapText="1"/>
    </xf>
    <xf numFmtId="0" fontId="81" fillId="5" borderId="13" xfId="0" applyNumberFormat="1" applyFont="1" applyFill="1" applyBorder="1" applyAlignment="1" applyProtection="1">
      <alignment horizontal="center" vertical="center" wrapText="1"/>
    </xf>
    <xf numFmtId="0" fontId="261" fillId="5" borderId="2" xfId="0" applyFont="1" applyFill="1" applyBorder="1" applyAlignment="1">
      <alignment horizontal="left" vertical="center" wrapText="1"/>
    </xf>
    <xf numFmtId="0" fontId="262" fillId="5" borderId="2" xfId="0" applyFont="1" applyFill="1" applyBorder="1" applyAlignment="1">
      <alignment vertical="center" wrapText="1"/>
    </xf>
    <xf numFmtId="182" fontId="79" fillId="5" borderId="0" xfId="0" applyNumberFormat="1" applyFont="1" applyFill="1" applyProtection="1">
      <alignment vertical="center"/>
    </xf>
    <xf numFmtId="0" fontId="14" fillId="5" borderId="0" xfId="0" applyFont="1" applyFill="1" applyProtection="1">
      <alignment vertical="center"/>
      <protection locked="0"/>
    </xf>
    <xf numFmtId="0" fontId="168" fillId="5" borderId="5" xfId="0" applyFont="1" applyFill="1" applyBorder="1" applyAlignment="1" applyProtection="1">
      <alignment horizontal="center" vertical="center" wrapText="1"/>
    </xf>
    <xf numFmtId="0" fontId="169" fillId="5" borderId="21" xfId="0" applyFont="1" applyFill="1" applyBorder="1" applyAlignment="1" applyProtection="1">
      <alignment horizontal="center" vertical="center" wrapText="1"/>
    </xf>
    <xf numFmtId="0" fontId="169" fillId="5" borderId="5" xfId="0" applyFont="1" applyFill="1" applyBorder="1" applyAlignment="1" applyProtection="1">
      <alignment horizontal="center" vertical="center" wrapText="1"/>
    </xf>
    <xf numFmtId="0" fontId="169" fillId="5" borderId="8" xfId="0" applyFont="1" applyFill="1" applyBorder="1" applyAlignment="1" applyProtection="1">
      <alignment horizontal="center" vertical="center" wrapText="1"/>
    </xf>
    <xf numFmtId="0" fontId="169" fillId="5" borderId="8" xfId="0" applyFont="1" applyFill="1" applyBorder="1" applyAlignment="1" applyProtection="1">
      <alignment horizontal="center" vertical="center"/>
    </xf>
    <xf numFmtId="0" fontId="169" fillId="5" borderId="9" xfId="0" applyFont="1" applyFill="1" applyBorder="1" applyAlignment="1" applyProtection="1">
      <alignment horizontal="center" vertical="center" wrapText="1"/>
    </xf>
    <xf numFmtId="0" fontId="165" fillId="5" borderId="2" xfId="0" applyFont="1" applyFill="1" applyBorder="1" applyAlignment="1">
      <alignment horizontal="center" vertical="center" wrapText="1"/>
    </xf>
    <xf numFmtId="182" fontId="79" fillId="5" borderId="0" xfId="0" applyNumberFormat="1" applyFont="1" applyFill="1" applyAlignment="1" applyProtection="1">
      <alignment horizontal="left" vertical="center"/>
    </xf>
    <xf numFmtId="0" fontId="81" fillId="5" borderId="150" xfId="0" applyFont="1" applyFill="1" applyBorder="1" applyAlignment="1" applyProtection="1">
      <alignment vertical="center" wrapText="1"/>
    </xf>
    <xf numFmtId="0" fontId="81" fillId="5" borderId="150" xfId="0" applyFont="1" applyFill="1" applyBorder="1" applyAlignment="1" applyProtection="1">
      <alignment horizontal="center" vertical="center" wrapText="1"/>
    </xf>
    <xf numFmtId="49" fontId="81" fillId="5" borderId="151" xfId="0" applyNumberFormat="1" applyFont="1" applyFill="1" applyBorder="1" applyAlignment="1" applyProtection="1">
      <alignment horizontal="center" vertical="center" wrapText="1"/>
    </xf>
    <xf numFmtId="49" fontId="81" fillId="5" borderId="150" xfId="0" applyNumberFormat="1" applyFont="1" applyFill="1" applyBorder="1" applyAlignment="1" applyProtection="1">
      <alignment horizontal="center" vertical="center" wrapText="1"/>
    </xf>
    <xf numFmtId="0" fontId="81" fillId="0" borderId="150" xfId="0" applyFont="1" applyBorder="1" applyAlignment="1" applyProtection="1">
      <alignment vertical="center" wrapText="1"/>
    </xf>
    <xf numFmtId="0" fontId="185" fillId="5" borderId="150" xfId="0" applyFont="1" applyFill="1" applyBorder="1" applyAlignment="1" applyProtection="1">
      <alignment vertical="center"/>
    </xf>
    <xf numFmtId="0" fontId="162" fillId="5" borderId="0" xfId="0" applyFont="1" applyFill="1" applyAlignment="1" applyProtection="1">
      <alignment horizontal="left" vertical="center"/>
      <protection locked="0"/>
    </xf>
    <xf numFmtId="0" fontId="74" fillId="5" borderId="0" xfId="0" applyFont="1" applyFill="1" applyAlignment="1" applyProtection="1">
      <alignment horizontal="left" vertical="center"/>
      <protection locked="0"/>
    </xf>
    <xf numFmtId="0" fontId="20" fillId="5" borderId="0" xfId="0" applyFont="1" applyFill="1" applyAlignment="1" applyProtection="1">
      <alignment horizontal="center" vertical="center"/>
      <protection locked="0"/>
    </xf>
    <xf numFmtId="0" fontId="263" fillId="5" borderId="0" xfId="0" applyFont="1" applyFill="1" applyAlignment="1" applyProtection="1">
      <alignment vertical="center"/>
      <protection locked="0"/>
    </xf>
    <xf numFmtId="180" fontId="20" fillId="5" borderId="0" xfId="0" applyNumberFormat="1" applyFont="1" applyFill="1" applyAlignment="1" applyProtection="1">
      <alignment vertical="center"/>
      <protection locked="0"/>
    </xf>
    <xf numFmtId="0" fontId="20" fillId="0" borderId="11" xfId="0" applyFont="1" applyBorder="1" applyAlignment="1" applyProtection="1">
      <alignment horizontal="right" vertical="center" wrapText="1"/>
      <protection locked="0"/>
    </xf>
    <xf numFmtId="0" fontId="20" fillId="0" borderId="43" xfId="0" applyFont="1" applyBorder="1" applyAlignment="1" applyProtection="1">
      <alignment horizontal="right"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265" fillId="0" borderId="46" xfId="0" applyFont="1" applyBorder="1" applyAlignment="1" applyProtection="1">
      <alignment horizontal="center" vertical="center"/>
      <protection locked="0"/>
    </xf>
    <xf numFmtId="0" fontId="265" fillId="0" borderId="51" xfId="0" applyNumberFormat="1" applyFont="1" applyFill="1" applyBorder="1" applyAlignment="1" applyProtection="1">
      <alignment horizontal="center" vertical="center" wrapText="1"/>
      <protection locked="0"/>
    </xf>
    <xf numFmtId="0" fontId="265" fillId="0" borderId="46" xfId="0" applyNumberFormat="1" applyFont="1" applyFill="1" applyBorder="1" applyAlignment="1" applyProtection="1">
      <alignment horizontal="center" vertical="center" wrapText="1"/>
      <protection locked="0"/>
    </xf>
    <xf numFmtId="0" fontId="74" fillId="6" borderId="12" xfId="0" applyNumberFormat="1" applyFont="1" applyFill="1" applyBorder="1" applyAlignment="1" applyProtection="1">
      <alignment horizontal="center" vertical="center" wrapText="1"/>
      <protection locked="0"/>
    </xf>
    <xf numFmtId="0" fontId="74" fillId="0" borderId="46" xfId="0" applyNumberFormat="1" applyFont="1" applyFill="1" applyBorder="1" applyAlignment="1" applyProtection="1">
      <alignment horizontal="center" vertical="center" wrapText="1"/>
      <protection locked="0"/>
    </xf>
    <xf numFmtId="0" fontId="88" fillId="6" borderId="5" xfId="0" applyFont="1" applyFill="1" applyBorder="1" applyAlignment="1" applyProtection="1">
      <alignment vertical="center"/>
      <protection locked="0"/>
    </xf>
    <xf numFmtId="0" fontId="266" fillId="0" borderId="105" xfId="0" applyNumberFormat="1" applyFont="1" applyFill="1" applyBorder="1" applyAlignment="1" applyProtection="1">
      <alignment horizontal="center" vertical="center" wrapText="1"/>
      <protection locked="0"/>
    </xf>
    <xf numFmtId="0" fontId="266" fillId="5" borderId="31" xfId="0" applyNumberFormat="1" applyFont="1" applyFill="1" applyBorder="1" applyAlignment="1" applyProtection="1">
      <alignment horizontal="center" vertical="center" wrapText="1"/>
    </xf>
    <xf numFmtId="0" fontId="266" fillId="0" borderId="31" xfId="0" applyNumberFormat="1" applyFont="1" applyFill="1" applyBorder="1" applyAlignment="1" applyProtection="1">
      <alignment horizontal="center" vertical="center" wrapText="1"/>
      <protection locked="0"/>
    </xf>
    <xf numFmtId="0" fontId="152" fillId="5" borderId="6" xfId="0" applyNumberFormat="1" applyFont="1" applyFill="1" applyBorder="1" applyAlignment="1" applyProtection="1">
      <alignment horizontal="center" vertical="center" wrapText="1"/>
    </xf>
    <xf numFmtId="0" fontId="152" fillId="5" borderId="6" xfId="0" applyNumberFormat="1" applyFont="1" applyFill="1" applyBorder="1" applyAlignment="1" applyProtection="1">
      <alignment horizontal="left" vertical="center" wrapText="1"/>
    </xf>
    <xf numFmtId="0" fontId="152" fillId="5" borderId="7" xfId="0" applyNumberFormat="1" applyFont="1" applyFill="1" applyBorder="1" applyAlignment="1" applyProtection="1">
      <alignment horizontal="center" vertical="center" wrapText="1"/>
    </xf>
    <xf numFmtId="10" fontId="89" fillId="5" borderId="55" xfId="3" applyNumberFormat="1" applyFont="1" applyFill="1" applyBorder="1" applyAlignment="1" applyProtection="1">
      <alignment horizontal="center" vertical="center" wrapText="1"/>
    </xf>
    <xf numFmtId="0" fontId="270" fillId="0" borderId="10"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center" vertical="center" wrapText="1"/>
      <protection locked="0"/>
    </xf>
    <xf numFmtId="178" fontId="161" fillId="0" borderId="2" xfId="3" applyNumberFormat="1" applyFont="1" applyFill="1" applyBorder="1" applyAlignment="1" applyProtection="1">
      <alignment horizontal="center" vertical="center"/>
      <protection locked="0"/>
    </xf>
    <xf numFmtId="182" fontId="152" fillId="5" borderId="0" xfId="0" applyNumberFormat="1" applyFont="1" applyFill="1" applyAlignment="1" applyProtection="1">
      <alignment horizontal="center" vertical="center"/>
      <protection locked="0"/>
    </xf>
    <xf numFmtId="0" fontId="161" fillId="5" borderId="12" xfId="0" applyFont="1" applyFill="1" applyBorder="1" applyAlignment="1" applyProtection="1">
      <alignment horizontal="left" vertical="center"/>
    </xf>
    <xf numFmtId="182" fontId="109" fillId="5" borderId="6" xfId="0" applyNumberFormat="1" applyFont="1" applyFill="1" applyBorder="1" applyAlignment="1" applyProtection="1">
      <alignment horizontal="center" vertical="center"/>
    </xf>
    <xf numFmtId="182" fontId="109" fillId="5" borderId="5" xfId="0" applyNumberFormat="1" applyFont="1" applyFill="1" applyBorder="1" applyAlignment="1" applyProtection="1">
      <alignment horizontal="center" vertical="center"/>
    </xf>
    <xf numFmtId="49" fontId="271" fillId="5" borderId="59" xfId="0" applyNumberFormat="1" applyFont="1" applyFill="1" applyBorder="1" applyAlignment="1" applyProtection="1"/>
    <xf numFmtId="0" fontId="152" fillId="2" borderId="2" xfId="0" applyFont="1" applyFill="1" applyBorder="1" applyAlignment="1" applyProtection="1">
      <alignment horizontal="center" vertical="center"/>
      <protection locked="0"/>
    </xf>
    <xf numFmtId="0" fontId="0" fillId="0" borderId="0" xfId="0" applyProtection="1">
      <alignment vertical="center"/>
    </xf>
    <xf numFmtId="0" fontId="272" fillId="5" borderId="2" xfId="0" applyFont="1" applyFill="1" applyBorder="1" applyProtection="1">
      <alignment vertical="center"/>
    </xf>
    <xf numFmtId="0" fontId="0" fillId="5" borderId="2" xfId="0" applyFill="1" applyBorder="1" applyProtection="1">
      <alignment vertical="center"/>
    </xf>
    <xf numFmtId="0" fontId="272" fillId="5" borderId="0" xfId="0" applyFont="1" applyFill="1" applyProtection="1">
      <alignment vertical="center"/>
    </xf>
    <xf numFmtId="0" fontId="272" fillId="5" borderId="2" xfId="0" applyFont="1" applyFill="1" applyBorder="1" applyAlignment="1" applyProtection="1">
      <alignment vertical="center" wrapText="1"/>
    </xf>
    <xf numFmtId="0" fontId="148" fillId="5" borderId="2" xfId="0" applyFont="1" applyFill="1" applyBorder="1" applyProtection="1">
      <alignment vertical="center"/>
    </xf>
    <xf numFmtId="0" fontId="0" fillId="5" borderId="2" xfId="0" applyFill="1" applyBorder="1" applyAlignment="1" applyProtection="1">
      <alignment horizontal="center" vertical="center"/>
    </xf>
    <xf numFmtId="0" fontId="170" fillId="0" borderId="2" xfId="0" applyFont="1" applyBorder="1" applyAlignment="1" applyProtection="1">
      <alignment horizontal="center" vertical="center"/>
      <protection locked="0"/>
    </xf>
    <xf numFmtId="49" fontId="89" fillId="14" borderId="2" xfId="10" applyNumberFormat="1" applyFont="1" applyFill="1" applyBorder="1" applyAlignment="1" applyProtection="1">
      <alignment horizontal="center" vertical="center" wrapText="1"/>
    </xf>
    <xf numFmtId="0" fontId="239" fillId="14" borderId="124" xfId="10" applyFont="1" applyFill="1" applyBorder="1" applyAlignment="1" applyProtection="1">
      <alignment horizontal="center" vertical="center" wrapText="1"/>
    </xf>
    <xf numFmtId="0" fontId="160" fillId="14" borderId="0" xfId="10" applyFont="1" applyFill="1">
      <alignment vertical="center"/>
    </xf>
    <xf numFmtId="0" fontId="160" fillId="14" borderId="0" xfId="10" applyFont="1" applyFill="1" applyAlignment="1">
      <alignment horizontal="center" vertical="center"/>
    </xf>
    <xf numFmtId="0" fontId="160" fillId="14" borderId="122" xfId="10" applyFont="1" applyFill="1" applyBorder="1" applyAlignment="1">
      <alignment horizontal="center" vertical="center"/>
    </xf>
    <xf numFmtId="0" fontId="155" fillId="14" borderId="0" xfId="10" applyFont="1" applyFill="1" applyAlignment="1">
      <alignment horizontal="center" vertical="center"/>
    </xf>
    <xf numFmtId="10" fontId="155" fillId="14" borderId="0" xfId="10" applyNumberFormat="1" applyFont="1" applyFill="1" applyAlignment="1">
      <alignment horizontal="center" vertical="center"/>
    </xf>
    <xf numFmtId="0" fontId="273" fillId="5" borderId="14" xfId="3" applyFont="1" applyFill="1" applyBorder="1" applyAlignment="1" applyProtection="1">
      <alignment horizontal="center" vertical="center"/>
    </xf>
    <xf numFmtId="0" fontId="109" fillId="5" borderId="0" xfId="0" applyFont="1" applyFill="1" applyAlignment="1" applyProtection="1">
      <alignment horizontal="center" vertical="center"/>
      <protection locked="0"/>
    </xf>
    <xf numFmtId="0" fontId="55" fillId="5" borderId="10" xfId="0" applyFont="1" applyFill="1" applyBorder="1" applyAlignment="1" applyProtection="1"/>
    <xf numFmtId="10" fontId="88" fillId="5" borderId="25" xfId="0" applyNumberFormat="1" applyFont="1" applyFill="1" applyBorder="1" applyAlignment="1" applyProtection="1">
      <alignment horizontal="center"/>
    </xf>
    <xf numFmtId="0" fontId="52" fillId="5" borderId="44" xfId="0" applyFont="1" applyFill="1" applyBorder="1" applyAlignment="1" applyProtection="1">
      <alignment horizontal="left" vertical="center"/>
    </xf>
    <xf numFmtId="0" fontId="101" fillId="6" borderId="0" xfId="0" applyFont="1" applyFill="1" applyAlignment="1" applyProtection="1">
      <alignment vertical="center"/>
      <protection locked="0"/>
    </xf>
    <xf numFmtId="0" fontId="135" fillId="5" borderId="11" xfId="0" applyFont="1" applyFill="1" applyBorder="1" applyAlignment="1" applyProtection="1">
      <alignment vertical="center"/>
    </xf>
    <xf numFmtId="0" fontId="160" fillId="0" borderId="0" xfId="10" applyFont="1" applyFill="1" applyBorder="1" applyAlignment="1" applyProtection="1">
      <alignment horizontal="center" vertical="center"/>
      <protection locked="0"/>
    </xf>
    <xf numFmtId="0" fontId="241" fillId="14" borderId="0" xfId="10" applyFont="1" applyFill="1" applyBorder="1" applyAlignment="1" applyProtection="1">
      <alignment horizontal="center" vertical="center"/>
      <protection locked="0"/>
    </xf>
    <xf numFmtId="0" fontId="156" fillId="0" borderId="43" xfId="0" applyFont="1" applyFill="1" applyBorder="1" applyAlignment="1" applyProtection="1">
      <alignment horizontal="center" vertical="center"/>
    </xf>
    <xf numFmtId="0" fontId="161" fillId="5" borderId="0" xfId="0" applyFont="1" applyFill="1" applyProtection="1">
      <alignment vertical="center"/>
    </xf>
    <xf numFmtId="0" fontId="160" fillId="16" borderId="0" xfId="10" applyFont="1" applyFill="1">
      <alignment vertical="center"/>
    </xf>
    <xf numFmtId="0" fontId="152" fillId="16" borderId="0" xfId="1" applyFont="1" applyFill="1" applyAlignment="1" applyProtection="1">
      <alignment horizontal="center" vertical="center"/>
    </xf>
    <xf numFmtId="0" fontId="20" fillId="16" borderId="0" xfId="1" applyFont="1" applyFill="1" applyAlignment="1" applyProtection="1">
      <alignment horizontal="center" vertical="center"/>
    </xf>
    <xf numFmtId="0" fontId="160" fillId="16" borderId="122" xfId="10" applyFont="1" applyFill="1" applyBorder="1" applyAlignment="1">
      <alignment horizontal="center" vertical="center"/>
    </xf>
    <xf numFmtId="0" fontId="160" fillId="16" borderId="0" xfId="10" applyFont="1" applyFill="1" applyBorder="1" applyAlignment="1">
      <alignment horizontal="center" vertical="center"/>
    </xf>
    <xf numFmtId="0" fontId="160" fillId="16" borderId="0" xfId="10" applyFont="1" applyFill="1" applyAlignment="1">
      <alignment horizontal="center" vertical="center"/>
    </xf>
    <xf numFmtId="0" fontId="155" fillId="16" borderId="0" xfId="10" applyFont="1" applyFill="1" applyAlignment="1">
      <alignment horizontal="center" vertical="center"/>
    </xf>
    <xf numFmtId="10" fontId="155" fillId="16" borderId="0" xfId="10" applyNumberFormat="1" applyFont="1" applyFill="1" applyAlignment="1">
      <alignment horizontal="center" vertical="center"/>
    </xf>
    <xf numFmtId="0" fontId="233" fillId="16" borderId="0" xfId="13" applyFont="1" applyFill="1">
      <alignment vertical="center"/>
    </xf>
    <xf numFmtId="0" fontId="160" fillId="0" borderId="0" xfId="13" applyFont="1" applyFill="1">
      <alignment vertical="center"/>
    </xf>
    <xf numFmtId="0" fontId="161" fillId="6" borderId="0" xfId="13" applyFont="1" applyFill="1">
      <alignment vertical="center"/>
    </xf>
    <xf numFmtId="0" fontId="241" fillId="16" borderId="0" xfId="13" applyFont="1" applyFill="1" applyBorder="1" applyAlignment="1" applyProtection="1">
      <alignment horizontal="center" vertical="center"/>
      <protection locked="0"/>
    </xf>
    <xf numFmtId="0" fontId="227" fillId="16" borderId="0" xfId="13" applyFont="1" applyFill="1">
      <alignment vertical="center"/>
    </xf>
    <xf numFmtId="0" fontId="21" fillId="6" borderId="21" xfId="0" applyFont="1" applyFill="1" applyBorder="1" applyAlignment="1" applyProtection="1">
      <alignment horizontal="left" vertical="center" wrapText="1"/>
      <protection locked="0"/>
    </xf>
    <xf numFmtId="185" fontId="160" fillId="12" borderId="120" xfId="13" applyNumberFormat="1" applyFont="1" applyFill="1" applyBorder="1" applyAlignment="1">
      <alignment horizontal="center" vertical="center" wrapText="1"/>
    </xf>
    <xf numFmtId="185" fontId="160" fillId="12" borderId="127" xfId="13" applyNumberFormat="1" applyFont="1" applyFill="1" applyBorder="1" applyAlignment="1">
      <alignment horizontal="center" vertical="center" wrapText="1"/>
    </xf>
    <xf numFmtId="0" fontId="135" fillId="5" borderId="1" xfId="0" applyFont="1" applyFill="1" applyBorder="1" applyAlignment="1" applyProtection="1">
      <alignment vertical="center"/>
    </xf>
    <xf numFmtId="49" fontId="135" fillId="5" borderId="11" xfId="0" applyNumberFormat="1" applyFont="1" applyFill="1" applyBorder="1" applyAlignment="1" applyProtection="1">
      <alignment horizontal="left" vertical="center"/>
    </xf>
    <xf numFmtId="0" fontId="135" fillId="5" borderId="43" xfId="0" applyFont="1" applyFill="1" applyBorder="1" applyAlignment="1" applyProtection="1">
      <alignment vertical="center"/>
    </xf>
    <xf numFmtId="0" fontId="135" fillId="5" borderId="33" xfId="0" applyFont="1" applyFill="1" applyBorder="1" applyAlignment="1" applyProtection="1">
      <alignment vertical="center" wrapText="1"/>
    </xf>
    <xf numFmtId="0" fontId="179" fillId="5" borderId="12" xfId="0" applyFont="1" applyFill="1" applyBorder="1" applyAlignment="1" applyProtection="1">
      <alignment horizontal="center"/>
    </xf>
    <xf numFmtId="0" fontId="109" fillId="5" borderId="12" xfId="0" applyNumberFormat="1" applyFont="1" applyFill="1" applyBorder="1" applyAlignment="1" applyProtection="1">
      <alignment horizontal="center" vertical="center"/>
    </xf>
    <xf numFmtId="0" fontId="135" fillId="5" borderId="1" xfId="0" applyFont="1" applyFill="1" applyBorder="1" applyAlignment="1" applyProtection="1">
      <alignment horizontal="left" vertical="center"/>
    </xf>
    <xf numFmtId="0" fontId="151" fillId="5" borderId="11" xfId="0" applyFont="1" applyFill="1" applyBorder="1" applyAlignment="1" applyProtection="1">
      <alignment horizontal="left"/>
    </xf>
    <xf numFmtId="0" fontId="162" fillId="5" borderId="11" xfId="0" applyFont="1" applyFill="1" applyBorder="1" applyAlignment="1" applyProtection="1">
      <alignment horizontal="left"/>
    </xf>
    <xf numFmtId="0" fontId="157" fillId="5" borderId="82" xfId="0" applyFont="1" applyFill="1" applyBorder="1" applyAlignment="1" applyProtection="1">
      <alignment horizontal="center" vertical="center"/>
    </xf>
    <xf numFmtId="0" fontId="109" fillId="5" borderId="7" xfId="0" applyFont="1" applyFill="1" applyBorder="1" applyAlignment="1" applyProtection="1">
      <alignment horizontal="center" vertical="center"/>
    </xf>
    <xf numFmtId="193" fontId="109" fillId="5" borderId="12" xfId="0" applyNumberFormat="1" applyFont="1" applyFill="1" applyBorder="1" applyAlignment="1" applyProtection="1">
      <alignment horizontal="center" vertical="center"/>
    </xf>
    <xf numFmtId="0" fontId="109" fillId="8" borderId="0" xfId="0" applyFont="1" applyFill="1" applyAlignment="1" applyProtection="1">
      <alignment vertical="center"/>
    </xf>
    <xf numFmtId="0" fontId="109" fillId="8" borderId="0" xfId="0" applyFont="1" applyFill="1" applyAlignment="1" applyProtection="1">
      <alignment horizontal="left" vertical="center"/>
    </xf>
    <xf numFmtId="0" fontId="217" fillId="5" borderId="59" xfId="0" applyFont="1" applyFill="1" applyBorder="1" applyAlignment="1" applyProtection="1">
      <alignment horizontal="left" vertical="center" wrapText="1"/>
    </xf>
    <xf numFmtId="0" fontId="217" fillId="5" borderId="26" xfId="0" applyFont="1" applyFill="1" applyBorder="1" applyAlignment="1" applyProtection="1">
      <alignment horizontal="center" vertical="center"/>
    </xf>
    <xf numFmtId="0" fontId="135" fillId="5" borderId="50" xfId="0" applyFont="1" applyFill="1" applyBorder="1" applyAlignment="1" applyProtection="1">
      <alignment vertical="center" wrapText="1"/>
    </xf>
    <xf numFmtId="0" fontId="135" fillId="5" borderId="11" xfId="0" applyFont="1" applyFill="1" applyBorder="1" applyAlignment="1" applyProtection="1">
      <alignment vertical="center" wrapText="1"/>
    </xf>
    <xf numFmtId="0" fontId="109" fillId="5" borderId="5" xfId="0" applyFont="1" applyFill="1" applyBorder="1" applyAlignment="1" applyProtection="1">
      <alignment horizontal="center" vertical="center"/>
    </xf>
    <xf numFmtId="49" fontId="217" fillId="5" borderId="43" xfId="0" applyNumberFormat="1" applyFont="1" applyFill="1" applyBorder="1" applyAlignment="1" applyProtection="1">
      <alignment horizontal="left" vertical="center"/>
    </xf>
    <xf numFmtId="0" fontId="109" fillId="5" borderId="46" xfId="0" applyFont="1" applyFill="1" applyBorder="1" applyAlignment="1" applyProtection="1">
      <alignment horizontal="center" vertical="center"/>
    </xf>
    <xf numFmtId="0" fontId="217" fillId="5" borderId="43" xfId="0" applyFont="1" applyFill="1" applyBorder="1" applyAlignment="1" applyProtection="1">
      <alignment horizontal="center" vertical="center"/>
    </xf>
    <xf numFmtId="0" fontId="135" fillId="5" borderId="2" xfId="0" applyFont="1" applyFill="1" applyBorder="1" applyAlignment="1" applyProtection="1"/>
    <xf numFmtId="0" fontId="135" fillId="5" borderId="2" xfId="0" applyFont="1" applyFill="1" applyBorder="1" applyAlignment="1" applyProtection="1">
      <alignment horizontal="center"/>
    </xf>
    <xf numFmtId="0" fontId="135" fillId="5" borderId="2" xfId="0" applyFont="1" applyFill="1" applyBorder="1" applyAlignment="1" applyProtection="1">
      <alignment horizontal="center" vertical="center"/>
    </xf>
    <xf numFmtId="9" fontId="109" fillId="5" borderId="2" xfId="0" applyNumberFormat="1" applyFont="1" applyFill="1" applyBorder="1" applyAlignment="1" applyProtection="1">
      <alignment horizontal="center" vertical="center"/>
    </xf>
    <xf numFmtId="0" fontId="109" fillId="6" borderId="0" xfId="0" applyFont="1" applyFill="1" applyAlignment="1" applyProtection="1">
      <alignment horizontal="center" vertical="center"/>
      <protection locked="0"/>
    </xf>
    <xf numFmtId="0" fontId="172" fillId="0" borderId="0" xfId="7" applyFont="1" applyAlignment="1">
      <alignment horizontal="left" vertical="center"/>
    </xf>
    <xf numFmtId="14" fontId="172" fillId="0" borderId="0" xfId="7" applyNumberFormat="1" applyFont="1" applyAlignment="1">
      <alignment horizontal="left" vertical="center"/>
    </xf>
    <xf numFmtId="0" fontId="173" fillId="0" borderId="0" xfId="7" applyFont="1" applyAlignment="1">
      <alignment horizontal="left" vertical="center"/>
    </xf>
    <xf numFmtId="0" fontId="167"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91" fontId="275" fillId="0" borderId="2" xfId="7" applyNumberFormat="1"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275" fillId="0" borderId="153" xfId="7" applyFont="1" applyFill="1" applyBorder="1" applyAlignment="1">
      <alignment horizontal="left" vertical="center"/>
    </xf>
    <xf numFmtId="184" fontId="275" fillId="0" borderId="10" xfId="7" applyNumberFormat="1" applyFont="1" applyFill="1" applyBorder="1" applyAlignment="1">
      <alignment horizontal="left" vertical="center"/>
    </xf>
    <xf numFmtId="191" fontId="275" fillId="0" borderId="10" xfId="7" applyNumberFormat="1" applyFont="1" applyFill="1" applyBorder="1" applyAlignment="1">
      <alignment horizontal="left" vertical="center"/>
    </xf>
    <xf numFmtId="0" fontId="167"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172"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72" fillId="0" borderId="2" xfId="7" applyNumberFormat="1" applyFont="1" applyBorder="1" applyAlignment="1">
      <alignment horizontal="left" vertical="center"/>
    </xf>
    <xf numFmtId="14" fontId="167" fillId="0" borderId="0" xfId="7" applyNumberFormat="1" applyFont="1" applyAlignment="1">
      <alignment horizontal="left" vertical="center"/>
    </xf>
    <xf numFmtId="182" fontId="155" fillId="5" borderId="2" xfId="0" applyNumberFormat="1" applyFont="1" applyFill="1" applyBorder="1" applyAlignment="1" applyProtection="1">
      <alignment horizontal="center" vertical="center" wrapText="1"/>
    </xf>
    <xf numFmtId="0" fontId="130" fillId="5" borderId="2" xfId="0" applyFont="1" applyFill="1" applyBorder="1" applyAlignment="1" applyProtection="1">
      <alignment vertical="center" wrapText="1"/>
    </xf>
    <xf numFmtId="0" fontId="50" fillId="5" borderId="0" xfId="3" applyFont="1" applyFill="1" applyBorder="1" applyAlignment="1" applyProtection="1">
      <alignment vertical="center" wrapText="1"/>
    </xf>
    <xf numFmtId="0" fontId="61" fillId="5" borderId="0" xfId="3" applyFont="1" applyFill="1" applyBorder="1" applyAlignment="1" applyProtection="1">
      <alignment vertical="center" wrapText="1"/>
    </xf>
    <xf numFmtId="0" fontId="187" fillId="5" borderId="0" xfId="3" applyFont="1" applyFill="1" applyBorder="1" applyAlignment="1" applyProtection="1">
      <alignment vertical="center"/>
    </xf>
    <xf numFmtId="0" fontId="89" fillId="5" borderId="0" xfId="3" applyFont="1" applyFill="1" applyBorder="1" applyAlignment="1" applyProtection="1">
      <alignment horizontal="center" vertical="center" wrapText="1"/>
    </xf>
    <xf numFmtId="0" fontId="87" fillId="5" borderId="0" xfId="3" applyFont="1" applyFill="1" applyBorder="1" applyAlignment="1" applyProtection="1">
      <alignment horizontal="center" vertical="center" wrapText="1"/>
    </xf>
    <xf numFmtId="0" fontId="87" fillId="5" borderId="0" xfId="3" applyFont="1" applyFill="1" applyBorder="1" applyAlignment="1" applyProtection="1">
      <alignment vertical="center" wrapText="1"/>
    </xf>
    <xf numFmtId="0" fontId="168" fillId="5" borderId="0" xfId="3" applyFont="1" applyFill="1" applyBorder="1" applyAlignment="1" applyProtection="1">
      <alignment vertical="center"/>
    </xf>
    <xf numFmtId="0" fontId="43" fillId="5" borderId="0" xfId="3" applyFont="1" applyFill="1" applyBorder="1" applyAlignment="1" applyProtection="1">
      <alignment vertical="center"/>
    </xf>
    <xf numFmtId="0" fontId="43" fillId="5" borderId="0" xfId="3" applyFont="1" applyFill="1" applyBorder="1" applyAlignment="1" applyProtection="1">
      <alignment horizontal="center" vertical="center" wrapText="1"/>
    </xf>
    <xf numFmtId="10" fontId="87" fillId="0" borderId="2" xfId="3" applyNumberFormat="1" applyFont="1" applyFill="1" applyBorder="1" applyAlignment="1" applyProtection="1">
      <alignment horizontal="center" vertical="center" wrapText="1"/>
      <protection locked="0"/>
    </xf>
    <xf numFmtId="0" fontId="109" fillId="5" borderId="45" xfId="0"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wrapText="1"/>
      <protection locked="0"/>
    </xf>
    <xf numFmtId="0" fontId="87" fillId="5" borderId="44" xfId="3" applyFont="1" applyFill="1" applyBorder="1" applyAlignment="1" applyProtection="1">
      <alignment vertical="center" wrapText="1"/>
      <protection locked="0"/>
    </xf>
    <xf numFmtId="0" fontId="89" fillId="0" borderId="10" xfId="3" applyFont="1" applyFill="1" applyBorder="1" applyAlignment="1" applyProtection="1">
      <alignment horizontal="center" vertical="center" wrapText="1"/>
      <protection locked="0"/>
    </xf>
    <xf numFmtId="0" fontId="89" fillId="0" borderId="25" xfId="3" applyFont="1" applyFill="1" applyBorder="1" applyAlignment="1" applyProtection="1">
      <alignment horizontal="center" vertical="center" wrapText="1"/>
      <protection locked="0"/>
    </xf>
    <xf numFmtId="0" fontId="61" fillId="5" borderId="65" xfId="3" applyFont="1" applyFill="1" applyBorder="1" applyAlignment="1" applyProtection="1">
      <alignment vertical="center" wrapText="1"/>
    </xf>
    <xf numFmtId="0" fontId="43" fillId="5" borderId="0" xfId="3" applyFont="1" applyFill="1" applyBorder="1" applyAlignment="1" applyProtection="1">
      <alignment horizontal="center" vertical="center" wrapText="1"/>
      <protection locked="0"/>
    </xf>
    <xf numFmtId="0" fontId="89" fillId="5" borderId="0" xfId="3" applyFont="1" applyFill="1" applyBorder="1" applyAlignment="1" applyProtection="1">
      <alignment horizontal="center" vertical="center" wrapText="1"/>
      <protection locked="0"/>
    </xf>
    <xf numFmtId="0" fontId="167" fillId="5" borderId="2" xfId="0" applyFont="1" applyFill="1" applyBorder="1" applyAlignment="1" applyProtection="1">
      <alignment horizontal="center" vertical="center" wrapText="1"/>
    </xf>
    <xf numFmtId="0" fontId="43" fillId="5" borderId="44" xfId="3" applyFont="1" applyFill="1" applyBorder="1" applyAlignment="1" applyProtection="1">
      <alignment horizontal="center" vertical="center" wrapText="1"/>
    </xf>
    <xf numFmtId="0" fontId="43" fillId="6" borderId="44" xfId="3" applyFont="1" applyFill="1" applyBorder="1" applyAlignment="1" applyProtection="1">
      <alignment horizontal="right" vertical="center" wrapText="1"/>
      <protection locked="0"/>
    </xf>
    <xf numFmtId="0" fontId="168" fillId="5" borderId="3" xfId="3" applyFont="1" applyFill="1" applyBorder="1" applyAlignment="1" applyProtection="1">
      <alignment horizontal="left" vertical="center" wrapText="1"/>
    </xf>
    <xf numFmtId="0" fontId="60" fillId="5" borderId="3" xfId="3" applyFont="1" applyFill="1" applyBorder="1" applyAlignment="1" applyProtection="1">
      <alignment horizontal="left" vertical="center" wrapText="1"/>
    </xf>
    <xf numFmtId="0" fontId="86" fillId="5" borderId="13" xfId="3" applyFont="1" applyFill="1" applyBorder="1" applyAlignment="1" applyProtection="1">
      <alignment horizontal="center" vertical="center" wrapText="1"/>
    </xf>
    <xf numFmtId="0" fontId="43" fillId="5" borderId="13" xfId="3" applyFont="1" applyFill="1" applyBorder="1" applyAlignment="1" applyProtection="1">
      <alignment vertical="center"/>
    </xf>
    <xf numFmtId="0" fontId="60" fillId="5" borderId="0" xfId="3" applyFont="1" applyFill="1" applyBorder="1" applyAlignment="1" applyProtection="1">
      <alignment horizontal="center" vertical="center" wrapText="1"/>
    </xf>
    <xf numFmtId="0" fontId="43" fillId="6" borderId="7" xfId="3" applyFont="1" applyFill="1" applyBorder="1" applyAlignment="1" applyProtection="1">
      <alignment horizontal="center" vertical="center" wrapText="1"/>
      <protection locked="0"/>
    </xf>
    <xf numFmtId="0" fontId="43" fillId="5" borderId="44" xfId="3" applyFont="1" applyFill="1" applyBorder="1" applyAlignment="1" applyProtection="1">
      <alignment horizontal="left" vertical="center"/>
    </xf>
    <xf numFmtId="0" fontId="89" fillId="5" borderId="55" xfId="3" applyFont="1" applyFill="1" applyBorder="1" applyAlignment="1" applyProtection="1">
      <alignment horizontal="center" vertical="center" wrapText="1"/>
    </xf>
    <xf numFmtId="0" fontId="43" fillId="5" borderId="44" xfId="0" applyFont="1" applyFill="1" applyBorder="1" applyAlignment="1" applyProtection="1">
      <alignment horizontal="center" vertical="center" wrapText="1"/>
    </xf>
    <xf numFmtId="0" fontId="89" fillId="5" borderId="46" xfId="3" applyFont="1" applyFill="1" applyBorder="1" applyAlignment="1" applyProtection="1">
      <alignment horizontal="center" vertical="center" wrapText="1"/>
    </xf>
    <xf numFmtId="185" fontId="160" fillId="12" borderId="120" xfId="13" applyNumberFormat="1" applyFont="1" applyFill="1" applyBorder="1" applyAlignment="1" applyProtection="1">
      <alignment horizontal="center" vertical="center" wrapText="1"/>
    </xf>
    <xf numFmtId="185" fontId="160" fillId="12" borderId="127" xfId="13" applyNumberFormat="1" applyFont="1" applyFill="1" applyBorder="1" applyAlignment="1" applyProtection="1">
      <alignment horizontal="center" vertical="center" wrapText="1"/>
    </xf>
    <xf numFmtId="0" fontId="79" fillId="17" borderId="2" xfId="0" applyFont="1" applyFill="1" applyBorder="1" applyAlignment="1" applyProtection="1">
      <alignment horizontal="center" vertical="center"/>
    </xf>
    <xf numFmtId="0" fontId="109" fillId="17" borderId="83" xfId="0" applyFont="1" applyFill="1" applyBorder="1" applyAlignment="1" applyProtection="1">
      <alignment horizontal="center" vertical="center"/>
    </xf>
    <xf numFmtId="0" fontId="155" fillId="0" borderId="0" xfId="10" applyFont="1" applyFill="1" applyAlignment="1">
      <alignment horizontal="center" vertical="center"/>
    </xf>
    <xf numFmtId="10" fontId="159" fillId="5" borderId="2" xfId="0" applyNumberFormat="1" applyFont="1" applyFill="1" applyBorder="1" applyAlignment="1" applyProtection="1">
      <alignment horizontal="right" vertical="center"/>
    </xf>
    <xf numFmtId="0" fontId="79" fillId="5" borderId="8" xfId="0" applyFont="1" applyFill="1" applyBorder="1" applyAlignment="1" applyProtection="1">
      <alignment horizontal="center" vertical="center" wrapText="1"/>
    </xf>
    <xf numFmtId="0" fontId="79" fillId="5" borderId="8" xfId="0" applyFont="1" applyFill="1" applyBorder="1" applyAlignment="1" applyProtection="1">
      <alignment horizontal="left" vertical="center" wrapText="1"/>
    </xf>
    <xf numFmtId="0" fontId="79" fillId="5" borderId="5" xfId="0" applyFont="1" applyFill="1" applyBorder="1" applyAlignment="1" applyProtection="1">
      <alignment horizontal="left" vertical="center" wrapText="1"/>
    </xf>
    <xf numFmtId="0" fontId="79" fillId="5" borderId="2" xfId="0" applyFont="1" applyFill="1" applyBorder="1" applyAlignment="1" applyProtection="1">
      <alignment horizontal="left" vertical="center" wrapText="1"/>
    </xf>
    <xf numFmtId="0" fontId="79" fillId="5" borderId="19" xfId="0" applyFont="1" applyFill="1" applyBorder="1" applyAlignment="1" applyProtection="1">
      <alignment horizontal="center" vertical="center"/>
    </xf>
    <xf numFmtId="0" fontId="79" fillId="5" borderId="8" xfId="0" applyFont="1" applyFill="1" applyBorder="1" applyAlignment="1" applyProtection="1">
      <alignment horizontal="center" vertical="center"/>
    </xf>
    <xf numFmtId="0" fontId="239" fillId="13" borderId="124" xfId="13" applyFont="1" applyFill="1" applyBorder="1" applyAlignment="1" applyProtection="1">
      <alignment horizontal="center" vertical="center" wrapText="1"/>
    </xf>
    <xf numFmtId="0" fontId="239" fillId="13" borderId="128" xfId="13" applyFont="1" applyFill="1" applyBorder="1" applyAlignment="1" applyProtection="1">
      <alignment horizontal="center" vertical="center" wrapText="1"/>
    </xf>
    <xf numFmtId="0" fontId="259" fillId="0" borderId="2" xfId="14" applyBorder="1" applyAlignment="1">
      <alignment horizontal="left" vertical="center" wrapText="1"/>
    </xf>
    <xf numFmtId="0" fontId="259" fillId="0" borderId="2" xfId="14" applyBorder="1" applyAlignment="1">
      <alignment horizontal="center" vertical="center" wrapText="1"/>
    </xf>
    <xf numFmtId="0" fontId="259" fillId="0" borderId="0" xfId="14" applyAlignment="1">
      <alignment horizontal="left" vertical="center" wrapText="1"/>
    </xf>
    <xf numFmtId="0" fontId="259" fillId="0" borderId="2" xfId="14" applyBorder="1" applyAlignment="1">
      <alignment horizontal="left" vertical="center" wrapText="1"/>
    </xf>
    <xf numFmtId="0" fontId="259" fillId="0" borderId="0" xfId="14" applyAlignment="1">
      <alignment horizontal="center" vertical="center" wrapText="1"/>
    </xf>
    <xf numFmtId="0" fontId="259" fillId="6" borderId="2" xfId="14" applyFill="1" applyBorder="1" applyAlignment="1">
      <alignment horizontal="left" vertical="center" wrapText="1"/>
    </xf>
    <xf numFmtId="0" fontId="259" fillId="6" borderId="2" xfId="14" applyFill="1" applyBorder="1" applyAlignment="1">
      <alignment horizontal="center" vertical="center" wrapText="1"/>
    </xf>
    <xf numFmtId="0" fontId="154" fillId="5" borderId="4" xfId="1" applyFont="1" applyFill="1" applyBorder="1" applyAlignment="1" applyProtection="1">
      <alignment vertical="center"/>
    </xf>
    <xf numFmtId="0" fontId="104" fillId="5" borderId="14" xfId="1" applyFont="1" applyFill="1" applyBorder="1" applyAlignment="1" applyProtection="1">
      <alignment horizontal="right" vertical="center"/>
    </xf>
    <xf numFmtId="0" fontId="104" fillId="5" borderId="0" xfId="1" applyFont="1" applyFill="1" applyAlignment="1" applyProtection="1">
      <alignment horizontal="center" vertical="center"/>
    </xf>
    <xf numFmtId="0" fontId="215" fillId="2" borderId="14" xfId="1" applyFont="1" applyFill="1" applyBorder="1" applyAlignment="1" applyProtection="1">
      <alignment vertical="center"/>
      <protection locked="0"/>
    </xf>
    <xf numFmtId="0" fontId="104" fillId="5" borderId="14" xfId="1" applyFont="1" applyFill="1" applyBorder="1" applyAlignment="1" applyProtection="1">
      <alignment vertical="center"/>
    </xf>
    <xf numFmtId="0" fontId="104" fillId="6" borderId="2" xfId="1" applyFont="1" applyFill="1" applyBorder="1" applyAlignment="1" applyProtection="1">
      <alignment horizontal="center" vertical="center"/>
      <protection locked="0"/>
    </xf>
    <xf numFmtId="0" fontId="105" fillId="5" borderId="14" xfId="1" applyFont="1" applyFill="1" applyBorder="1" applyAlignment="1" applyProtection="1">
      <alignment vertical="center"/>
    </xf>
    <xf numFmtId="188" fontId="104" fillId="5" borderId="14" xfId="1" applyNumberFormat="1" applyFont="1" applyFill="1" applyBorder="1" applyAlignment="1" applyProtection="1">
      <alignment horizontal="center" vertical="center"/>
    </xf>
    <xf numFmtId="182" fontId="104" fillId="5" borderId="14" xfId="1" applyNumberFormat="1" applyFont="1" applyFill="1" applyBorder="1" applyAlignment="1" applyProtection="1">
      <alignment vertical="center"/>
    </xf>
    <xf numFmtId="0" fontId="104" fillId="5" borderId="14" xfId="1" applyFont="1" applyFill="1" applyBorder="1" applyAlignment="1" applyProtection="1">
      <alignment horizontal="center" vertical="center"/>
    </xf>
    <xf numFmtId="0" fontId="104" fillId="5" borderId="0"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101" fillId="0" borderId="0" xfId="1" applyFont="1" applyFill="1" applyAlignment="1" applyProtection="1">
      <alignment horizontal="center" vertical="center"/>
    </xf>
    <xf numFmtId="0" fontId="100" fillId="5" borderId="2" xfId="1" applyFont="1" applyFill="1" applyBorder="1" applyAlignment="1" applyProtection="1">
      <alignment horizontal="right" vertical="center"/>
    </xf>
    <xf numFmtId="0" fontId="100" fillId="5" borderId="0" xfId="1" applyFont="1" applyFill="1" applyBorder="1" applyAlignment="1" applyProtection="1">
      <alignment vertical="center"/>
      <protection locked="0"/>
    </xf>
    <xf numFmtId="0" fontId="101" fillId="5" borderId="0" xfId="1" applyFont="1" applyFill="1" applyAlignment="1" applyProtection="1">
      <alignment horizontal="center" vertical="center"/>
      <protection locked="0"/>
    </xf>
    <xf numFmtId="0" fontId="105" fillId="5" borderId="0" xfId="1" applyFont="1" applyFill="1" applyBorder="1" applyAlignment="1" applyProtection="1">
      <alignment vertical="center"/>
      <protection locked="0"/>
    </xf>
    <xf numFmtId="0" fontId="104" fillId="5" borderId="0" xfId="1" applyFont="1" applyFill="1" applyBorder="1" applyAlignment="1" applyProtection="1">
      <alignment vertical="center"/>
      <protection locked="0"/>
    </xf>
    <xf numFmtId="182" fontId="104" fillId="5" borderId="0" xfId="1" applyNumberFormat="1" applyFont="1" applyFill="1" applyBorder="1" applyAlignment="1" applyProtection="1">
      <alignment vertical="center"/>
      <protection locked="0"/>
    </xf>
    <xf numFmtId="0" fontId="104" fillId="5" borderId="0" xfId="1" applyFont="1" applyFill="1" applyBorder="1" applyAlignment="1" applyProtection="1">
      <alignment horizontal="center" vertical="center"/>
      <protection locked="0"/>
    </xf>
    <xf numFmtId="185" fontId="100" fillId="5" borderId="10" xfId="1" applyNumberFormat="1" applyFont="1" applyFill="1" applyBorder="1" applyAlignment="1" applyProtection="1">
      <alignment horizontal="right" vertical="center"/>
    </xf>
    <xf numFmtId="0" fontId="100" fillId="5" borderId="10" xfId="1" applyFont="1" applyFill="1" applyBorder="1" applyAlignment="1" applyProtection="1">
      <alignment horizontal="center" vertical="center"/>
    </xf>
    <xf numFmtId="0" fontId="100" fillId="5" borderId="10" xfId="1" applyFont="1" applyFill="1" applyBorder="1" applyAlignment="1" applyProtection="1">
      <alignment horizontal="right" vertical="center"/>
    </xf>
    <xf numFmtId="188" fontId="104" fillId="5" borderId="0" xfId="1" applyNumberFormat="1" applyFont="1" applyFill="1" applyBorder="1" applyAlignment="1" applyProtection="1">
      <alignment horizontal="center" vertical="center"/>
      <protection locked="0"/>
    </xf>
    <xf numFmtId="0" fontId="101" fillId="5" borderId="0" xfId="1" applyFont="1" applyFill="1" applyAlignment="1" applyProtection="1">
      <alignment horizontal="center" vertical="center"/>
    </xf>
    <xf numFmtId="0" fontId="86" fillId="5" borderId="26" xfId="1" applyFont="1" applyFill="1" applyBorder="1" applyAlignment="1" applyProtection="1">
      <alignment vertical="center" wrapText="1"/>
    </xf>
    <xf numFmtId="0" fontId="86" fillId="5" borderId="28" xfId="1" applyFont="1" applyFill="1" applyBorder="1" applyAlignment="1" applyProtection="1">
      <alignment vertical="center" wrapText="1"/>
    </xf>
    <xf numFmtId="188" fontId="74" fillId="5" borderId="9" xfId="1" applyNumberFormat="1" applyFont="1" applyFill="1" applyBorder="1" applyAlignment="1" applyProtection="1">
      <alignment horizontal="center" vertical="center" wrapText="1"/>
    </xf>
    <xf numFmtId="182" fontId="74" fillId="5" borderId="0" xfId="1" applyNumberFormat="1" applyFont="1" applyFill="1" applyBorder="1" applyAlignment="1" applyProtection="1">
      <alignment vertical="center" wrapText="1"/>
      <protection locked="0"/>
    </xf>
    <xf numFmtId="0" fontId="87" fillId="5" borderId="0" xfId="1" applyFont="1" applyFill="1" applyBorder="1" applyAlignment="1" applyProtection="1">
      <alignment horizontal="center" vertical="center"/>
      <protection locked="0"/>
    </xf>
    <xf numFmtId="0" fontId="87" fillId="5" borderId="3" xfId="1" applyFont="1" applyFill="1" applyBorder="1" applyAlignment="1" applyProtection="1">
      <alignment horizontal="center" vertical="center"/>
    </xf>
    <xf numFmtId="0" fontId="87" fillId="0" borderId="0" xfId="1" applyFont="1" applyFill="1" applyAlignment="1" applyProtection="1">
      <alignment horizontal="center" vertical="center"/>
    </xf>
    <xf numFmtId="0" fontId="86" fillId="5" borderId="31" xfId="1" applyFont="1" applyFill="1" applyBorder="1" applyAlignment="1" applyProtection="1">
      <alignment vertical="center" wrapText="1"/>
    </xf>
    <xf numFmtId="0" fontId="86" fillId="5" borderId="0" xfId="1" applyFont="1" applyFill="1" applyBorder="1" applyAlignment="1" applyProtection="1">
      <alignment vertical="center" wrapText="1"/>
    </xf>
    <xf numFmtId="0" fontId="86" fillId="5" borderId="54" xfId="1" applyFont="1" applyFill="1" applyBorder="1" applyAlignment="1" applyProtection="1">
      <alignment vertical="center" wrapText="1"/>
    </xf>
    <xf numFmtId="0" fontId="86" fillId="5" borderId="61" xfId="1" applyFont="1" applyFill="1" applyBorder="1" applyAlignment="1" applyProtection="1">
      <alignment vertical="center" wrapText="1"/>
    </xf>
    <xf numFmtId="0" fontId="78" fillId="5" borderId="59" xfId="1" applyFont="1" applyFill="1" applyBorder="1" applyAlignment="1" applyProtection="1">
      <alignment vertical="center" wrapText="1"/>
    </xf>
    <xf numFmtId="0" fontId="78" fillId="5" borderId="57" xfId="1" applyFont="1" applyFill="1" applyBorder="1" applyAlignment="1" applyProtection="1">
      <alignment horizontal="left" vertical="center" wrapText="1"/>
    </xf>
    <xf numFmtId="184" fontId="74" fillId="5" borderId="33" xfId="1" applyNumberFormat="1" applyFont="1" applyFill="1" applyBorder="1" applyAlignment="1" applyProtection="1">
      <alignment horizontal="center" vertical="center" wrapText="1"/>
    </xf>
    <xf numFmtId="0" fontId="74" fillId="5" borderId="34" xfId="1" applyNumberFormat="1" applyFont="1" applyFill="1" applyBorder="1" applyAlignment="1" applyProtection="1">
      <alignment horizontal="center" vertical="center" wrapText="1"/>
    </xf>
    <xf numFmtId="184" fontId="74" fillId="0" borderId="62" xfId="1" applyNumberFormat="1" applyFont="1" applyFill="1" applyBorder="1" applyAlignment="1" applyProtection="1">
      <alignment horizontal="center" vertical="center" wrapText="1"/>
      <protection locked="0"/>
    </xf>
    <xf numFmtId="0" fontId="74" fillId="5" borderId="49" xfId="1" applyNumberFormat="1" applyFont="1" applyFill="1" applyBorder="1" applyAlignment="1" applyProtection="1">
      <alignment horizontal="center" vertical="center" wrapText="1"/>
    </xf>
    <xf numFmtId="0" fontId="74" fillId="5" borderId="9" xfId="1" applyNumberFormat="1" applyFont="1" applyFill="1" applyBorder="1" applyAlignment="1" applyProtection="1">
      <alignment horizontal="center" vertical="center" wrapText="1"/>
    </xf>
    <xf numFmtId="182" fontId="74" fillId="5" borderId="0" xfId="1" applyNumberFormat="1" applyFont="1" applyFill="1" applyBorder="1" applyAlignment="1" applyProtection="1">
      <alignment horizontal="center" vertical="center" wrapText="1"/>
      <protection locked="0"/>
    </xf>
    <xf numFmtId="0" fontId="74" fillId="5" borderId="0" xfId="1" applyFont="1" applyFill="1" applyBorder="1" applyAlignment="1" applyProtection="1">
      <alignment horizontal="center" vertical="center"/>
      <protection locked="0"/>
    </xf>
    <xf numFmtId="187" fontId="74" fillId="5" borderId="5" xfId="1" applyNumberFormat="1" applyFont="1" applyFill="1" applyBorder="1" applyAlignment="1" applyProtection="1">
      <alignment horizontal="center" vertical="center"/>
    </xf>
    <xf numFmtId="49" fontId="74" fillId="5" borderId="9" xfId="1" applyNumberFormat="1" applyFont="1" applyFill="1" applyBorder="1" applyAlignment="1" applyProtection="1">
      <alignment horizontal="center" vertical="center"/>
    </xf>
    <xf numFmtId="0" fontId="74" fillId="5" borderId="3" xfId="1" applyFont="1" applyFill="1" applyBorder="1" applyAlignment="1" applyProtection="1">
      <alignment horizontal="center" vertical="center"/>
    </xf>
    <xf numFmtId="0" fontId="74" fillId="5" borderId="2" xfId="1" applyNumberFormat="1" applyFont="1" applyFill="1" applyBorder="1" applyAlignment="1" applyProtection="1">
      <alignment horizontal="center" vertical="center"/>
    </xf>
    <xf numFmtId="0" fontId="74" fillId="0" borderId="0" xfId="1" applyFont="1" applyFill="1" applyAlignment="1" applyProtection="1">
      <alignment horizontal="center" vertical="center"/>
    </xf>
    <xf numFmtId="0" fontId="78" fillId="5" borderId="64" xfId="1" applyFont="1" applyFill="1" applyBorder="1" applyAlignment="1" applyProtection="1">
      <alignment vertical="center" wrapText="1"/>
    </xf>
    <xf numFmtId="0" fontId="78" fillId="5" borderId="16" xfId="1" applyFont="1" applyFill="1" applyBorder="1" applyAlignment="1" applyProtection="1">
      <alignment horizontal="left" vertical="center" wrapText="1"/>
    </xf>
    <xf numFmtId="49" fontId="74" fillId="2" borderId="33" xfId="1" applyNumberFormat="1" applyFont="1" applyFill="1" applyBorder="1" applyAlignment="1" applyProtection="1">
      <alignment horizontal="center" vertical="center" wrapText="1"/>
      <protection locked="0"/>
    </xf>
    <xf numFmtId="0" fontId="78" fillId="5" borderId="87" xfId="1" applyFont="1" applyFill="1" applyBorder="1" applyAlignment="1" applyProtection="1">
      <alignment vertical="center" wrapText="1"/>
    </xf>
    <xf numFmtId="0" fontId="78" fillId="5" borderId="63" xfId="1" applyFont="1" applyFill="1" applyBorder="1" applyAlignment="1" applyProtection="1">
      <alignment horizontal="left" vertical="center" wrapText="1"/>
    </xf>
    <xf numFmtId="0" fontId="84" fillId="0" borderId="59" xfId="1" applyNumberFormat="1" applyFont="1" applyFill="1" applyBorder="1" applyAlignment="1" applyProtection="1">
      <alignment horizontal="center" vertical="center" wrapText="1"/>
      <protection locked="0"/>
    </xf>
    <xf numFmtId="0" fontId="74" fillId="5" borderId="7" xfId="1" applyNumberFormat="1" applyFont="1" applyFill="1" applyBorder="1" applyAlignment="1" applyProtection="1">
      <alignment horizontal="center" vertical="center" wrapText="1"/>
    </xf>
    <xf numFmtId="49" fontId="74" fillId="2" borderId="1" xfId="1" applyNumberFormat="1" applyFont="1" applyFill="1" applyBorder="1" applyAlignment="1" applyProtection="1">
      <alignment horizontal="center" vertical="center" wrapText="1"/>
      <protection locked="0"/>
    </xf>
    <xf numFmtId="49" fontId="74" fillId="2" borderId="42" xfId="1" applyNumberFormat="1" applyFont="1" applyFill="1" applyBorder="1" applyAlignment="1" applyProtection="1">
      <alignment horizontal="center" vertical="center" wrapText="1"/>
      <protection locked="0"/>
    </xf>
    <xf numFmtId="0" fontId="74" fillId="5" borderId="18" xfId="1" applyFont="1" applyFill="1" applyBorder="1" applyAlignment="1" applyProtection="1">
      <alignment horizontal="center" vertical="center"/>
      <protection locked="0"/>
    </xf>
    <xf numFmtId="0" fontId="74" fillId="5" borderId="2" xfId="1" applyFont="1" applyFill="1" applyBorder="1" applyAlignment="1" applyProtection="1">
      <alignment horizontal="center" vertical="center" wrapText="1"/>
    </xf>
    <xf numFmtId="0" fontId="74" fillId="5" borderId="2" xfId="1" applyFont="1" applyFill="1" applyBorder="1" applyAlignment="1" applyProtection="1">
      <alignment horizontal="center" vertical="center"/>
    </xf>
    <xf numFmtId="0" fontId="106" fillId="5" borderId="64" xfId="1" applyFont="1" applyFill="1" applyBorder="1" applyAlignment="1" applyProtection="1">
      <alignment vertical="center" wrapText="1"/>
    </xf>
    <xf numFmtId="49" fontId="74" fillId="2" borderId="11" xfId="1" applyNumberFormat="1" applyFont="1" applyFill="1" applyBorder="1" applyAlignment="1" applyProtection="1">
      <alignment horizontal="center" vertical="center" wrapText="1"/>
      <protection locked="0"/>
    </xf>
    <xf numFmtId="0" fontId="74" fillId="5" borderId="12" xfId="1" applyNumberFormat="1" applyFont="1" applyFill="1" applyBorder="1" applyAlignment="1" applyProtection="1">
      <alignment horizontal="center" vertical="center" wrapText="1"/>
    </xf>
    <xf numFmtId="49" fontId="74" fillId="2" borderId="9" xfId="1" applyNumberFormat="1" applyFont="1" applyFill="1" applyBorder="1" applyAlignment="1" applyProtection="1">
      <alignment horizontal="center" vertical="center" wrapText="1"/>
      <protection locked="0"/>
    </xf>
    <xf numFmtId="0" fontId="109" fillId="0" borderId="9" xfId="1" applyNumberFormat="1" applyFont="1" applyFill="1" applyBorder="1" applyAlignment="1" applyProtection="1">
      <alignment horizontal="center" vertical="center" wrapText="1"/>
      <protection locked="0"/>
    </xf>
    <xf numFmtId="182" fontId="107" fillId="5" borderId="0" xfId="1" applyNumberFormat="1" applyFont="1" applyFill="1" applyBorder="1" applyAlignment="1" applyProtection="1">
      <alignment horizontal="center" vertical="center" wrapText="1"/>
      <protection locked="0"/>
    </xf>
    <xf numFmtId="0" fontId="107" fillId="5" borderId="0" xfId="1" applyFont="1" applyFill="1" applyBorder="1" applyAlignment="1" applyProtection="1">
      <alignment horizontal="center" vertical="center"/>
      <protection locked="0"/>
    </xf>
    <xf numFmtId="0" fontId="107" fillId="5" borderId="18" xfId="1" applyFont="1" applyFill="1" applyBorder="1" applyAlignment="1" applyProtection="1">
      <alignment horizontal="center" vertical="center"/>
      <protection locked="0"/>
    </xf>
    <xf numFmtId="0" fontId="107" fillId="0" borderId="0" xfId="1" applyFont="1" applyFill="1" applyAlignment="1" applyProtection="1">
      <alignment horizontal="center" vertical="center"/>
    </xf>
    <xf numFmtId="0" fontId="86" fillId="5" borderId="64" xfId="1" applyFont="1" applyFill="1" applyBorder="1" applyAlignment="1" applyProtection="1">
      <alignment vertical="center" wrapText="1"/>
    </xf>
    <xf numFmtId="0" fontId="74" fillId="0" borderId="11" xfId="1" applyNumberFormat="1" applyFont="1" applyFill="1" applyBorder="1" applyAlignment="1" applyProtection="1">
      <alignment horizontal="center" vertical="center" wrapText="1"/>
      <protection locked="0"/>
    </xf>
    <xf numFmtId="0" fontId="74" fillId="0" borderId="9" xfId="1" applyNumberFormat="1" applyFont="1" applyFill="1" applyBorder="1" applyAlignment="1" applyProtection="1">
      <alignment horizontal="center" vertical="center" wrapText="1"/>
      <protection locked="0"/>
    </xf>
    <xf numFmtId="182" fontId="83" fillId="5" borderId="0" xfId="1" applyNumberFormat="1" applyFont="1" applyFill="1" applyBorder="1" applyAlignment="1" applyProtection="1">
      <alignment horizontal="center" vertical="center" wrapText="1"/>
      <protection locked="0"/>
    </xf>
    <xf numFmtId="0" fontId="87" fillId="5" borderId="18" xfId="1" applyFont="1" applyFill="1" applyBorder="1" applyAlignment="1" applyProtection="1">
      <alignment horizontal="center" vertical="center"/>
      <protection locked="0"/>
    </xf>
    <xf numFmtId="0" fontId="86" fillId="8" borderId="87" xfId="1" applyFont="1" applyFill="1" applyBorder="1" applyAlignment="1" applyProtection="1">
      <alignment vertical="center" wrapText="1"/>
    </xf>
    <xf numFmtId="0" fontId="78" fillId="8" borderId="63" xfId="1" applyFont="1" applyFill="1" applyBorder="1" applyAlignment="1" applyProtection="1">
      <alignment horizontal="left" vertical="center" wrapText="1"/>
      <protection locked="0"/>
    </xf>
    <xf numFmtId="0" fontId="74" fillId="0" borderId="50" xfId="1" applyNumberFormat="1" applyFont="1" applyFill="1" applyBorder="1" applyAlignment="1" applyProtection="1">
      <alignment horizontal="center" vertical="center" wrapText="1"/>
      <protection locked="0"/>
    </xf>
    <xf numFmtId="0" fontId="74" fillId="5" borderId="63" xfId="1" applyNumberFormat="1" applyFont="1" applyFill="1" applyBorder="1" applyAlignment="1" applyProtection="1">
      <alignment horizontal="center" vertical="center" wrapText="1"/>
    </xf>
    <xf numFmtId="0" fontId="87" fillId="0" borderId="64" xfId="1" applyNumberFormat="1" applyFont="1" applyFill="1" applyBorder="1" applyAlignment="1" applyProtection="1">
      <alignment horizontal="center" vertical="center" wrapText="1"/>
      <protection locked="0"/>
    </xf>
    <xf numFmtId="0" fontId="87" fillId="0" borderId="8" xfId="1" applyNumberFormat="1" applyFont="1" applyFill="1" applyBorder="1" applyAlignment="1" applyProtection="1">
      <alignment horizontal="center" vertical="center" wrapText="1"/>
      <protection locked="0"/>
    </xf>
    <xf numFmtId="0" fontId="109" fillId="5" borderId="9" xfId="1" applyNumberFormat="1" applyFont="1" applyFill="1" applyBorder="1" applyAlignment="1" applyProtection="1">
      <alignment horizontal="center" vertical="center" wrapText="1"/>
    </xf>
    <xf numFmtId="0" fontId="87" fillId="5" borderId="12" xfId="1" applyNumberFormat="1" applyFont="1" applyFill="1" applyBorder="1" applyAlignment="1" applyProtection="1">
      <alignment horizontal="center" vertical="center" wrapText="1"/>
    </xf>
    <xf numFmtId="182" fontId="108" fillId="5" borderId="0" xfId="1" applyNumberFormat="1" applyFont="1" applyFill="1" applyBorder="1" applyAlignment="1" applyProtection="1">
      <alignment horizontal="center" vertical="center" wrapText="1"/>
      <protection locked="0"/>
    </xf>
    <xf numFmtId="0" fontId="86" fillId="8" borderId="54" xfId="1" applyFont="1" applyFill="1" applyBorder="1" applyAlignment="1" applyProtection="1">
      <alignment vertical="center" wrapText="1"/>
    </xf>
    <xf numFmtId="0" fontId="78" fillId="8" borderId="66" xfId="1" applyFont="1" applyFill="1" applyBorder="1" applyAlignment="1" applyProtection="1">
      <alignment horizontal="left" vertical="center" wrapText="1"/>
      <protection locked="0"/>
    </xf>
    <xf numFmtId="0" fontId="87" fillId="0" borderId="60" xfId="1" applyNumberFormat="1" applyFont="1" applyFill="1" applyBorder="1" applyAlignment="1" applyProtection="1">
      <alignment horizontal="center" vertical="center" wrapText="1"/>
      <protection locked="0"/>
    </xf>
    <xf numFmtId="0" fontId="87" fillId="5" borderId="46" xfId="1" applyNumberFormat="1" applyFont="1" applyFill="1" applyBorder="1" applyAlignment="1" applyProtection="1">
      <alignment horizontal="center" vertical="center" wrapText="1"/>
    </xf>
    <xf numFmtId="0" fontId="250" fillId="5" borderId="24" xfId="1" applyFont="1" applyFill="1" applyBorder="1" applyAlignment="1" applyProtection="1">
      <alignment vertical="center" wrapText="1"/>
    </xf>
    <xf numFmtId="0" fontId="74" fillId="5" borderId="40" xfId="1" applyFont="1" applyFill="1" applyBorder="1" applyAlignment="1" applyProtection="1">
      <alignment horizontal="center" vertical="center" wrapText="1"/>
    </xf>
    <xf numFmtId="49" fontId="87" fillId="5" borderId="53" xfId="1" applyNumberFormat="1" applyFont="1" applyFill="1" applyBorder="1" applyAlignment="1" applyProtection="1">
      <alignment horizontal="center" vertical="center" wrapText="1"/>
    </xf>
    <xf numFmtId="0" fontId="87" fillId="5" borderId="41" xfId="1" applyNumberFormat="1" applyFont="1" applyFill="1" applyBorder="1" applyAlignment="1" applyProtection="1">
      <alignment horizontal="center" vertical="center" wrapText="1"/>
    </xf>
    <xf numFmtId="49" fontId="87" fillId="0" borderId="58" xfId="1" applyNumberFormat="1" applyFont="1" applyFill="1" applyBorder="1" applyAlignment="1" applyProtection="1">
      <alignment horizontal="center" vertical="center" wrapText="1"/>
      <protection locked="0"/>
    </xf>
    <xf numFmtId="0" fontId="87" fillId="5" borderId="40" xfId="1" applyNumberFormat="1" applyFont="1" applyFill="1" applyBorder="1" applyAlignment="1" applyProtection="1">
      <alignment horizontal="center" vertical="center" wrapText="1"/>
    </xf>
    <xf numFmtId="49" fontId="87" fillId="0" borderId="53" xfId="1" applyNumberFormat="1" applyFont="1" applyFill="1" applyBorder="1" applyAlignment="1" applyProtection="1">
      <alignment horizontal="center" vertical="center" wrapText="1"/>
      <protection locked="0"/>
    </xf>
    <xf numFmtId="0" fontId="109" fillId="0" borderId="22" xfId="1" applyNumberFormat="1" applyFont="1" applyFill="1" applyBorder="1" applyAlignment="1" applyProtection="1">
      <alignment horizontal="center" vertical="center" wrapText="1"/>
      <protection locked="0"/>
    </xf>
    <xf numFmtId="0" fontId="87" fillId="5" borderId="2" xfId="1" applyFont="1" applyFill="1" applyBorder="1" applyAlignment="1" applyProtection="1">
      <alignment horizontal="center" vertical="center" wrapText="1"/>
    </xf>
    <xf numFmtId="187" fontId="87" fillId="5" borderId="5" xfId="1" applyNumberFormat="1" applyFont="1" applyFill="1" applyBorder="1" applyAlignment="1" applyProtection="1">
      <alignment horizontal="center" vertical="center"/>
    </xf>
    <xf numFmtId="49" fontId="87" fillId="5" borderId="9" xfId="1" applyNumberFormat="1" applyFont="1" applyFill="1" applyBorder="1" applyAlignment="1" applyProtection="1">
      <alignment horizontal="center" vertical="center"/>
    </xf>
    <xf numFmtId="0" fontId="87" fillId="5" borderId="2" xfId="1" applyFont="1" applyFill="1" applyBorder="1" applyAlignment="1" applyProtection="1">
      <alignment horizontal="center" vertical="center"/>
    </xf>
    <xf numFmtId="0" fontId="87" fillId="5" borderId="2" xfId="1" applyNumberFormat="1" applyFont="1" applyFill="1" applyBorder="1" applyAlignment="1" applyProtection="1">
      <alignment horizontal="center" vertical="center"/>
    </xf>
    <xf numFmtId="0" fontId="86" fillId="5" borderId="24" xfId="1" applyFont="1" applyFill="1" applyBorder="1" applyAlignment="1" applyProtection="1">
      <alignment vertical="center" wrapText="1"/>
    </xf>
    <xf numFmtId="0" fontId="87" fillId="5" borderId="0" xfId="1" applyFont="1" applyFill="1" applyBorder="1" applyAlignment="1" applyProtection="1">
      <alignment horizontal="center" vertical="center"/>
    </xf>
    <xf numFmtId="0" fontId="87" fillId="2" borderId="50" xfId="1" applyNumberFormat="1" applyFont="1" applyFill="1" applyBorder="1" applyAlignment="1" applyProtection="1">
      <alignment horizontal="center" vertical="center" wrapText="1"/>
      <protection locked="0"/>
    </xf>
    <xf numFmtId="0" fontId="87" fillId="5" borderId="51" xfId="1" applyNumberFormat="1" applyFont="1" applyFill="1" applyBorder="1" applyAlignment="1" applyProtection="1">
      <alignment horizontal="center" vertical="center" wrapText="1"/>
    </xf>
    <xf numFmtId="0" fontId="87" fillId="5" borderId="17" xfId="1" applyNumberFormat="1" applyFont="1" applyFill="1" applyBorder="1" applyAlignment="1" applyProtection="1">
      <alignment horizontal="center" vertical="center" wrapText="1"/>
    </xf>
    <xf numFmtId="0" fontId="87" fillId="5" borderId="52" xfId="1" applyNumberFormat="1" applyFont="1" applyFill="1" applyBorder="1" applyAlignment="1" applyProtection="1">
      <alignment horizontal="center" vertical="center" wrapText="1"/>
    </xf>
    <xf numFmtId="0" fontId="109" fillId="5" borderId="50" xfId="1" applyNumberFormat="1" applyFont="1" applyFill="1" applyBorder="1" applyAlignment="1" applyProtection="1">
      <alignment horizontal="center" vertical="center" wrapText="1"/>
    </xf>
    <xf numFmtId="0" fontId="74" fillId="5" borderId="4" xfId="1" applyFont="1" applyFill="1" applyBorder="1" applyAlignment="1" applyProtection="1">
      <alignment horizontal="center" vertical="center" wrapText="1"/>
    </xf>
    <xf numFmtId="0" fontId="87" fillId="5" borderId="22" xfId="1" applyNumberFormat="1" applyFont="1" applyFill="1" applyBorder="1" applyAlignment="1" applyProtection="1">
      <alignment horizontal="center" vertical="center" wrapText="1"/>
    </xf>
    <xf numFmtId="49" fontId="87" fillId="0" borderId="18" xfId="1" applyNumberFormat="1" applyFont="1" applyFill="1" applyBorder="1" applyAlignment="1" applyProtection="1">
      <alignment horizontal="center" vertical="center" wrapText="1"/>
      <protection locked="0"/>
    </xf>
    <xf numFmtId="0" fontId="87" fillId="5" borderId="13" xfId="1" applyNumberFormat="1" applyFont="1" applyFill="1" applyBorder="1" applyAlignment="1" applyProtection="1">
      <alignment horizontal="center" vertical="center" wrapText="1"/>
    </xf>
    <xf numFmtId="49" fontId="87" fillId="0" borderId="24" xfId="1" applyNumberFormat="1" applyFont="1" applyFill="1" applyBorder="1" applyAlignment="1" applyProtection="1">
      <alignment horizontal="center" vertical="center" wrapText="1"/>
      <protection locked="0"/>
    </xf>
    <xf numFmtId="0" fontId="87" fillId="5" borderId="25" xfId="1" applyNumberFormat="1" applyFont="1" applyFill="1" applyBorder="1" applyAlignment="1" applyProtection="1">
      <alignment horizontal="center" vertical="center" wrapText="1"/>
    </xf>
    <xf numFmtId="0" fontId="74" fillId="5" borderId="17" xfId="1" applyFont="1" applyFill="1" applyBorder="1" applyAlignment="1" applyProtection="1">
      <alignment horizontal="center" vertical="center" wrapText="1"/>
    </xf>
    <xf numFmtId="0" fontId="87" fillId="2" borderId="24" xfId="1" applyNumberFormat="1" applyFont="1" applyFill="1" applyBorder="1" applyAlignment="1" applyProtection="1">
      <alignment horizontal="center" vertical="center" wrapText="1"/>
      <protection locked="0"/>
    </xf>
    <xf numFmtId="49" fontId="87" fillId="2" borderId="18" xfId="1" applyNumberFormat="1" applyFont="1" applyFill="1" applyBorder="1" applyAlignment="1" applyProtection="1">
      <alignment horizontal="center" vertical="center" wrapText="1"/>
      <protection locked="0"/>
    </xf>
    <xf numFmtId="49" fontId="87" fillId="2" borderId="24" xfId="1" applyNumberFormat="1" applyFont="1" applyFill="1" applyBorder="1" applyAlignment="1" applyProtection="1">
      <alignment horizontal="center" vertical="center" wrapText="1"/>
      <protection locked="0"/>
    </xf>
    <xf numFmtId="0" fontId="55" fillId="5" borderId="4" xfId="1" applyFont="1" applyFill="1" applyBorder="1" applyAlignment="1" applyProtection="1">
      <alignment horizontal="center" vertical="center" wrapText="1"/>
    </xf>
    <xf numFmtId="49" fontId="87" fillId="0" borderId="32" xfId="1" applyNumberFormat="1" applyFont="1" applyFill="1" applyBorder="1" applyAlignment="1" applyProtection="1">
      <alignment horizontal="center" vertical="center" wrapText="1"/>
      <protection locked="0"/>
    </xf>
    <xf numFmtId="0" fontId="87" fillId="5" borderId="4" xfId="1" applyNumberFormat="1" applyFont="1" applyFill="1" applyBorder="1" applyAlignment="1" applyProtection="1">
      <alignment horizontal="center" vertical="center" wrapText="1"/>
    </xf>
    <xf numFmtId="49" fontId="87" fillId="0" borderId="22" xfId="1" applyNumberFormat="1" applyFont="1" applyFill="1" applyBorder="1" applyAlignment="1" applyProtection="1">
      <alignment horizontal="center" vertical="center" wrapText="1"/>
      <protection locked="0"/>
    </xf>
    <xf numFmtId="49" fontId="87" fillId="2" borderId="20" xfId="1" applyNumberFormat="1" applyFont="1" applyFill="1" applyBorder="1" applyAlignment="1" applyProtection="1">
      <alignment horizontal="center" vertical="center" wrapText="1"/>
      <protection locked="0"/>
    </xf>
    <xf numFmtId="49" fontId="87" fillId="2" borderId="50" xfId="1" applyNumberFormat="1" applyFont="1" applyFill="1" applyBorder="1" applyAlignment="1" applyProtection="1">
      <alignment horizontal="center" vertical="center" wrapText="1"/>
      <protection locked="0"/>
    </xf>
    <xf numFmtId="0" fontId="55" fillId="5" borderId="13" xfId="1" applyFont="1" applyFill="1" applyBorder="1" applyAlignment="1" applyProtection="1">
      <alignment horizontal="center" vertical="center" wrapText="1"/>
    </xf>
    <xf numFmtId="0" fontId="74" fillId="5" borderId="13" xfId="1" applyFont="1" applyFill="1" applyBorder="1" applyAlignment="1" applyProtection="1">
      <alignment horizontal="center" vertical="center" wrapText="1"/>
    </xf>
    <xf numFmtId="0" fontId="109" fillId="5" borderId="24" xfId="1" applyNumberFormat="1" applyFont="1" applyFill="1" applyBorder="1" applyAlignment="1" applyProtection="1">
      <alignment horizontal="center" vertical="center" wrapText="1"/>
    </xf>
    <xf numFmtId="49" fontId="87" fillId="5" borderId="22" xfId="1" applyNumberFormat="1" applyFont="1" applyFill="1" applyBorder="1" applyAlignment="1" applyProtection="1">
      <alignment horizontal="center" vertical="center" wrapText="1"/>
    </xf>
    <xf numFmtId="0" fontId="74" fillId="5" borderId="5" xfId="1" applyFont="1" applyFill="1" applyBorder="1" applyAlignment="1" applyProtection="1">
      <alignment horizontal="center" vertical="center" wrapText="1"/>
    </xf>
    <xf numFmtId="0" fontId="87" fillId="2" borderId="64" xfId="1" applyNumberFormat="1" applyFont="1" applyFill="1" applyBorder="1" applyAlignment="1" applyProtection="1">
      <alignment horizontal="center" vertical="center" wrapText="1"/>
      <protection locked="0"/>
    </xf>
    <xf numFmtId="0" fontId="87" fillId="5" borderId="5" xfId="1" applyNumberFormat="1" applyFont="1" applyFill="1" applyBorder="1" applyAlignment="1" applyProtection="1">
      <alignment horizontal="center" vertical="center" wrapText="1"/>
    </xf>
    <xf numFmtId="0" fontId="74" fillId="0" borderId="5" xfId="1" applyFont="1" applyFill="1" applyBorder="1" applyAlignment="1" applyProtection="1">
      <alignment horizontal="center" vertical="center" wrapText="1"/>
      <protection locked="0"/>
    </xf>
    <xf numFmtId="0" fontId="78" fillId="5" borderId="24" xfId="1" applyFont="1" applyFill="1" applyBorder="1" applyAlignment="1" applyProtection="1">
      <alignment vertical="center" wrapText="1"/>
    </xf>
    <xf numFmtId="0" fontId="74" fillId="2" borderId="50" xfId="1" applyNumberFormat="1" applyFont="1" applyFill="1" applyBorder="1" applyAlignment="1" applyProtection="1">
      <alignment horizontal="center" vertical="center" wrapText="1"/>
      <protection locked="0"/>
    </xf>
    <xf numFmtId="0" fontId="74" fillId="5" borderId="51" xfId="1" applyNumberFormat="1" applyFont="1" applyFill="1" applyBorder="1" applyAlignment="1" applyProtection="1">
      <alignment horizontal="center" vertical="center" wrapText="1"/>
    </xf>
    <xf numFmtId="0" fontId="74" fillId="5" borderId="17" xfId="1" applyNumberFormat="1" applyFont="1" applyFill="1" applyBorder="1" applyAlignment="1" applyProtection="1">
      <alignment horizontal="center" vertical="center" wrapText="1"/>
    </xf>
    <xf numFmtId="0" fontId="86" fillId="5" borderId="23" xfId="1" applyFont="1" applyFill="1" applyBorder="1" applyAlignment="1" applyProtection="1">
      <alignment vertical="center" wrapText="1"/>
    </xf>
    <xf numFmtId="0" fontId="87" fillId="5" borderId="45" xfId="1" applyNumberFormat="1" applyFont="1" applyFill="1" applyBorder="1" applyAlignment="1" applyProtection="1">
      <alignment horizontal="center" vertical="center" wrapText="1"/>
    </xf>
    <xf numFmtId="0" fontId="250" fillId="5" borderId="53" xfId="1" applyFont="1" applyFill="1" applyBorder="1" applyAlignment="1" applyProtection="1">
      <alignment vertical="center" wrapText="1"/>
    </xf>
    <xf numFmtId="0" fontId="74" fillId="5" borderId="29" xfId="1" applyFont="1" applyFill="1" applyBorder="1" applyAlignment="1" applyProtection="1">
      <alignment horizontal="center" vertical="center" wrapText="1"/>
    </xf>
    <xf numFmtId="0" fontId="87" fillId="2" borderId="1" xfId="1" applyFont="1" applyFill="1" applyBorder="1" applyAlignment="1" applyProtection="1">
      <alignment horizontal="center" vertical="center" wrapText="1"/>
      <protection locked="0"/>
    </xf>
    <xf numFmtId="0" fontId="87" fillId="5" borderId="7" xfId="1" applyNumberFormat="1" applyFont="1" applyFill="1" applyBorder="1" applyAlignment="1" applyProtection="1">
      <alignment horizontal="center" vertical="center" wrapText="1"/>
    </xf>
    <xf numFmtId="0" fontId="103" fillId="5" borderId="24" xfId="1" applyFont="1" applyFill="1" applyBorder="1" applyAlignment="1" applyProtection="1">
      <alignment vertical="center" textRotation="255" wrapText="1"/>
    </xf>
    <xf numFmtId="0" fontId="74" fillId="0" borderId="64" xfId="1" applyNumberFormat="1" applyFont="1" applyFill="1" applyBorder="1" applyAlignment="1" applyProtection="1">
      <alignment horizontal="center" vertical="center" wrapText="1"/>
      <protection locked="0"/>
    </xf>
    <xf numFmtId="0" fontId="74" fillId="5" borderId="5" xfId="1" applyNumberFormat="1" applyFont="1" applyFill="1" applyBorder="1" applyAlignment="1" applyProtection="1">
      <alignment horizontal="center" vertical="center" wrapText="1"/>
    </xf>
    <xf numFmtId="0" fontId="83" fillId="5" borderId="0" xfId="1" applyFont="1" applyFill="1" applyBorder="1" applyAlignment="1" applyProtection="1">
      <alignment horizontal="center" vertical="center"/>
      <protection locked="0"/>
    </xf>
    <xf numFmtId="0" fontId="83" fillId="5" borderId="18" xfId="1" applyFont="1" applyFill="1" applyBorder="1" applyAlignment="1" applyProtection="1">
      <alignment horizontal="center" vertical="center"/>
      <protection locked="0"/>
    </xf>
    <xf numFmtId="0" fontId="83" fillId="5" borderId="2" xfId="1" applyFont="1" applyFill="1" applyBorder="1" applyAlignment="1" applyProtection="1">
      <alignment horizontal="center" vertical="center" wrapText="1"/>
    </xf>
    <xf numFmtId="187" fontId="83" fillId="5" borderId="5" xfId="1" applyNumberFormat="1" applyFont="1" applyFill="1" applyBorder="1" applyAlignment="1" applyProtection="1">
      <alignment horizontal="center" vertical="center"/>
    </xf>
    <xf numFmtId="49" fontId="83" fillId="5" borderId="9" xfId="1" applyNumberFormat="1" applyFont="1" applyFill="1" applyBorder="1" applyAlignment="1" applyProtection="1">
      <alignment horizontal="center" vertical="center"/>
    </xf>
    <xf numFmtId="0" fontId="83" fillId="5" borderId="3" xfId="1" applyFont="1" applyFill="1" applyBorder="1" applyAlignment="1" applyProtection="1">
      <alignment horizontal="center" vertical="center"/>
    </xf>
    <xf numFmtId="0" fontId="83" fillId="5" borderId="2" xfId="1" applyFont="1" applyFill="1" applyBorder="1" applyAlignment="1" applyProtection="1">
      <alignment horizontal="center" vertical="center"/>
    </xf>
    <xf numFmtId="0" fontId="83" fillId="0" borderId="0" xfId="1" applyFont="1" applyFill="1" applyAlignment="1" applyProtection="1">
      <alignment horizontal="center" vertical="center"/>
    </xf>
    <xf numFmtId="0" fontId="86" fillId="5" borderId="24" xfId="1" applyFont="1" applyFill="1" applyBorder="1" applyAlignment="1" applyProtection="1">
      <alignment vertical="center" textRotation="255" wrapText="1"/>
    </xf>
    <xf numFmtId="0" fontId="87" fillId="2" borderId="11" xfId="1" applyFont="1" applyFill="1" applyBorder="1" applyAlignment="1" applyProtection="1">
      <alignment horizontal="center" vertical="center" wrapText="1"/>
      <protection locked="0"/>
    </xf>
    <xf numFmtId="0" fontId="87" fillId="2" borderId="9" xfId="1" applyFont="1" applyFill="1" applyBorder="1" applyAlignment="1" applyProtection="1">
      <alignment horizontal="center" vertical="center" wrapText="1"/>
      <protection locked="0"/>
    </xf>
    <xf numFmtId="49" fontId="87" fillId="2" borderId="11" xfId="1" applyNumberFormat="1" applyFont="1" applyFill="1" applyBorder="1" applyAlignment="1" applyProtection="1">
      <alignment horizontal="center" vertical="center" wrapText="1"/>
      <protection locked="0"/>
    </xf>
    <xf numFmtId="9" fontId="74" fillId="0" borderId="64" xfId="1" applyNumberFormat="1" applyFont="1" applyFill="1" applyBorder="1" applyAlignment="1" applyProtection="1">
      <alignment horizontal="center" vertical="center" wrapText="1"/>
      <protection locked="0"/>
    </xf>
    <xf numFmtId="0" fontId="78" fillId="5" borderId="24" xfId="1" applyFont="1" applyFill="1" applyBorder="1" applyAlignment="1" applyProtection="1">
      <alignment vertical="center" textRotation="255" wrapText="1"/>
    </xf>
    <xf numFmtId="0" fontId="55" fillId="5" borderId="5" xfId="1" applyFont="1" applyFill="1" applyBorder="1" applyAlignment="1" applyProtection="1">
      <alignment horizontal="center" vertical="center" wrapText="1"/>
    </xf>
    <xf numFmtId="17" fontId="83" fillId="0" borderId="64" xfId="1" applyNumberFormat="1" applyFont="1" applyFill="1" applyBorder="1" applyAlignment="1" applyProtection="1">
      <alignment horizontal="center" vertical="center" wrapText="1"/>
      <protection locked="0"/>
    </xf>
    <xf numFmtId="0" fontId="83" fillId="0" borderId="64" xfId="1" applyNumberFormat="1" applyFont="1" applyFill="1" applyBorder="1" applyAlignment="1" applyProtection="1">
      <alignment horizontal="center" vertical="center" wrapText="1"/>
      <protection locked="0"/>
    </xf>
    <xf numFmtId="0" fontId="87" fillId="5" borderId="5" xfId="1" applyFont="1" applyFill="1" applyBorder="1" applyAlignment="1" applyProtection="1">
      <alignment horizontal="center" vertical="center" wrapText="1"/>
    </xf>
    <xf numFmtId="0" fontId="86" fillId="5" borderId="23" xfId="1" applyFont="1" applyFill="1" applyBorder="1" applyAlignment="1" applyProtection="1">
      <alignment vertical="center" textRotation="255" wrapText="1"/>
    </xf>
    <xf numFmtId="0" fontId="74" fillId="0" borderId="45" xfId="1" applyFont="1" applyFill="1" applyBorder="1" applyAlignment="1" applyProtection="1">
      <alignment horizontal="center" vertical="center" wrapText="1"/>
      <protection locked="0"/>
    </xf>
    <xf numFmtId="49" fontId="86" fillId="5" borderId="59" xfId="1" applyNumberFormat="1" applyFont="1" applyFill="1" applyBorder="1" applyAlignment="1" applyProtection="1">
      <alignment vertical="center"/>
    </xf>
    <xf numFmtId="49" fontId="86" fillId="5" borderId="30" xfId="1" applyNumberFormat="1" applyFont="1" applyFill="1" applyBorder="1" applyAlignment="1" applyProtection="1">
      <alignment vertical="center"/>
    </xf>
    <xf numFmtId="0" fontId="86" fillId="5" borderId="59" xfId="1" applyNumberFormat="1" applyFont="1" applyFill="1" applyBorder="1" applyAlignment="1" applyProtection="1">
      <alignment horizontal="right" vertical="center" wrapText="1"/>
    </xf>
    <xf numFmtId="0" fontId="86" fillId="5" borderId="57" xfId="1" applyNumberFormat="1" applyFont="1" applyFill="1" applyBorder="1" applyAlignment="1" applyProtection="1">
      <alignment vertical="center" wrapText="1"/>
    </xf>
    <xf numFmtId="195" fontId="111" fillId="3" borderId="30" xfId="1" applyNumberFormat="1" applyFont="1" applyFill="1" applyBorder="1" applyAlignment="1" applyProtection="1">
      <alignment vertical="center" wrapText="1"/>
      <protection locked="0"/>
    </xf>
    <xf numFmtId="0" fontId="111" fillId="5" borderId="30" xfId="1" applyNumberFormat="1" applyFont="1" applyFill="1" applyBorder="1" applyAlignment="1" applyProtection="1">
      <alignment vertical="center" wrapText="1"/>
    </xf>
    <xf numFmtId="0" fontId="111" fillId="3" borderId="59" xfId="1" applyNumberFormat="1" applyFont="1" applyFill="1" applyBorder="1" applyAlignment="1" applyProtection="1">
      <alignment vertical="center" wrapText="1"/>
      <protection locked="0"/>
    </xf>
    <xf numFmtId="0" fontId="111" fillId="5" borderId="57" xfId="1" applyNumberFormat="1" applyFont="1" applyFill="1" applyBorder="1" applyAlignment="1" applyProtection="1">
      <alignment vertical="center" wrapText="1"/>
    </xf>
    <xf numFmtId="0" fontId="111" fillId="3" borderId="30" xfId="1" applyNumberFormat="1" applyFont="1" applyFill="1" applyBorder="1" applyAlignment="1" applyProtection="1">
      <alignment vertical="center" wrapText="1"/>
      <protection locked="0"/>
    </xf>
    <xf numFmtId="188" fontId="87" fillId="5" borderId="9" xfId="1" applyNumberFormat="1" applyFont="1" applyFill="1" applyBorder="1" applyAlignment="1" applyProtection="1">
      <alignment horizontal="center" vertical="center"/>
    </xf>
    <xf numFmtId="182" fontId="87" fillId="5" borderId="0" xfId="1" applyNumberFormat="1" applyFont="1" applyFill="1" applyBorder="1" applyAlignment="1" applyProtection="1">
      <alignment vertical="center" wrapText="1"/>
      <protection locked="0"/>
    </xf>
    <xf numFmtId="0" fontId="87" fillId="5" borderId="0" xfId="1" applyFont="1" applyFill="1" applyAlignment="1" applyProtection="1">
      <alignment horizontal="center" vertical="center"/>
      <protection locked="0"/>
    </xf>
    <xf numFmtId="0" fontId="87" fillId="5" borderId="0" xfId="1" applyFont="1" applyFill="1" applyAlignment="1" applyProtection="1">
      <alignment horizontal="center" vertical="center"/>
    </xf>
    <xf numFmtId="0" fontId="87" fillId="5" borderId="21" xfId="1" applyFont="1" applyFill="1" applyBorder="1" applyAlignment="1" applyProtection="1">
      <alignment vertical="center" textRotation="255" wrapText="1"/>
    </xf>
    <xf numFmtId="49" fontId="86" fillId="5" borderId="60" xfId="1" applyNumberFormat="1" applyFont="1" applyFill="1" applyBorder="1" applyAlignment="1" applyProtection="1">
      <alignment vertical="center"/>
    </xf>
    <xf numFmtId="49" fontId="86" fillId="5" borderId="56" xfId="1" applyNumberFormat="1" applyFont="1" applyFill="1" applyBorder="1" applyAlignment="1" applyProtection="1">
      <alignment vertical="center"/>
    </xf>
    <xf numFmtId="0" fontId="86" fillId="5" borderId="60" xfId="1" applyNumberFormat="1" applyFont="1" applyFill="1" applyBorder="1" applyAlignment="1" applyProtection="1">
      <alignment vertical="center" wrapText="1"/>
    </xf>
    <xf numFmtId="0" fontId="86" fillId="5" borderId="48" xfId="1" applyNumberFormat="1" applyFont="1" applyFill="1" applyBorder="1" applyAlignment="1" applyProtection="1">
      <alignment vertical="center" wrapText="1"/>
    </xf>
    <xf numFmtId="0" fontId="86" fillId="5" borderId="56" xfId="1" applyNumberFormat="1" applyFont="1" applyFill="1" applyBorder="1" applyAlignment="1" applyProtection="1">
      <alignment vertical="center" wrapText="1"/>
    </xf>
    <xf numFmtId="188" fontId="87" fillId="5" borderId="9" xfId="1" applyNumberFormat="1" applyFont="1" applyFill="1" applyBorder="1" applyAlignment="1" applyProtection="1">
      <alignment horizontal="center" vertical="center" wrapText="1"/>
    </xf>
    <xf numFmtId="49" fontId="86" fillId="0" borderId="54" xfId="1" applyNumberFormat="1" applyFont="1" applyFill="1" applyBorder="1" applyAlignment="1" applyProtection="1">
      <alignment vertical="center"/>
      <protection locked="0"/>
    </xf>
    <xf numFmtId="49" fontId="86" fillId="0" borderId="66" xfId="1" applyNumberFormat="1" applyFont="1" applyFill="1" applyBorder="1" applyAlignment="1" applyProtection="1">
      <alignment vertical="center"/>
      <protection locked="0"/>
    </xf>
    <xf numFmtId="0" fontId="86" fillId="5" borderId="61" xfId="1" applyNumberFormat="1" applyFont="1" applyFill="1" applyBorder="1" applyAlignment="1" applyProtection="1">
      <alignment vertical="center" wrapText="1"/>
    </xf>
    <xf numFmtId="188" fontId="87" fillId="5" borderId="2" xfId="1" applyNumberFormat="1" applyFont="1" applyFill="1" applyBorder="1" applyAlignment="1" applyProtection="1">
      <alignment horizontal="center" vertical="center" wrapText="1"/>
    </xf>
    <xf numFmtId="9" fontId="87" fillId="5" borderId="0" xfId="1" applyNumberFormat="1" applyFont="1" applyFill="1" applyAlignment="1" applyProtection="1">
      <alignment horizontal="center" vertical="center"/>
      <protection locked="0"/>
    </xf>
    <xf numFmtId="188" fontId="87" fillId="5" borderId="0" xfId="1" applyNumberFormat="1" applyFont="1" applyFill="1" applyAlignment="1" applyProtection="1">
      <alignment horizontal="center" vertical="center"/>
      <protection locked="0"/>
    </xf>
    <xf numFmtId="182" fontId="87" fillId="5" borderId="0" xfId="1" applyNumberFormat="1" applyFont="1" applyFill="1" applyAlignment="1" applyProtection="1">
      <alignment horizontal="center" vertical="center"/>
      <protection locked="0"/>
    </xf>
    <xf numFmtId="0" fontId="86" fillId="5" borderId="2" xfId="1" applyFont="1" applyFill="1" applyBorder="1" applyAlignment="1" applyProtection="1">
      <alignment horizontal="left" vertical="center"/>
    </xf>
    <xf numFmtId="0" fontId="86" fillId="5" borderId="2" xfId="1" applyFont="1" applyFill="1" applyBorder="1" applyAlignment="1" applyProtection="1">
      <alignment horizontal="center" vertical="center" wrapText="1"/>
    </xf>
    <xf numFmtId="182" fontId="87" fillId="5" borderId="5" xfId="1" applyNumberFormat="1" applyFont="1" applyFill="1" applyBorder="1" applyAlignment="1" applyProtection="1">
      <alignment horizontal="center" vertical="center"/>
    </xf>
    <xf numFmtId="182" fontId="87" fillId="5" borderId="9" xfId="1" applyNumberFormat="1" applyFont="1" applyFill="1" applyBorder="1" applyAlignment="1" applyProtection="1">
      <alignment vertical="center"/>
    </xf>
    <xf numFmtId="0" fontId="86" fillId="5" borderId="9" xfId="1" applyFont="1" applyFill="1" applyBorder="1" applyAlignment="1" applyProtection="1">
      <alignment horizontal="center" vertical="center" wrapText="1"/>
    </xf>
    <xf numFmtId="0" fontId="108" fillId="5" borderId="0" xfId="1" applyFont="1" applyFill="1" applyAlignment="1" applyProtection="1">
      <alignment horizontal="center" vertical="center"/>
      <protection locked="0"/>
    </xf>
    <xf numFmtId="188" fontId="108" fillId="5" borderId="0" xfId="1" applyNumberFormat="1" applyFont="1" applyFill="1" applyAlignment="1" applyProtection="1">
      <alignment horizontal="center" vertical="center"/>
      <protection locked="0"/>
    </xf>
    <xf numFmtId="182" fontId="108" fillId="5" borderId="0" xfId="1" applyNumberFormat="1" applyFont="1" applyFill="1" applyAlignment="1" applyProtection="1">
      <alignment horizontal="center" vertical="center"/>
      <protection locked="0"/>
    </xf>
    <xf numFmtId="0" fontId="108" fillId="0" borderId="0" xfId="1" applyFont="1" applyFill="1" applyAlignment="1" applyProtection="1">
      <alignment horizontal="center" vertical="center"/>
    </xf>
    <xf numFmtId="14" fontId="87" fillId="5" borderId="0" xfId="1" applyNumberFormat="1" applyFont="1" applyFill="1" applyAlignment="1" applyProtection="1">
      <alignment horizontal="center" vertical="center"/>
      <protection locked="0"/>
    </xf>
    <xf numFmtId="177" fontId="87" fillId="5" borderId="0" xfId="1" applyNumberFormat="1" applyFont="1" applyFill="1" applyAlignment="1" applyProtection="1">
      <alignment horizontal="center" vertical="center"/>
      <protection locked="0"/>
    </xf>
    <xf numFmtId="0" fontId="113" fillId="5" borderId="0" xfId="1" applyFont="1" applyFill="1" applyBorder="1" applyAlignment="1" applyProtection="1"/>
    <xf numFmtId="0" fontId="87" fillId="5" borderId="0" xfId="1" applyFont="1" applyFill="1" applyBorder="1" applyAlignment="1" applyProtection="1"/>
    <xf numFmtId="0" fontId="87" fillId="5" borderId="0" xfId="1" applyFont="1" applyFill="1" applyBorder="1" applyAlignment="1" applyProtection="1">
      <alignment horizontal="center"/>
    </xf>
    <xf numFmtId="188" fontId="87" fillId="5" borderId="0" xfId="1" applyNumberFormat="1" applyFont="1" applyFill="1" applyBorder="1" applyAlignment="1" applyProtection="1">
      <alignment horizontal="center"/>
    </xf>
    <xf numFmtId="182" fontId="87" fillId="5" borderId="0" xfId="1" applyNumberFormat="1" applyFont="1" applyFill="1" applyBorder="1" applyAlignment="1" applyProtection="1"/>
    <xf numFmtId="0" fontId="87" fillId="5" borderId="0" xfId="1" applyFont="1" applyFill="1" applyBorder="1" applyAlignment="1" applyProtection="1">
      <protection locked="0"/>
    </xf>
    <xf numFmtId="9" fontId="74" fillId="5" borderId="0" xfId="1" applyNumberFormat="1" applyFont="1" applyFill="1" applyBorder="1" applyAlignment="1" applyProtection="1">
      <alignment horizontal="center" vertical="center" wrapText="1"/>
      <protection locked="0"/>
    </xf>
    <xf numFmtId="0" fontId="78" fillId="5" borderId="26" xfId="1" applyNumberFormat="1" applyFont="1" applyFill="1" applyBorder="1" applyAlignment="1" applyProtection="1">
      <alignment vertical="center" wrapText="1"/>
    </xf>
    <xf numFmtId="0" fontId="78" fillId="5" borderId="58" xfId="1" applyNumberFormat="1" applyFont="1" applyFill="1" applyBorder="1" applyAlignment="1" applyProtection="1">
      <alignment vertical="center" wrapText="1"/>
    </xf>
    <xf numFmtId="189" fontId="74" fillId="5" borderId="42" xfId="1" applyNumberFormat="1" applyFont="1" applyFill="1" applyBorder="1" applyAlignment="1" applyProtection="1">
      <alignment horizontal="center" vertical="center" wrapText="1"/>
    </xf>
    <xf numFmtId="189" fontId="74" fillId="5" borderId="6" xfId="1" applyNumberFormat="1" applyFont="1" applyFill="1" applyBorder="1" applyAlignment="1" applyProtection="1">
      <alignment horizontal="center" vertical="center" wrapText="1"/>
    </xf>
    <xf numFmtId="49" fontId="74" fillId="5" borderId="0" xfId="1" applyNumberFormat="1" applyFont="1" applyFill="1" applyBorder="1" applyAlignment="1" applyProtection="1">
      <alignment horizontal="center" vertical="center"/>
      <protection locked="0"/>
    </xf>
    <xf numFmtId="49" fontId="74" fillId="5" borderId="0" xfId="1" applyNumberFormat="1" applyFont="1" applyFill="1" applyAlignment="1" applyProtection="1">
      <alignment horizontal="center" vertical="center"/>
      <protection locked="0"/>
    </xf>
    <xf numFmtId="49" fontId="74" fillId="0" borderId="0" xfId="1" applyNumberFormat="1" applyFont="1" applyFill="1" applyAlignment="1" applyProtection="1">
      <alignment horizontal="center" vertical="center"/>
    </xf>
    <xf numFmtId="0" fontId="78" fillId="5" borderId="31" xfId="1" applyNumberFormat="1" applyFont="1" applyFill="1" applyBorder="1" applyAlignment="1" applyProtection="1">
      <alignment vertical="center" wrapText="1"/>
    </xf>
    <xf numFmtId="0" fontId="78" fillId="5" borderId="18" xfId="1" applyNumberFormat="1" applyFont="1" applyFill="1" applyBorder="1" applyAlignment="1" applyProtection="1">
      <alignment vertical="center" wrapText="1"/>
    </xf>
    <xf numFmtId="0" fontId="74" fillId="5" borderId="32" xfId="1" applyNumberFormat="1" applyFont="1" applyFill="1" applyBorder="1" applyAlignment="1" applyProtection="1">
      <alignment horizontal="center" vertical="center" wrapText="1"/>
    </xf>
    <xf numFmtId="0" fontId="74" fillId="0" borderId="10" xfId="1" applyNumberFormat="1" applyFont="1" applyFill="1" applyBorder="1" applyAlignment="1" applyProtection="1">
      <alignment horizontal="center" vertical="center" wrapText="1"/>
      <protection locked="0"/>
    </xf>
    <xf numFmtId="0" fontId="74" fillId="0" borderId="4" xfId="1" applyNumberFormat="1" applyFont="1" applyFill="1" applyBorder="1" applyAlignment="1" applyProtection="1">
      <alignment horizontal="center" vertical="center" wrapText="1"/>
      <protection locked="0"/>
    </xf>
    <xf numFmtId="0" fontId="74" fillId="0" borderId="25" xfId="1" applyNumberFormat="1" applyFont="1" applyFill="1" applyBorder="1" applyAlignment="1" applyProtection="1">
      <alignment horizontal="center" vertical="center" wrapText="1"/>
      <protection locked="0"/>
    </xf>
    <xf numFmtId="0" fontId="74" fillId="5" borderId="0" xfId="1" applyFont="1" applyFill="1" applyAlignment="1" applyProtection="1">
      <alignment horizontal="center" vertical="center"/>
      <protection locked="0"/>
    </xf>
    <xf numFmtId="0" fontId="78" fillId="5" borderId="54" xfId="1" applyNumberFormat="1" applyFont="1" applyFill="1" applyBorder="1" applyAlignment="1" applyProtection="1">
      <alignment vertical="center"/>
    </xf>
    <xf numFmtId="0" fontId="78" fillId="5" borderId="67" xfId="1" applyNumberFormat="1" applyFont="1" applyFill="1" applyBorder="1" applyAlignment="1" applyProtection="1">
      <alignment vertical="center" wrapText="1"/>
    </xf>
    <xf numFmtId="0" fontId="74" fillId="0" borderId="67" xfId="1" applyNumberFormat="1" applyFont="1" applyFill="1" applyBorder="1" applyAlignment="1" applyProtection="1">
      <alignment horizontal="center" vertical="center" wrapText="1"/>
      <protection locked="0"/>
    </xf>
    <xf numFmtId="0" fontId="74" fillId="0" borderId="55" xfId="1" applyNumberFormat="1" applyFont="1" applyFill="1" applyBorder="1" applyAlignment="1" applyProtection="1">
      <alignment horizontal="center" vertical="center" wrapText="1"/>
      <protection locked="0"/>
    </xf>
    <xf numFmtId="0" fontId="74" fillId="0" borderId="68" xfId="1" applyNumberFormat="1" applyFont="1" applyFill="1" applyBorder="1" applyAlignment="1" applyProtection="1">
      <alignment horizontal="center" vertical="center" wrapText="1"/>
      <protection locked="0"/>
    </xf>
    <xf numFmtId="0" fontId="74" fillId="0" borderId="69" xfId="1" applyNumberFormat="1" applyFont="1" applyFill="1" applyBorder="1" applyAlignment="1" applyProtection="1">
      <alignment horizontal="center" vertical="center" wrapText="1"/>
      <protection locked="0"/>
    </xf>
    <xf numFmtId="0" fontId="78" fillId="5" borderId="13" xfId="1" applyNumberFormat="1" applyFont="1" applyFill="1" applyBorder="1" applyAlignment="1" applyProtection="1">
      <alignment vertical="center" wrapText="1"/>
    </xf>
    <xf numFmtId="0" fontId="74" fillId="5" borderId="20" xfId="1" applyNumberFormat="1" applyFont="1" applyFill="1" applyBorder="1" applyAlignment="1" applyProtection="1">
      <alignment horizontal="center" vertical="center" wrapText="1"/>
    </xf>
    <xf numFmtId="0" fontId="74" fillId="0" borderId="21" xfId="1" applyNumberFormat="1" applyFont="1" applyFill="1" applyBorder="1" applyAlignment="1" applyProtection="1">
      <alignment horizontal="center" vertical="center" wrapText="1"/>
      <protection locked="0"/>
    </xf>
    <xf numFmtId="0" fontId="74" fillId="0" borderId="21" xfId="1" applyNumberFormat="1" applyFont="1" applyFill="1" applyBorder="1" applyAlignment="1" applyProtection="1">
      <alignment horizontal="left" vertical="center" wrapText="1"/>
      <protection locked="0"/>
    </xf>
    <xf numFmtId="0" fontId="74" fillId="0" borderId="51" xfId="1" applyNumberFormat="1" applyFont="1" applyFill="1" applyBorder="1" applyAlignment="1" applyProtection="1">
      <alignment horizontal="center" vertical="center" wrapText="1"/>
      <protection locked="0"/>
    </xf>
    <xf numFmtId="0" fontId="74" fillId="5" borderId="0" xfId="1" applyNumberFormat="1" applyFont="1" applyFill="1" applyBorder="1" applyAlignment="1" applyProtection="1">
      <alignment horizontal="center" vertical="center" wrapText="1"/>
      <protection locked="0"/>
    </xf>
    <xf numFmtId="0" fontId="152" fillId="5" borderId="0" xfId="1" applyFont="1" applyFill="1" applyBorder="1" applyAlignment="1" applyProtection="1">
      <alignment vertical="center"/>
      <protection locked="0"/>
    </xf>
    <xf numFmtId="0" fontId="74" fillId="0" borderId="32" xfId="1" applyNumberFormat="1" applyFont="1" applyFill="1" applyBorder="1" applyAlignment="1" applyProtection="1">
      <alignment horizontal="center" vertical="center" wrapText="1"/>
      <protection locked="0"/>
    </xf>
    <xf numFmtId="0" fontId="74" fillId="5" borderId="0" xfId="1" applyFont="1" applyFill="1" applyAlignment="1" applyProtection="1">
      <alignment horizontal="center" vertical="center"/>
    </xf>
    <xf numFmtId="0" fontId="86" fillId="5" borderId="53" xfId="1" applyNumberFormat="1" applyFont="1" applyFill="1" applyBorder="1" applyAlignment="1" applyProtection="1">
      <alignment vertical="center" wrapText="1"/>
    </xf>
    <xf numFmtId="0" fontId="74" fillId="5" borderId="27" xfId="1" applyNumberFormat="1" applyFont="1" applyFill="1" applyBorder="1" applyAlignment="1" applyProtection="1">
      <alignment horizontal="center" vertical="center" wrapText="1"/>
    </xf>
    <xf numFmtId="0" fontId="87" fillId="5" borderId="6" xfId="1" applyNumberFormat="1" applyFont="1" applyFill="1" applyBorder="1" applyAlignment="1" applyProtection="1">
      <alignment horizontal="center" vertical="center" wrapText="1"/>
    </xf>
    <xf numFmtId="0" fontId="87" fillId="0" borderId="6" xfId="1" applyNumberFormat="1" applyFont="1" applyFill="1" applyBorder="1" applyAlignment="1" applyProtection="1">
      <alignment horizontal="center" vertical="center" wrapText="1"/>
      <protection locked="0"/>
    </xf>
    <xf numFmtId="0" fontId="108" fillId="0" borderId="6" xfId="1" applyNumberFormat="1" applyFont="1" applyFill="1" applyBorder="1" applyAlignment="1" applyProtection="1">
      <alignment horizontal="center" vertical="center" wrapText="1"/>
      <protection locked="0"/>
    </xf>
    <xf numFmtId="0" fontId="108" fillId="0" borderId="6" xfId="1" applyNumberFormat="1" applyFont="1" applyFill="1" applyBorder="1" applyAlignment="1" applyProtection="1">
      <alignment horizontal="left" vertical="center" wrapText="1"/>
      <protection locked="0"/>
    </xf>
    <xf numFmtId="0" fontId="108" fillId="0" borderId="7" xfId="1" applyNumberFormat="1" applyFont="1" applyFill="1" applyBorder="1" applyAlignment="1" applyProtection="1">
      <alignment horizontal="center" vertical="center" wrapText="1"/>
      <protection locked="0"/>
    </xf>
    <xf numFmtId="0" fontId="108" fillId="5" borderId="0" xfId="1" applyNumberFormat="1" applyFont="1" applyFill="1" applyBorder="1" applyAlignment="1" applyProtection="1">
      <alignment horizontal="center" vertical="center" wrapText="1"/>
      <protection locked="0"/>
    </xf>
    <xf numFmtId="0" fontId="74" fillId="5" borderId="0" xfId="1" applyFont="1" applyFill="1" applyBorder="1" applyAlignment="1" applyProtection="1">
      <alignment horizontal="center" vertical="center" wrapText="1"/>
      <protection locked="0"/>
    </xf>
    <xf numFmtId="0" fontId="86" fillId="5" borderId="24" xfId="1" applyNumberFormat="1" applyFont="1" applyFill="1" applyBorder="1" applyAlignment="1" applyProtection="1">
      <alignment vertical="center" wrapText="1"/>
    </xf>
    <xf numFmtId="0" fontId="83" fillId="5" borderId="70" xfId="1" applyNumberFormat="1" applyFont="1" applyFill="1" applyBorder="1" applyAlignment="1" applyProtection="1">
      <alignment horizontal="center" vertical="center" wrapText="1"/>
    </xf>
    <xf numFmtId="0" fontId="87" fillId="0" borderId="71" xfId="1" applyNumberFormat="1" applyFont="1" applyFill="1" applyBorder="1" applyAlignment="1" applyProtection="1">
      <alignment horizontal="center" vertical="center" wrapText="1"/>
      <protection locked="0"/>
    </xf>
    <xf numFmtId="0" fontId="87" fillId="0" borderId="72" xfId="1" applyNumberFormat="1" applyFont="1" applyFill="1" applyBorder="1" applyAlignment="1" applyProtection="1">
      <alignment horizontal="center" vertical="center" wrapText="1"/>
      <protection locked="0"/>
    </xf>
    <xf numFmtId="0" fontId="87" fillId="5" borderId="0" xfId="1" applyNumberFormat="1" applyFont="1" applyFill="1" applyBorder="1" applyAlignment="1" applyProtection="1">
      <alignment horizontal="center" vertical="center" wrapText="1"/>
      <protection locked="0"/>
    </xf>
    <xf numFmtId="0" fontId="74" fillId="5" borderId="73" xfId="1" applyNumberFormat="1" applyFont="1" applyFill="1" applyBorder="1" applyAlignment="1" applyProtection="1">
      <alignment horizontal="center" vertical="center" wrapText="1"/>
    </xf>
    <xf numFmtId="0" fontId="87" fillId="5" borderId="74" xfId="1" applyNumberFormat="1" applyFont="1" applyFill="1" applyBorder="1" applyAlignment="1" applyProtection="1">
      <alignment horizontal="center" vertical="center" wrapText="1"/>
    </xf>
    <xf numFmtId="0" fontId="108" fillId="5" borderId="74" xfId="1" applyNumberFormat="1" applyFont="1" applyFill="1" applyBorder="1" applyAlignment="1" applyProtection="1">
      <alignment horizontal="center" vertical="center" wrapText="1"/>
    </xf>
    <xf numFmtId="0" fontId="108" fillId="5" borderId="74" xfId="1" applyNumberFormat="1" applyFont="1" applyFill="1" applyBorder="1" applyAlignment="1" applyProtection="1">
      <alignment horizontal="left" vertical="center" wrapText="1"/>
    </xf>
    <xf numFmtId="0" fontId="108" fillId="5" borderId="75" xfId="1" applyNumberFormat="1" applyFont="1" applyFill="1" applyBorder="1" applyAlignment="1" applyProtection="1">
      <alignment horizontal="center" vertical="center" wrapText="1"/>
    </xf>
    <xf numFmtId="0" fontId="74" fillId="5" borderId="70" xfId="1" applyNumberFormat="1" applyFont="1" applyFill="1" applyBorder="1" applyAlignment="1" applyProtection="1">
      <alignment horizontal="center" vertical="center" wrapText="1"/>
    </xf>
    <xf numFmtId="0" fontId="87" fillId="5" borderId="71" xfId="1" applyNumberFormat="1" applyFont="1" applyFill="1" applyBorder="1" applyAlignment="1" applyProtection="1">
      <alignment horizontal="center" vertical="center" wrapText="1"/>
    </xf>
    <xf numFmtId="0" fontId="87" fillId="5" borderId="72" xfId="1" applyNumberFormat="1" applyFont="1" applyFill="1" applyBorder="1" applyAlignment="1" applyProtection="1">
      <alignment horizontal="center" vertical="center" wrapText="1"/>
    </xf>
    <xf numFmtId="0" fontId="74" fillId="5" borderId="3" xfId="1" applyNumberFormat="1" applyFont="1" applyFill="1" applyBorder="1" applyAlignment="1" applyProtection="1">
      <alignment horizontal="center" vertical="center" wrapText="1"/>
    </xf>
    <xf numFmtId="0" fontId="87" fillId="5" borderId="21" xfId="1" applyNumberFormat="1" applyFont="1" applyFill="1" applyBorder="1" applyAlignment="1" applyProtection="1">
      <alignment horizontal="center" vertical="center" wrapText="1"/>
    </xf>
    <xf numFmtId="0" fontId="83" fillId="5" borderId="3" xfId="1" applyNumberFormat="1" applyFont="1" applyFill="1" applyBorder="1" applyAlignment="1" applyProtection="1">
      <alignment horizontal="center" vertical="center" wrapText="1"/>
    </xf>
    <xf numFmtId="0" fontId="87" fillId="0" borderId="2" xfId="1" applyNumberFormat="1" applyFont="1" applyFill="1" applyBorder="1" applyAlignment="1" applyProtection="1">
      <alignment horizontal="center" vertical="center" wrapText="1"/>
      <protection locked="0"/>
    </xf>
    <xf numFmtId="0" fontId="108" fillId="0" borderId="2" xfId="1" applyNumberFormat="1" applyFont="1" applyFill="1" applyBorder="1" applyAlignment="1" applyProtection="1">
      <alignment horizontal="center" vertical="center" wrapText="1"/>
      <protection locked="0"/>
    </xf>
    <xf numFmtId="0" fontId="108" fillId="0" borderId="2" xfId="1" applyNumberFormat="1" applyFont="1" applyFill="1" applyBorder="1" applyAlignment="1" applyProtection="1">
      <alignment horizontal="left" vertical="center" wrapText="1"/>
      <protection locked="0"/>
    </xf>
    <xf numFmtId="0" fontId="108" fillId="0" borderId="12" xfId="1" applyNumberFormat="1" applyFont="1" applyFill="1" applyBorder="1" applyAlignment="1" applyProtection="1">
      <alignment horizontal="center" vertical="center" wrapText="1"/>
      <protection locked="0"/>
    </xf>
    <xf numFmtId="0" fontId="103" fillId="5" borderId="24" xfId="1" applyNumberFormat="1" applyFont="1" applyFill="1" applyBorder="1" applyAlignment="1" applyProtection="1">
      <alignment vertical="center" wrapText="1"/>
    </xf>
    <xf numFmtId="0" fontId="74" fillId="0" borderId="74" xfId="1" applyNumberFormat="1" applyFont="1" applyFill="1" applyBorder="1" applyAlignment="1" applyProtection="1">
      <alignment horizontal="center" vertical="center" wrapText="1"/>
      <protection locked="0"/>
    </xf>
    <xf numFmtId="0" fontId="83" fillId="0" borderId="74" xfId="1" applyNumberFormat="1" applyFont="1" applyFill="1" applyBorder="1" applyAlignment="1" applyProtection="1">
      <alignment horizontal="center" vertical="center" wrapText="1"/>
      <protection locked="0"/>
    </xf>
    <xf numFmtId="0" fontId="83" fillId="0" borderId="74" xfId="1" applyNumberFormat="1" applyFont="1" applyFill="1" applyBorder="1" applyAlignment="1" applyProtection="1">
      <alignment horizontal="left" vertical="center" wrapText="1"/>
      <protection locked="0"/>
    </xf>
    <xf numFmtId="0" fontId="83" fillId="0" borderId="75" xfId="1" applyNumberFormat="1" applyFont="1" applyFill="1" applyBorder="1" applyAlignment="1" applyProtection="1">
      <alignment horizontal="center" vertical="center" wrapText="1"/>
      <protection locked="0"/>
    </xf>
    <xf numFmtId="0" fontId="83" fillId="5" borderId="0" xfId="1" applyNumberFormat="1" applyFont="1" applyFill="1" applyBorder="1" applyAlignment="1" applyProtection="1">
      <alignment horizontal="center" vertical="center" wrapText="1"/>
      <protection locked="0"/>
    </xf>
    <xf numFmtId="0" fontId="83" fillId="5" borderId="0" xfId="1" applyFont="1" applyFill="1" applyBorder="1" applyAlignment="1" applyProtection="1">
      <alignment horizontal="center" vertical="center" wrapText="1"/>
      <protection locked="0"/>
    </xf>
    <xf numFmtId="9" fontId="83" fillId="5" borderId="0" xfId="1" applyNumberFormat="1" applyFont="1" applyFill="1" applyBorder="1" applyAlignment="1" applyProtection="1">
      <alignment horizontal="center" vertical="center" wrapText="1"/>
      <protection locked="0"/>
    </xf>
    <xf numFmtId="0" fontId="83" fillId="5" borderId="0" xfId="1" applyFont="1" applyFill="1" applyAlignment="1" applyProtection="1">
      <alignment horizontal="center" vertical="center"/>
      <protection locked="0"/>
    </xf>
    <xf numFmtId="0" fontId="74" fillId="0" borderId="71" xfId="1" applyNumberFormat="1" applyFont="1" applyFill="1" applyBorder="1" applyAlignment="1" applyProtection="1">
      <alignment horizontal="center" vertical="center" wrapText="1"/>
      <protection locked="0"/>
    </xf>
    <xf numFmtId="9" fontId="83" fillId="5" borderId="0" xfId="1" applyNumberFormat="1" applyFont="1" applyFill="1" applyBorder="1" applyAlignment="1" applyProtection="1">
      <alignment horizontal="center" vertical="center"/>
      <protection locked="0"/>
    </xf>
    <xf numFmtId="0" fontId="83" fillId="0" borderId="71" xfId="1" applyNumberFormat="1" applyFont="1" applyFill="1" applyBorder="1" applyAlignment="1" applyProtection="1">
      <alignment horizontal="center" vertical="center" wrapText="1"/>
      <protection locked="0"/>
    </xf>
    <xf numFmtId="0" fontId="83" fillId="0" borderId="72" xfId="1" applyNumberFormat="1" applyFont="1" applyFill="1" applyBorder="1" applyAlignment="1" applyProtection="1">
      <alignment horizontal="center" vertical="center" wrapText="1"/>
      <protection locked="0"/>
    </xf>
    <xf numFmtId="0" fontId="83" fillId="0" borderId="21" xfId="1" applyNumberFormat="1" applyFont="1" applyFill="1" applyBorder="1" applyAlignment="1" applyProtection="1">
      <alignment horizontal="center" vertical="center" wrapText="1"/>
      <protection locked="0"/>
    </xf>
    <xf numFmtId="0" fontId="83" fillId="0" borderId="21" xfId="1" applyNumberFormat="1" applyFont="1" applyFill="1" applyBorder="1" applyAlignment="1" applyProtection="1">
      <alignment horizontal="left" vertical="center" wrapText="1"/>
      <protection locked="0"/>
    </xf>
    <xf numFmtId="0" fontId="83" fillId="0" borderId="51" xfId="1" applyNumberFormat="1" applyFont="1" applyFill="1" applyBorder="1" applyAlignment="1" applyProtection="1">
      <alignment horizontal="center" vertical="center" wrapText="1"/>
      <protection locked="0"/>
    </xf>
    <xf numFmtId="0" fontId="83" fillId="5" borderId="0" xfId="1" applyFont="1" applyFill="1" applyBorder="1" applyAlignment="1" applyProtection="1">
      <alignment vertical="center" wrapText="1"/>
      <protection locked="0"/>
    </xf>
    <xf numFmtId="0" fontId="103" fillId="5" borderId="23" xfId="1" applyNumberFormat="1" applyFont="1" applyFill="1" applyBorder="1" applyAlignment="1" applyProtection="1">
      <alignment vertical="center" wrapText="1"/>
    </xf>
    <xf numFmtId="0" fontId="74" fillId="5" borderId="55" xfId="1" applyNumberFormat="1" applyFont="1" applyFill="1" applyBorder="1" applyAlignment="1" applyProtection="1">
      <alignment horizontal="center" vertical="center" wrapText="1"/>
    </xf>
    <xf numFmtId="0" fontId="74" fillId="0" borderId="44" xfId="1" applyNumberFormat="1" applyFont="1" applyFill="1" applyBorder="1" applyAlignment="1" applyProtection="1">
      <alignment horizontal="center" vertical="center" wrapText="1"/>
      <protection locked="0"/>
    </xf>
    <xf numFmtId="0" fontId="83" fillId="0" borderId="44" xfId="1" applyNumberFormat="1" applyFont="1" applyFill="1" applyBorder="1" applyAlignment="1" applyProtection="1">
      <alignment horizontal="center" vertical="center" wrapText="1"/>
      <protection locked="0"/>
    </xf>
    <xf numFmtId="0" fontId="83" fillId="0" borderId="46" xfId="1" applyNumberFormat="1" applyFont="1" applyFill="1" applyBorder="1" applyAlignment="1" applyProtection="1">
      <alignment horizontal="center" vertical="center" wrapText="1"/>
      <protection locked="0"/>
    </xf>
    <xf numFmtId="0" fontId="74" fillId="5" borderId="6" xfId="1" applyNumberFormat="1" applyFont="1" applyFill="1" applyBorder="1" applyAlignment="1" applyProtection="1">
      <alignment horizontal="center" vertical="center" wrapText="1"/>
    </xf>
    <xf numFmtId="0" fontId="108" fillId="5" borderId="6" xfId="1" applyNumberFormat="1" applyFont="1" applyFill="1" applyBorder="1" applyAlignment="1" applyProtection="1">
      <alignment horizontal="center" vertical="center" wrapText="1"/>
    </xf>
    <xf numFmtId="0" fontId="108" fillId="5" borderId="6" xfId="1" applyNumberFormat="1" applyFont="1" applyFill="1" applyBorder="1" applyAlignment="1" applyProtection="1">
      <alignment horizontal="left" vertical="center" wrapText="1"/>
    </xf>
    <xf numFmtId="0" fontId="108" fillId="5" borderId="7" xfId="1" applyNumberFormat="1" applyFont="1" applyFill="1" applyBorder="1" applyAlignment="1" applyProtection="1">
      <alignment horizontal="center" vertical="center" wrapText="1"/>
    </xf>
    <xf numFmtId="0" fontId="74" fillId="5" borderId="0" xfId="1" applyFont="1" applyFill="1" applyBorder="1" applyAlignment="1" applyProtection="1">
      <alignment vertical="center" wrapText="1"/>
      <protection locked="0"/>
    </xf>
    <xf numFmtId="0" fontId="74" fillId="5" borderId="74" xfId="1" applyNumberFormat="1" applyFont="1" applyFill="1" applyBorder="1" applyAlignment="1" applyProtection="1">
      <alignment horizontal="center" vertical="center" wrapText="1"/>
    </xf>
    <xf numFmtId="0" fontId="55" fillId="5" borderId="73" xfId="1" applyNumberFormat="1" applyFont="1" applyFill="1" applyBorder="1" applyAlignment="1" applyProtection="1">
      <alignment horizontal="center" vertical="center" wrapText="1"/>
    </xf>
    <xf numFmtId="0" fontId="55" fillId="5" borderId="3" xfId="1" applyNumberFormat="1" applyFont="1" applyFill="1" applyBorder="1" applyAlignment="1" applyProtection="1">
      <alignment horizontal="center" vertical="center" wrapText="1"/>
    </xf>
    <xf numFmtId="0" fontId="61" fillId="5" borderId="3" xfId="1" applyNumberFormat="1" applyFont="1" applyFill="1" applyBorder="1" applyAlignment="1" applyProtection="1">
      <alignment horizontal="center" vertical="center" wrapText="1"/>
    </xf>
    <xf numFmtId="0" fontId="87" fillId="5" borderId="75" xfId="1" applyNumberFormat="1" applyFont="1" applyFill="1" applyBorder="1" applyAlignment="1" applyProtection="1">
      <alignment horizontal="center" vertical="center" wrapText="1"/>
    </xf>
    <xf numFmtId="0" fontId="87" fillId="5" borderId="3" xfId="1" applyNumberFormat="1" applyFont="1" applyFill="1" applyBorder="1" applyAlignment="1" applyProtection="1">
      <alignment horizontal="center" vertical="center" wrapText="1"/>
    </xf>
    <xf numFmtId="0" fontId="78" fillId="5" borderId="24" xfId="1" applyNumberFormat="1" applyFont="1" applyFill="1" applyBorder="1" applyAlignment="1" applyProtection="1">
      <alignment vertical="center" wrapText="1"/>
    </xf>
    <xf numFmtId="0" fontId="84" fillId="0" borderId="74" xfId="1" applyNumberFormat="1" applyFont="1" applyFill="1" applyBorder="1" applyAlignment="1" applyProtection="1">
      <alignment horizontal="center" vertical="center" wrapText="1"/>
      <protection locked="0"/>
    </xf>
    <xf numFmtId="0" fontId="74" fillId="0" borderId="74" xfId="1" applyNumberFormat="1" applyFont="1" applyFill="1" applyBorder="1" applyAlignment="1" applyProtection="1">
      <alignment horizontal="left" vertical="center" wrapText="1"/>
      <protection locked="0"/>
    </xf>
    <xf numFmtId="0" fontId="74" fillId="0" borderId="75" xfId="1" applyNumberFormat="1" applyFont="1" applyFill="1" applyBorder="1" applyAlignment="1" applyProtection="1">
      <alignment horizontal="center" vertical="center" wrapText="1"/>
      <protection locked="0"/>
    </xf>
    <xf numFmtId="0" fontId="74" fillId="5" borderId="71" xfId="1" applyNumberFormat="1" applyFont="1" applyFill="1" applyBorder="1" applyAlignment="1" applyProtection="1">
      <alignment horizontal="center" vertical="center" wrapText="1"/>
    </xf>
    <xf numFmtId="0" fontId="74" fillId="0" borderId="78" xfId="1" applyNumberFormat="1" applyFont="1" applyFill="1" applyBorder="1" applyAlignment="1" applyProtection="1">
      <alignment horizontal="center" vertical="center"/>
      <protection locked="0"/>
    </xf>
    <xf numFmtId="0" fontId="87" fillId="0" borderId="74" xfId="1" applyNumberFormat="1" applyFont="1" applyFill="1" applyBorder="1" applyAlignment="1" applyProtection="1">
      <alignment horizontal="center" vertical="center" wrapText="1"/>
      <protection locked="0"/>
    </xf>
    <xf numFmtId="0" fontId="108" fillId="0" borderId="74" xfId="1" applyNumberFormat="1" applyFont="1" applyFill="1" applyBorder="1" applyAlignment="1" applyProtection="1">
      <alignment horizontal="center" vertical="center" wrapText="1"/>
      <protection locked="0"/>
    </xf>
    <xf numFmtId="0" fontId="108" fillId="0" borderId="74" xfId="1" applyNumberFormat="1" applyFont="1" applyFill="1" applyBorder="1" applyAlignment="1" applyProtection="1">
      <alignment horizontal="left" vertical="center" wrapText="1"/>
      <protection locked="0"/>
    </xf>
    <xf numFmtId="0" fontId="108" fillId="0" borderId="75" xfId="1" applyNumberFormat="1" applyFont="1" applyFill="1" applyBorder="1" applyAlignment="1" applyProtection="1">
      <alignment horizontal="center" vertical="center" wrapText="1"/>
      <protection locked="0"/>
    </xf>
    <xf numFmtId="0" fontId="87" fillId="0" borderId="21" xfId="1" applyNumberFormat="1" applyFont="1" applyFill="1" applyBorder="1" applyAlignment="1" applyProtection="1">
      <alignment horizontal="center" vertical="center" wrapText="1"/>
      <protection locked="0"/>
    </xf>
    <xf numFmtId="0" fontId="108" fillId="0" borderId="21" xfId="1" applyNumberFormat="1" applyFont="1" applyFill="1" applyBorder="1" applyAlignment="1" applyProtection="1">
      <alignment horizontal="center" vertical="center" wrapText="1"/>
      <protection locked="0"/>
    </xf>
    <xf numFmtId="0" fontId="108" fillId="0" borderId="21" xfId="1" applyNumberFormat="1" applyFont="1" applyFill="1" applyBorder="1" applyAlignment="1" applyProtection="1">
      <alignment horizontal="left" vertical="center" wrapText="1"/>
      <protection locked="0"/>
    </xf>
    <xf numFmtId="0" fontId="108" fillId="0" borderId="51" xfId="1" applyNumberFormat="1" applyFont="1" applyFill="1" applyBorder="1" applyAlignment="1" applyProtection="1">
      <alignment horizontal="center" vertical="center" wrapText="1"/>
      <protection locked="0"/>
    </xf>
    <xf numFmtId="0" fontId="86" fillId="5" borderId="23" xfId="1" applyNumberFormat="1" applyFont="1" applyFill="1" applyBorder="1" applyAlignment="1" applyProtection="1">
      <alignment vertical="center" wrapText="1"/>
    </xf>
    <xf numFmtId="0" fontId="87" fillId="0" borderId="44" xfId="1" applyNumberFormat="1" applyFont="1" applyFill="1" applyBorder="1" applyAlignment="1" applyProtection="1">
      <alignment horizontal="center" vertical="center" wrapText="1"/>
      <protection locked="0"/>
    </xf>
    <xf numFmtId="0" fontId="87" fillId="0" borderId="46" xfId="1" applyNumberFormat="1" applyFont="1" applyFill="1" applyBorder="1" applyAlignment="1" applyProtection="1">
      <alignment horizontal="center" vertical="center" wrapText="1"/>
      <protection locked="0"/>
    </xf>
    <xf numFmtId="0" fontId="147" fillId="0" borderId="6" xfId="1" applyNumberFormat="1" applyFont="1" applyFill="1" applyBorder="1" applyAlignment="1" applyProtection="1">
      <alignment horizontal="center" vertical="center" wrapText="1"/>
      <protection locked="0"/>
    </xf>
    <xf numFmtId="0" fontId="74" fillId="5" borderId="75" xfId="1" applyNumberFormat="1" applyFont="1" applyFill="1" applyBorder="1" applyAlignment="1" applyProtection="1">
      <alignment horizontal="center" vertical="center" wrapText="1"/>
    </xf>
    <xf numFmtId="0" fontId="103" fillId="5" borderId="24" xfId="1" applyNumberFormat="1" applyFont="1" applyFill="1" applyBorder="1" applyAlignment="1" applyProtection="1">
      <alignment vertical="center" textRotation="255" wrapText="1"/>
    </xf>
    <xf numFmtId="0" fontId="74" fillId="5" borderId="13" xfId="1" applyNumberFormat="1" applyFont="1" applyFill="1" applyBorder="1" applyAlignment="1" applyProtection="1">
      <alignment horizontal="center" vertical="center"/>
    </xf>
    <xf numFmtId="0" fontId="74" fillId="0" borderId="2" xfId="1" applyNumberFormat="1" applyFont="1" applyFill="1" applyBorder="1" applyAlignment="1" applyProtection="1">
      <alignment horizontal="center" vertical="center" wrapText="1"/>
      <protection locked="0"/>
    </xf>
    <xf numFmtId="0" fontId="83" fillId="0" borderId="2" xfId="1" applyNumberFormat="1" applyFont="1" applyFill="1" applyBorder="1" applyAlignment="1" applyProtection="1">
      <alignment horizontal="center" vertical="center" wrapText="1"/>
      <protection locked="0"/>
    </xf>
    <xf numFmtId="0" fontId="83" fillId="0" borderId="2" xfId="1" applyNumberFormat="1" applyFont="1" applyFill="1" applyBorder="1" applyAlignment="1" applyProtection="1">
      <alignment horizontal="left" vertical="center" wrapText="1"/>
      <protection locked="0"/>
    </xf>
    <xf numFmtId="0" fontId="83" fillId="0" borderId="12" xfId="1" applyNumberFormat="1" applyFont="1" applyFill="1" applyBorder="1" applyAlignment="1" applyProtection="1">
      <alignment horizontal="center" vertical="center" wrapText="1"/>
      <protection locked="0"/>
    </xf>
    <xf numFmtId="0" fontId="86" fillId="5" borderId="24" xfId="1" applyNumberFormat="1" applyFont="1" applyFill="1" applyBorder="1" applyAlignment="1" applyProtection="1">
      <alignment vertical="center" textRotation="255" wrapText="1"/>
    </xf>
    <xf numFmtId="0" fontId="74" fillId="5" borderId="2" xfId="1" applyNumberFormat="1" applyFont="1" applyFill="1" applyBorder="1" applyAlignment="1" applyProtection="1">
      <alignment horizontal="center" vertical="center" wrapText="1"/>
    </xf>
    <xf numFmtId="0" fontId="87" fillId="0" borderId="3" xfId="1" applyNumberFormat="1" applyFont="1" applyFill="1" applyBorder="1" applyAlignment="1" applyProtection="1">
      <alignment horizontal="center" vertical="center" wrapText="1"/>
      <protection locked="0"/>
    </xf>
    <xf numFmtId="0" fontId="108" fillId="0" borderId="3" xfId="1" applyNumberFormat="1" applyFont="1" applyFill="1" applyBorder="1" applyAlignment="1" applyProtection="1">
      <alignment horizontal="center" vertical="center" wrapText="1"/>
      <protection locked="0"/>
    </xf>
    <xf numFmtId="0" fontId="108" fillId="0" borderId="3" xfId="1" applyNumberFormat="1" applyFont="1" applyFill="1" applyBorder="1" applyAlignment="1" applyProtection="1">
      <alignment horizontal="left" vertical="center" wrapText="1"/>
      <protection locked="0"/>
    </xf>
    <xf numFmtId="0" fontId="108" fillId="0" borderId="52" xfId="1" applyNumberFormat="1" applyFont="1" applyFill="1" applyBorder="1" applyAlignment="1" applyProtection="1">
      <alignment horizontal="center" vertical="center" wrapText="1"/>
      <protection locked="0"/>
    </xf>
    <xf numFmtId="0" fontId="152" fillId="0" borderId="74" xfId="1" applyNumberFormat="1" applyFont="1" applyFill="1" applyBorder="1" applyAlignment="1" applyProtection="1">
      <alignment horizontal="center" vertical="center" wrapText="1"/>
      <protection locked="0"/>
    </xf>
    <xf numFmtId="0" fontId="87" fillId="0" borderId="0" xfId="1" applyFont="1" applyFill="1" applyAlignment="1" applyProtection="1">
      <alignment horizontal="center" vertical="center"/>
      <protection locked="0"/>
    </xf>
    <xf numFmtId="188" fontId="87" fillId="0" borderId="0" xfId="1" applyNumberFormat="1" applyFont="1" applyFill="1" applyAlignment="1" applyProtection="1">
      <alignment horizontal="center" vertical="center"/>
      <protection locked="0"/>
    </xf>
    <xf numFmtId="182" fontId="87" fillId="0" borderId="0" xfId="1" applyNumberFormat="1" applyFont="1" applyFill="1" applyAlignment="1" applyProtection="1">
      <alignment horizontal="center" vertical="center"/>
      <protection locked="0"/>
    </xf>
    <xf numFmtId="188" fontId="87" fillId="0" borderId="0" xfId="1" applyNumberFormat="1" applyFont="1" applyFill="1" applyAlignment="1" applyProtection="1">
      <alignment horizontal="center" vertical="center"/>
    </xf>
    <xf numFmtId="182" fontId="87" fillId="0" borderId="0" xfId="1" applyNumberFormat="1" applyFont="1" applyFill="1" applyAlignment="1" applyProtection="1">
      <alignment horizontal="center" vertical="center"/>
    </xf>
    <xf numFmtId="0" fontId="104" fillId="2" borderId="14" xfId="1" applyFont="1" applyFill="1" applyBorder="1" applyAlignment="1" applyProtection="1">
      <alignment vertical="center"/>
      <protection locked="0"/>
    </xf>
    <xf numFmtId="0" fontId="104" fillId="5" borderId="13" xfId="1" applyFont="1" applyFill="1" applyBorder="1" applyAlignment="1" applyProtection="1">
      <alignment horizontal="center" vertical="center"/>
    </xf>
    <xf numFmtId="0" fontId="74" fillId="0" borderId="20" xfId="1" applyNumberFormat="1" applyFont="1" applyFill="1" applyBorder="1" applyAlignment="1" applyProtection="1">
      <alignment horizontal="center" vertical="center" wrapText="1"/>
      <protection locked="0"/>
    </xf>
    <xf numFmtId="0" fontId="74" fillId="0" borderId="23" xfId="1" applyNumberFormat="1" applyFont="1" applyFill="1" applyBorder="1" applyAlignment="1" applyProtection="1">
      <alignment horizontal="center" vertical="center" wrapText="1"/>
      <protection locked="0"/>
    </xf>
    <xf numFmtId="0" fontId="74" fillId="5" borderId="41" xfId="1" applyFont="1" applyFill="1" applyBorder="1" applyAlignment="1" applyProtection="1">
      <alignment horizontal="center" vertical="center" wrapText="1"/>
    </xf>
    <xf numFmtId="49" fontId="87" fillId="5" borderId="58" xfId="1" applyNumberFormat="1" applyFont="1" applyFill="1" applyBorder="1" applyAlignment="1" applyProtection="1">
      <alignment horizontal="center" vertical="center" wrapText="1"/>
    </xf>
    <xf numFmtId="0" fontId="87" fillId="5" borderId="65" xfId="1" applyFont="1" applyFill="1" applyBorder="1" applyAlignment="1" applyProtection="1">
      <alignment horizontal="center" vertical="center"/>
    </xf>
    <xf numFmtId="0" fontId="87" fillId="2" borderId="20" xfId="1" applyNumberFormat="1" applyFont="1" applyFill="1" applyBorder="1" applyAlignment="1" applyProtection="1">
      <alignment horizontal="center" vertical="center" wrapText="1"/>
      <protection locked="0"/>
    </xf>
    <xf numFmtId="0" fontId="74" fillId="5" borderId="25" xfId="1" applyFont="1" applyFill="1" applyBorder="1" applyAlignment="1" applyProtection="1">
      <alignment horizontal="center" vertical="center" wrapText="1"/>
    </xf>
    <xf numFmtId="0" fontId="87" fillId="5" borderId="32" xfId="1" applyNumberFormat="1" applyFont="1" applyFill="1" applyBorder="1" applyAlignment="1" applyProtection="1">
      <alignment horizontal="center" vertical="center" wrapText="1"/>
    </xf>
    <xf numFmtId="0" fontId="74" fillId="5" borderId="51" xfId="1" applyFont="1" applyFill="1" applyBorder="1" applyAlignment="1" applyProtection="1">
      <alignment horizontal="center" vertical="center" wrapText="1"/>
    </xf>
    <xf numFmtId="0" fontId="87" fillId="2" borderId="18" xfId="1" applyNumberFormat="1" applyFont="1" applyFill="1" applyBorder="1" applyAlignment="1" applyProtection="1">
      <alignment horizontal="center" vertical="center" wrapText="1"/>
      <protection locked="0"/>
    </xf>
    <xf numFmtId="0" fontId="55" fillId="5" borderId="25" xfId="1" applyFont="1" applyFill="1" applyBorder="1" applyAlignment="1" applyProtection="1">
      <alignment horizontal="center" vertical="center" wrapText="1"/>
    </xf>
    <xf numFmtId="0" fontId="55" fillId="5" borderId="52" xfId="1" applyFont="1" applyFill="1" applyBorder="1" applyAlignment="1" applyProtection="1">
      <alignment horizontal="center" vertical="center" wrapText="1"/>
    </xf>
    <xf numFmtId="0" fontId="74" fillId="5" borderId="52" xfId="1" applyFont="1" applyFill="1" applyBorder="1" applyAlignment="1" applyProtection="1">
      <alignment horizontal="center" vertical="center" wrapText="1"/>
    </xf>
    <xf numFmtId="0" fontId="87" fillId="2" borderId="8" xfId="1" applyNumberFormat="1" applyFont="1" applyFill="1" applyBorder="1" applyAlignment="1" applyProtection="1">
      <alignment horizontal="center" vertical="center" wrapText="1"/>
      <protection locked="0"/>
    </xf>
    <xf numFmtId="0" fontId="74" fillId="2" borderId="20" xfId="1" applyNumberFormat="1" applyFont="1" applyFill="1" applyBorder="1" applyAlignment="1" applyProtection="1">
      <alignment horizontal="center" vertical="center" wrapText="1"/>
      <protection locked="0"/>
    </xf>
    <xf numFmtId="0" fontId="74" fillId="0" borderId="12" xfId="1" applyFont="1" applyFill="1" applyBorder="1" applyAlignment="1" applyProtection="1">
      <alignment horizontal="center" vertical="center" wrapText="1"/>
      <protection locked="0"/>
    </xf>
    <xf numFmtId="0" fontId="74" fillId="0" borderId="46" xfId="1" applyFont="1" applyFill="1" applyBorder="1" applyAlignment="1" applyProtection="1">
      <alignment horizontal="center" vertical="center" wrapText="1"/>
      <protection locked="0"/>
    </xf>
    <xf numFmtId="0" fontId="87" fillId="0" borderId="56" xfId="1" applyNumberFormat="1" applyFont="1" applyFill="1" applyBorder="1" applyAlignment="1" applyProtection="1">
      <alignment horizontal="center" vertical="center" wrapText="1"/>
      <protection locked="0"/>
    </xf>
    <xf numFmtId="0" fontId="87" fillId="2" borderId="1" xfId="1" applyNumberFormat="1" applyFont="1" applyFill="1" applyBorder="1" applyAlignment="1" applyProtection="1">
      <alignment horizontal="center" vertical="center" wrapText="1"/>
      <protection locked="0"/>
    </xf>
    <xf numFmtId="0" fontId="87" fillId="2" borderId="11" xfId="1" applyNumberFormat="1" applyFont="1" applyFill="1" applyBorder="1" applyAlignment="1" applyProtection="1">
      <alignment horizontal="center" vertical="center" wrapText="1"/>
      <protection locked="0"/>
    </xf>
    <xf numFmtId="0" fontId="87" fillId="5" borderId="13" xfId="1" applyFont="1" applyFill="1" applyBorder="1" applyAlignment="1" applyProtection="1">
      <alignment horizontal="center" vertical="center"/>
      <protection locked="0"/>
    </xf>
    <xf numFmtId="0" fontId="108" fillId="5" borderId="13" xfId="1" applyFont="1" applyFill="1" applyBorder="1" applyAlignment="1" applyProtection="1">
      <alignment horizontal="center" vertical="center"/>
      <protection locked="0"/>
    </xf>
    <xf numFmtId="0" fontId="87" fillId="5" borderId="13" xfId="1" applyFont="1" applyFill="1" applyBorder="1" applyAlignment="1" applyProtection="1">
      <protection locked="0"/>
    </xf>
    <xf numFmtId="49" fontId="74" fillId="5" borderId="13" xfId="1" applyNumberFormat="1" applyFont="1" applyFill="1" applyBorder="1" applyAlignment="1" applyProtection="1">
      <alignment horizontal="center" vertical="center"/>
      <protection locked="0"/>
    </xf>
    <xf numFmtId="9" fontId="74" fillId="5" borderId="13" xfId="1" applyNumberFormat="1" applyFont="1" applyFill="1" applyBorder="1" applyAlignment="1" applyProtection="1">
      <alignment horizontal="center" vertical="center" wrapText="1"/>
      <protection locked="0"/>
    </xf>
    <xf numFmtId="0" fontId="152" fillId="5" borderId="13" xfId="1" applyFont="1" applyFill="1" applyBorder="1" applyAlignment="1" applyProtection="1">
      <alignment vertical="center"/>
      <protection locked="0"/>
    </xf>
    <xf numFmtId="0" fontId="74" fillId="5" borderId="13" xfId="1" applyFont="1" applyFill="1" applyBorder="1" applyAlignment="1" applyProtection="1">
      <alignment horizontal="center" vertical="center" wrapText="1"/>
      <protection locked="0"/>
    </xf>
    <xf numFmtId="0" fontId="83" fillId="5" borderId="13" xfId="1" applyFont="1" applyFill="1" applyBorder="1" applyAlignment="1" applyProtection="1">
      <alignment horizontal="center" vertical="center" wrapText="1"/>
      <protection locked="0"/>
    </xf>
    <xf numFmtId="0" fontId="83" fillId="5" borderId="13" xfId="1" applyFont="1" applyFill="1" applyBorder="1" applyAlignment="1" applyProtection="1">
      <alignment horizontal="center" vertical="center"/>
      <protection locked="0"/>
    </xf>
    <xf numFmtId="0" fontId="83" fillId="5" borderId="13" xfId="1" applyFont="1" applyFill="1" applyBorder="1" applyAlignment="1" applyProtection="1">
      <alignment vertical="center" wrapText="1"/>
      <protection locked="0"/>
    </xf>
    <xf numFmtId="0" fontId="74" fillId="5" borderId="13" xfId="1" applyFont="1" applyFill="1" applyBorder="1" applyAlignment="1" applyProtection="1">
      <alignment vertical="center" wrapText="1"/>
      <protection locked="0"/>
    </xf>
    <xf numFmtId="0" fontId="87" fillId="5" borderId="73" xfId="1" applyNumberFormat="1" applyFont="1" applyFill="1" applyBorder="1" applyAlignment="1" applyProtection="1">
      <alignment horizontal="center" vertical="center" wrapText="1"/>
    </xf>
    <xf numFmtId="0" fontId="147" fillId="0" borderId="74" xfId="1" applyNumberFormat="1" applyFont="1" applyFill="1" applyBorder="1" applyAlignment="1" applyProtection="1">
      <alignment horizontal="center" vertical="center" wrapText="1"/>
      <protection locked="0"/>
    </xf>
    <xf numFmtId="0" fontId="87" fillId="0" borderId="74" xfId="1" applyNumberFormat="1" applyFont="1" applyFill="1" applyBorder="1" applyAlignment="1" applyProtection="1">
      <alignment horizontal="left" vertical="center" wrapText="1"/>
      <protection locked="0"/>
    </xf>
    <xf numFmtId="0" fontId="87" fillId="0" borderId="75" xfId="1" applyNumberFormat="1" applyFont="1" applyFill="1" applyBorder="1" applyAlignment="1" applyProtection="1">
      <alignment horizontal="center" vertical="center" wrapText="1"/>
      <protection locked="0"/>
    </xf>
    <xf numFmtId="0" fontId="87" fillId="5" borderId="13" xfId="1" applyFont="1" applyFill="1" applyBorder="1" applyAlignment="1" applyProtection="1">
      <alignment horizontal="center" vertical="center" wrapText="1"/>
      <protection locked="0"/>
    </xf>
    <xf numFmtId="9" fontId="87" fillId="5" borderId="0" xfId="1" applyNumberFormat="1" applyFont="1" applyFill="1" applyBorder="1" applyAlignment="1" applyProtection="1">
      <alignment horizontal="center" vertical="center" wrapText="1"/>
      <protection locked="0"/>
    </xf>
    <xf numFmtId="0" fontId="87" fillId="0" borderId="13" xfId="1" applyFont="1" applyFill="1" applyBorder="1" applyAlignment="1" applyProtection="1">
      <alignment horizontal="center" vertical="center"/>
      <protection locked="0"/>
    </xf>
    <xf numFmtId="0" fontId="87" fillId="0" borderId="13" xfId="1" applyFont="1" applyFill="1" applyBorder="1" applyAlignment="1" applyProtection="1">
      <alignment horizontal="center" vertical="center"/>
    </xf>
    <xf numFmtId="180" fontId="98" fillId="6" borderId="2" xfId="2" applyNumberFormat="1" applyFont="1" applyFill="1" applyBorder="1" applyAlignment="1" applyProtection="1">
      <alignment horizontal="center" vertical="center"/>
      <protection locked="0"/>
    </xf>
    <xf numFmtId="0" fontId="3" fillId="0" borderId="2" xfId="14" applyFont="1" applyBorder="1" applyAlignment="1">
      <alignment horizontal="center" vertical="center" wrapText="1"/>
    </xf>
    <xf numFmtId="9" fontId="259" fillId="0" borderId="2" xfId="14" applyNumberFormat="1" applyBorder="1" applyAlignment="1">
      <alignment horizontal="center" vertical="center" wrapText="1"/>
    </xf>
    <xf numFmtId="0" fontId="167" fillId="0" borderId="0" xfId="20" applyFont="1" applyAlignment="1">
      <alignment horizontal="center" vertical="center" wrapText="1"/>
    </xf>
    <xf numFmtId="0" fontId="280" fillId="0" borderId="2" xfId="19" applyFont="1" applyBorder="1" applyAlignment="1">
      <alignment horizontal="center" vertical="center" wrapText="1"/>
    </xf>
    <xf numFmtId="0" fontId="283" fillId="0" borderId="2" xfId="19" applyFont="1" applyBorder="1" applyAlignment="1">
      <alignment horizontal="center" vertical="center" wrapText="1"/>
    </xf>
    <xf numFmtId="180" fontId="172" fillId="0" borderId="2" xfId="20" applyNumberFormat="1" applyFont="1" applyBorder="1" applyAlignment="1">
      <alignment horizontal="right" vertical="center" wrapText="1"/>
    </xf>
    <xf numFmtId="0" fontId="172" fillId="0" borderId="2" xfId="20" applyFont="1" applyBorder="1" applyAlignment="1">
      <alignment horizontal="left" vertical="center" wrapText="1"/>
    </xf>
    <xf numFmtId="180" fontId="167" fillId="0" borderId="0" xfId="20" applyNumberFormat="1" applyFont="1" applyAlignment="1">
      <alignment horizontal="center" vertical="center" wrapText="1"/>
    </xf>
    <xf numFmtId="49" fontId="283" fillId="0" borderId="2" xfId="19" applyNumberFormat="1" applyFont="1" applyBorder="1" applyAlignment="1">
      <alignment horizontal="center" vertical="center" wrapText="1"/>
    </xf>
    <xf numFmtId="0" fontId="285" fillId="0" borderId="2" xfId="20" applyFont="1" applyBorder="1" applyAlignment="1">
      <alignment horizontal="center" vertical="center" wrapText="1"/>
    </xf>
    <xf numFmtId="49" fontId="284" fillId="0" borderId="2" xfId="19" applyNumberFormat="1" applyFont="1" applyBorder="1" applyAlignment="1">
      <alignment horizontal="left" vertical="center" wrapText="1"/>
    </xf>
    <xf numFmtId="0" fontId="284" fillId="0" borderId="2" xfId="19" applyFont="1" applyBorder="1" applyAlignment="1">
      <alignment horizontal="center" vertical="center" wrapText="1"/>
    </xf>
    <xf numFmtId="0" fontId="167" fillId="0" borderId="2" xfId="20" applyFont="1" applyBorder="1" applyAlignment="1">
      <alignment horizontal="center" vertical="center" wrapText="1"/>
    </xf>
    <xf numFmtId="180" fontId="167" fillId="0" borderId="2" xfId="20" applyNumberFormat="1" applyFont="1" applyBorder="1" applyAlignment="1">
      <alignment horizontal="right" vertical="center" wrapText="1"/>
    </xf>
    <xf numFmtId="0" fontId="167" fillId="0" borderId="2" xfId="20" applyFont="1" applyBorder="1" applyAlignment="1">
      <alignment horizontal="left" vertical="center" wrapText="1"/>
    </xf>
    <xf numFmtId="0" fontId="286" fillId="0" borderId="2" xfId="19" applyFont="1" applyBorder="1" applyAlignment="1">
      <alignment horizontal="center" vertical="center" wrapText="1"/>
    </xf>
    <xf numFmtId="180" fontId="284" fillId="0" borderId="2" xfId="19" applyNumberFormat="1" applyFont="1" applyBorder="1" applyAlignment="1">
      <alignment horizontal="right" vertical="center" wrapText="1"/>
    </xf>
    <xf numFmtId="49" fontId="284" fillId="0" borderId="2" xfId="19" applyNumberFormat="1" applyFont="1" applyBorder="1" applyAlignment="1">
      <alignment horizontal="center" vertical="center" wrapText="1"/>
    </xf>
    <xf numFmtId="49" fontId="280" fillId="0" borderId="2" xfId="19" applyNumberFormat="1" applyFont="1" applyBorder="1" applyAlignment="1">
      <alignment horizontal="center" vertical="center" wrapText="1"/>
    </xf>
    <xf numFmtId="0" fontId="172" fillId="0" borderId="2" xfId="20" applyFont="1" applyBorder="1" applyAlignment="1">
      <alignment horizontal="center" vertical="center" wrapText="1"/>
    </xf>
    <xf numFmtId="0" fontId="284" fillId="0" borderId="2" xfId="19" applyFont="1" applyBorder="1" applyAlignment="1">
      <alignment horizontal="left" vertical="center" wrapText="1"/>
    </xf>
    <xf numFmtId="0" fontId="173" fillId="0" borderId="2" xfId="19" applyFont="1" applyBorder="1" applyAlignment="1">
      <alignment horizontal="center" vertical="center" wrapText="1"/>
    </xf>
    <xf numFmtId="9" fontId="167" fillId="0" borderId="2" xfId="20" applyNumberFormat="1" applyFont="1" applyBorder="1" applyAlignment="1">
      <alignment horizontal="center" vertical="center" wrapText="1"/>
    </xf>
    <xf numFmtId="0" fontId="167" fillId="9" borderId="0" xfId="20" applyFont="1" applyFill="1" applyAlignment="1">
      <alignment horizontal="center" vertical="center" wrapText="1"/>
    </xf>
    <xf numFmtId="0" fontId="287" fillId="0" borderId="2" xfId="19" applyFont="1" applyBorder="1" applyAlignment="1">
      <alignment horizontal="center" vertical="center" wrapText="1"/>
    </xf>
    <xf numFmtId="0" fontId="288" fillId="0" borderId="2" xfId="19" applyFont="1" applyBorder="1" applyAlignment="1">
      <alignment horizontal="left" vertical="center" wrapText="1"/>
    </xf>
    <xf numFmtId="0" fontId="289" fillId="0" borderId="2" xfId="20" applyFont="1" applyBorder="1" applyAlignment="1">
      <alignment horizontal="center" vertical="center" wrapText="1"/>
    </xf>
    <xf numFmtId="49" fontId="286" fillId="0" borderId="2" xfId="19" applyNumberFormat="1" applyFont="1" applyBorder="1" applyAlignment="1">
      <alignment horizontal="center" vertical="center" wrapText="1"/>
    </xf>
    <xf numFmtId="49" fontId="284" fillId="0" borderId="2" xfId="19" applyNumberFormat="1" applyFont="1" applyBorder="1" applyAlignment="1">
      <alignment vertical="center" wrapText="1"/>
    </xf>
    <xf numFmtId="0" fontId="284" fillId="0" borderId="2" xfId="19" applyFont="1" applyBorder="1" applyAlignment="1">
      <alignment vertical="center" wrapText="1"/>
    </xf>
    <xf numFmtId="10" fontId="284" fillId="0" borderId="2" xfId="19" applyNumberFormat="1" applyFont="1" applyBorder="1" applyAlignment="1">
      <alignment horizontal="center" vertical="center" wrapText="1"/>
    </xf>
    <xf numFmtId="0" fontId="167" fillId="0" borderId="2" xfId="20" applyFont="1" applyBorder="1" applyAlignment="1" applyProtection="1">
      <alignment horizontal="left" vertical="center" wrapText="1"/>
      <protection locked="0"/>
    </xf>
    <xf numFmtId="9" fontId="284" fillId="0" borderId="2" xfId="19" applyNumberFormat="1" applyFont="1" applyBorder="1" applyAlignment="1">
      <alignment horizontal="center" vertical="center" wrapText="1"/>
    </xf>
    <xf numFmtId="0" fontId="282" fillId="0" borderId="0" xfId="20">
      <alignment vertical="center"/>
    </xf>
    <xf numFmtId="0" fontId="167" fillId="0" borderId="0" xfId="20" applyFont="1" applyAlignment="1">
      <alignment horizontal="left" vertical="center" wrapText="1"/>
    </xf>
    <xf numFmtId="0" fontId="130" fillId="0" borderId="2" xfId="20" applyFont="1" applyBorder="1" applyAlignment="1">
      <alignment horizontal="center" vertical="center" wrapText="1"/>
    </xf>
    <xf numFmtId="0" fontId="130" fillId="18" borderId="2" xfId="20" applyFont="1" applyFill="1" applyBorder="1" applyAlignment="1">
      <alignment horizontal="center" vertical="center" wrapText="1"/>
    </xf>
    <xf numFmtId="0" fontId="130" fillId="9" borderId="2" xfId="20" applyFont="1" applyFill="1" applyBorder="1" applyAlignment="1">
      <alignment horizontal="center" vertical="center" wrapText="1"/>
    </xf>
    <xf numFmtId="0" fontId="130" fillId="0" borderId="2" xfId="19" applyFont="1" applyBorder="1" applyAlignment="1">
      <alignment horizontal="center" vertical="center" wrapText="1"/>
    </xf>
    <xf numFmtId="0" fontId="130" fillId="0" borderId="2" xfId="22" applyFont="1" applyBorder="1" applyAlignment="1">
      <alignment horizontal="center" vertical="center" wrapText="1"/>
    </xf>
    <xf numFmtId="0" fontId="2" fillId="0" borderId="0" xfId="23"/>
    <xf numFmtId="195" fontId="130" fillId="0" borderId="2" xfId="19" applyNumberFormat="1" applyFont="1" applyBorder="1" applyAlignment="1">
      <alignment horizontal="center" vertical="center" wrapText="1"/>
    </xf>
    <xf numFmtId="0" fontId="188" fillId="0" borderId="0" xfId="7" applyFont="1" applyAlignment="1" applyProtection="1">
      <alignment horizontal="left" vertical="top" wrapText="1"/>
    </xf>
    <xf numFmtId="0" fontId="198" fillId="0" borderId="2" xfId="0" applyFont="1" applyBorder="1" applyAlignment="1" applyProtection="1">
      <alignment horizontal="center" vertical="center" wrapText="1"/>
    </xf>
    <xf numFmtId="0" fontId="209" fillId="0" borderId="5" xfId="0" applyFont="1" applyBorder="1" applyAlignment="1">
      <alignment horizontal="center" vertical="center" wrapText="1"/>
    </xf>
    <xf numFmtId="0" fontId="209" fillId="0" borderId="8" xfId="0" applyFont="1" applyBorder="1" applyAlignment="1">
      <alignment horizontal="center" vertical="center" wrapText="1"/>
    </xf>
    <xf numFmtId="0" fontId="209" fillId="0" borderId="9" xfId="0" applyFont="1" applyBorder="1" applyAlignment="1">
      <alignment horizontal="center" vertical="center" wrapText="1"/>
    </xf>
    <xf numFmtId="0" fontId="193"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97" fillId="0" borderId="0" xfId="0" applyFont="1" applyAlignment="1">
      <alignment vertical="center" wrapText="1"/>
    </xf>
    <xf numFmtId="49" fontId="189" fillId="0" borderId="0" xfId="0" applyNumberFormat="1" applyFont="1" applyAlignment="1" applyProtection="1">
      <alignment vertical="center" wrapText="1"/>
      <protection locked="0"/>
    </xf>
    <xf numFmtId="0" fontId="197" fillId="0" borderId="0" xfId="0" applyFont="1" applyAlignment="1" applyProtection="1">
      <alignment vertical="center" wrapText="1"/>
    </xf>
    <xf numFmtId="0" fontId="189" fillId="0" borderId="0" xfId="0" applyFont="1" applyAlignment="1" applyProtection="1">
      <alignment vertical="center" wrapText="1"/>
      <protection locked="0"/>
    </xf>
    <xf numFmtId="0" fontId="197" fillId="0" borderId="0" xfId="0" applyFont="1" applyAlignment="1" applyProtection="1">
      <alignment vertical="center" wrapText="1"/>
      <protection locked="0"/>
    </xf>
    <xf numFmtId="0" fontId="170" fillId="0" borderId="10" xfId="0" applyFont="1" applyBorder="1" applyAlignment="1" applyProtection="1">
      <alignment horizontal="left" vertical="center" wrapText="1"/>
    </xf>
    <xf numFmtId="0" fontId="170" fillId="0" borderId="3" xfId="0" applyFont="1" applyBorder="1" applyAlignment="1" applyProtection="1">
      <alignment horizontal="left" vertical="center" wrapText="1"/>
    </xf>
    <xf numFmtId="0" fontId="170" fillId="0" borderId="21" xfId="0" applyFont="1" applyBorder="1" applyAlignment="1" applyProtection="1">
      <alignment horizontal="left" vertical="center" wrapText="1"/>
    </xf>
    <xf numFmtId="0" fontId="152" fillId="0" borderId="5" xfId="0" applyFont="1" applyBorder="1" applyAlignment="1" applyProtection="1">
      <alignment horizontal="left" vertical="center"/>
    </xf>
    <xf numFmtId="0" fontId="152" fillId="0" borderId="9" xfId="0" applyFont="1" applyBorder="1" applyAlignment="1" applyProtection="1">
      <alignment horizontal="left" vertical="center"/>
    </xf>
    <xf numFmtId="0" fontId="152" fillId="0" borderId="2" xfId="0" applyFont="1" applyBorder="1" applyAlignment="1" applyProtection="1">
      <alignment horizontal="left" vertical="center"/>
    </xf>
    <xf numFmtId="0" fontId="152" fillId="9" borderId="2" xfId="0" applyFont="1" applyFill="1" applyBorder="1" applyAlignment="1" applyProtection="1">
      <alignment horizontal="left" vertical="center"/>
    </xf>
    <xf numFmtId="0" fontId="152" fillId="6" borderId="2" xfId="0" applyFont="1" applyFill="1" applyBorder="1" applyAlignment="1" applyProtection="1">
      <alignment horizontal="left" vertical="center"/>
    </xf>
    <xf numFmtId="0" fontId="55" fillId="0" borderId="5" xfId="0" applyFont="1" applyBorder="1" applyAlignment="1" applyProtection="1">
      <alignment horizontal="left" vertical="center"/>
    </xf>
    <xf numFmtId="0" fontId="152" fillId="0" borderId="10" xfId="0" applyFont="1" applyBorder="1" applyAlignment="1" applyProtection="1">
      <alignment horizontal="left" vertical="center"/>
    </xf>
    <xf numFmtId="0" fontId="152" fillId="0" borderId="3" xfId="0" applyFont="1" applyBorder="1" applyAlignment="1" applyProtection="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168" fillId="5" borderId="0" xfId="0" applyFont="1" applyFill="1" applyBorder="1" applyAlignment="1" applyProtection="1">
      <alignment horizontal="center" vertical="center" wrapText="1"/>
    </xf>
    <xf numFmtId="0" fontId="81" fillId="0" borderId="2" xfId="0" applyFont="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49" xfId="0" applyFont="1" applyFill="1" applyBorder="1" applyAlignment="1" applyProtection="1">
      <alignment vertical="center" wrapText="1"/>
    </xf>
    <xf numFmtId="0" fontId="81" fillId="5" borderId="37" xfId="0" applyFont="1" applyFill="1" applyBorder="1" applyAlignment="1" applyProtection="1">
      <alignment vertical="center" wrapText="1"/>
    </xf>
    <xf numFmtId="0" fontId="81" fillId="5" borderId="38" xfId="0" applyFont="1" applyFill="1" applyBorder="1" applyAlignment="1" applyProtection="1">
      <alignment vertical="center" wrapText="1"/>
    </xf>
    <xf numFmtId="0" fontId="189" fillId="8" borderId="5" xfId="0" applyFont="1" applyFill="1" applyBorder="1" applyAlignment="1" applyProtection="1">
      <alignment vertical="center" wrapText="1"/>
      <protection locked="0"/>
    </xf>
    <xf numFmtId="0" fontId="189" fillId="8" borderId="8" xfId="0" applyFont="1" applyFill="1" applyBorder="1" applyAlignment="1" applyProtection="1">
      <alignment vertical="center" wrapText="1"/>
      <protection locked="0"/>
    </xf>
    <xf numFmtId="0" fontId="189" fillId="8" borderId="9" xfId="0" applyFont="1" applyFill="1" applyBorder="1" applyAlignment="1" applyProtection="1">
      <alignment vertical="center" wrapText="1"/>
      <protection locked="0"/>
    </xf>
    <xf numFmtId="0" fontId="81" fillId="5" borderId="10" xfId="0" applyFont="1" applyFill="1" applyBorder="1" applyAlignment="1" applyProtection="1">
      <alignment horizontal="center" vertical="center" wrapText="1"/>
    </xf>
    <xf numFmtId="0" fontId="81" fillId="5" borderId="102" xfId="0" applyFont="1" applyFill="1" applyBorder="1" applyAlignment="1" applyProtection="1">
      <alignment horizontal="center" vertical="center" wrapText="1"/>
    </xf>
    <xf numFmtId="49" fontId="189" fillId="8" borderId="5" xfId="0" applyNumberFormat="1" applyFont="1" applyFill="1" applyBorder="1" applyAlignment="1" applyProtection="1">
      <alignment horizontal="left" vertical="center"/>
      <protection locked="0"/>
    </xf>
    <xf numFmtId="49" fontId="189" fillId="8" borderId="8" xfId="0" applyNumberFormat="1" applyFont="1" applyFill="1" applyBorder="1" applyAlignment="1" applyProtection="1">
      <alignment horizontal="left" vertical="center"/>
      <protection locked="0"/>
    </xf>
    <xf numFmtId="49" fontId="189" fillId="8" borderId="9" xfId="0" applyNumberFormat="1" applyFont="1" applyFill="1" applyBorder="1" applyAlignment="1" applyProtection="1">
      <alignment horizontal="left" vertical="center"/>
      <protection locked="0"/>
    </xf>
    <xf numFmtId="0" fontId="81" fillId="5" borderId="42"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1" fillId="5" borderId="59" xfId="0" applyFont="1" applyFill="1" applyBorder="1" applyAlignment="1" applyProtection="1">
      <alignment horizontal="center" vertical="center"/>
    </xf>
    <xf numFmtId="0" fontId="81" fillId="5" borderId="30" xfId="0" applyFont="1" applyFill="1" applyBorder="1" applyAlignment="1" applyProtection="1">
      <alignment horizontal="center" vertical="center"/>
    </xf>
    <xf numFmtId="0" fontId="81" fillId="5" borderId="10" xfId="0" applyFont="1" applyFill="1" applyBorder="1" applyAlignment="1" applyProtection="1">
      <alignment horizontal="left" vertical="center" wrapText="1"/>
    </xf>
    <xf numFmtId="0" fontId="81" fillId="5" borderId="3" xfId="0" applyFont="1" applyFill="1" applyBorder="1" applyAlignment="1" applyProtection="1">
      <alignment horizontal="left" vertical="center" wrapText="1"/>
    </xf>
    <xf numFmtId="0" fontId="81" fillId="5" borderId="17" xfId="0" applyFont="1" applyFill="1" applyBorder="1" applyAlignment="1" applyProtection="1">
      <alignment horizontal="left" vertical="center" wrapText="1"/>
    </xf>
    <xf numFmtId="180" fontId="81" fillId="8" borderId="5" xfId="0" applyNumberFormat="1" applyFont="1" applyFill="1" applyBorder="1" applyAlignment="1" applyProtection="1">
      <alignment horizontal="center" vertical="center" wrapText="1"/>
      <protection locked="0"/>
    </xf>
    <xf numFmtId="180" fontId="81" fillId="8" borderId="8" xfId="0" applyNumberFormat="1" applyFont="1" applyFill="1" applyBorder="1" applyAlignment="1" applyProtection="1">
      <alignment horizontal="center" vertical="center" wrapText="1"/>
      <protection locked="0"/>
    </xf>
    <xf numFmtId="180" fontId="81" fillId="8" borderId="9" xfId="0" applyNumberFormat="1" applyFont="1" applyFill="1" applyBorder="1" applyAlignment="1" applyProtection="1">
      <alignment horizontal="center" vertical="center" wrapText="1"/>
      <protection locked="0"/>
    </xf>
    <xf numFmtId="0" fontId="189" fillId="8" borderId="5" xfId="0" applyFont="1" applyFill="1" applyBorder="1" applyAlignment="1" applyProtection="1">
      <alignment vertical="center"/>
      <protection locked="0"/>
    </xf>
    <xf numFmtId="0" fontId="189" fillId="8" borderId="8" xfId="0" applyFont="1" applyFill="1" applyBorder="1" applyAlignment="1" applyProtection="1">
      <alignment vertical="center"/>
      <protection locked="0"/>
    </xf>
    <xf numFmtId="0" fontId="189" fillId="8" borderId="9" xfId="0" applyFont="1" applyFill="1" applyBorder="1" applyAlignment="1" applyProtection="1">
      <alignment vertical="center"/>
      <protection locked="0"/>
    </xf>
    <xf numFmtId="0" fontId="81" fillId="2" borderId="17" xfId="0" applyFont="1" applyFill="1" applyBorder="1" applyAlignment="1" applyProtection="1">
      <alignment horizontal="left" vertical="center" wrapText="1"/>
      <protection locked="0"/>
    </xf>
    <xf numFmtId="0" fontId="81" fillId="2" borderId="20" xfId="0" applyFont="1" applyFill="1" applyBorder="1" applyAlignment="1" applyProtection="1">
      <alignment horizontal="left" vertical="center" wrapText="1"/>
      <protection locked="0"/>
    </xf>
    <xf numFmtId="0" fontId="81" fillId="5" borderId="3"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0" fontId="81" fillId="0" borderId="5" xfId="0" applyFont="1" applyBorder="1" applyAlignment="1" applyProtection="1">
      <alignment horizontal="left" vertical="center" wrapText="1"/>
      <protection locked="0"/>
    </xf>
    <xf numFmtId="0" fontId="81" fillId="0" borderId="32" xfId="0" applyFont="1" applyBorder="1" applyAlignment="1" applyProtection="1">
      <alignment horizontal="left" vertical="center" wrapText="1"/>
      <protection locked="0"/>
    </xf>
    <xf numFmtId="0" fontId="81" fillId="5" borderId="10" xfId="0" applyFont="1" applyFill="1" applyBorder="1" applyAlignment="1" applyProtection="1">
      <alignment horizontal="left" vertical="center"/>
    </xf>
    <xf numFmtId="49" fontId="81" fillId="5" borderId="2" xfId="0" applyNumberFormat="1" applyFont="1" applyFill="1" applyBorder="1" applyAlignment="1" applyProtection="1">
      <alignment horizontal="center" vertical="center" wrapText="1"/>
    </xf>
    <xf numFmtId="0" fontId="81" fillId="8" borderId="5" xfId="0" applyFont="1" applyFill="1" applyBorder="1" applyAlignment="1" applyProtection="1">
      <alignment horizontal="left" vertical="center" wrapText="1"/>
      <protection locked="0"/>
    </xf>
    <xf numFmtId="0" fontId="81" fillId="8" borderId="8" xfId="0" applyFont="1" applyFill="1" applyBorder="1" applyAlignment="1" applyProtection="1">
      <alignment horizontal="left" vertical="center" wrapText="1"/>
      <protection locked="0"/>
    </xf>
    <xf numFmtId="0" fontId="81" fillId="8" borderId="9" xfId="0" applyFont="1" applyFill="1" applyBorder="1" applyAlignment="1" applyProtection="1">
      <alignment horizontal="left" vertical="center" wrapText="1"/>
      <protection locked="0"/>
    </xf>
    <xf numFmtId="0" fontId="81" fillId="5" borderId="5" xfId="0" applyFont="1" applyFill="1" applyBorder="1" applyAlignment="1" applyProtection="1">
      <alignment horizontal="left" vertical="center" wrapText="1"/>
    </xf>
    <xf numFmtId="0" fontId="81" fillId="5" borderId="9" xfId="0" applyFont="1" applyFill="1" applyBorder="1" applyAlignment="1" applyProtection="1">
      <alignment horizontal="left" vertical="center" wrapText="1"/>
    </xf>
    <xf numFmtId="0" fontId="81" fillId="8" borderId="2" xfId="0" applyFont="1" applyFill="1" applyBorder="1" applyAlignment="1" applyProtection="1">
      <alignment vertical="center" wrapText="1"/>
      <protection locked="0"/>
    </xf>
    <xf numFmtId="0" fontId="81" fillId="0" borderId="2" xfId="0" applyFont="1" applyBorder="1" applyAlignment="1" applyProtection="1">
      <alignment vertical="center" wrapText="1"/>
      <protection locked="0"/>
    </xf>
    <xf numFmtId="0" fontId="21" fillId="0" borderId="2" xfId="0" applyFont="1" applyFill="1" applyBorder="1" applyAlignment="1" applyProtection="1">
      <alignment horizontal="center" vertical="center" wrapText="1"/>
    </xf>
    <xf numFmtId="0" fontId="151" fillId="0" borderId="2" xfId="0" applyFont="1" applyBorder="1" applyAlignment="1">
      <alignment horizontal="center" vertical="center" wrapText="1"/>
    </xf>
    <xf numFmtId="0" fontId="130" fillId="0" borderId="2" xfId="19" applyFont="1" applyBorder="1" applyAlignment="1">
      <alignment horizontal="center" vertical="center" wrapText="1"/>
    </xf>
    <xf numFmtId="0" fontId="224" fillId="0" borderId="19" xfId="19" applyFont="1" applyBorder="1" applyAlignment="1">
      <alignment horizontal="center" vertical="center" wrapText="1"/>
    </xf>
    <xf numFmtId="0" fontId="22" fillId="5" borderId="53" xfId="0" applyFont="1" applyFill="1" applyBorder="1" applyAlignment="1" applyProtection="1">
      <alignment horizontal="center" vertical="center"/>
    </xf>
    <xf numFmtId="0" fontId="22" fillId="5" borderId="27" xfId="0" applyFont="1" applyFill="1" applyBorder="1" applyAlignment="1" applyProtection="1">
      <alignment horizontal="center" vertical="center"/>
    </xf>
    <xf numFmtId="0" fontId="22" fillId="5" borderId="41" xfId="0" applyFont="1" applyFill="1" applyBorder="1" applyAlignment="1" applyProtection="1">
      <alignment horizontal="center" vertical="center"/>
    </xf>
    <xf numFmtId="0" fontId="20" fillId="5" borderId="1" xfId="0" applyFont="1" applyFill="1" applyBorder="1" applyAlignment="1" applyProtection="1">
      <alignment horizontal="center" vertical="center"/>
    </xf>
    <xf numFmtId="0" fontId="20" fillId="5" borderId="6" xfId="0" applyFont="1" applyFill="1" applyBorder="1" applyAlignment="1" applyProtection="1">
      <alignment horizontal="center" vertical="center"/>
    </xf>
    <xf numFmtId="0" fontId="20"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65" fillId="5" borderId="104" xfId="0" applyFont="1" applyFill="1" applyBorder="1" applyAlignment="1" applyProtection="1">
      <alignment horizontal="center" vertical="center"/>
    </xf>
    <xf numFmtId="0" fontId="65" fillId="5" borderId="100" xfId="0" applyFont="1" applyFill="1" applyBorder="1" applyAlignment="1" applyProtection="1">
      <alignment horizontal="center" vertical="center"/>
    </xf>
    <xf numFmtId="0" fontId="259" fillId="0" borderId="10" xfId="14" applyBorder="1" applyAlignment="1">
      <alignment horizontal="center" vertical="center" wrapText="1"/>
    </xf>
    <xf numFmtId="0" fontId="259" fillId="0" borderId="21" xfId="14" applyBorder="1" applyAlignment="1">
      <alignment horizontal="center" vertical="center" wrapText="1"/>
    </xf>
    <xf numFmtId="0" fontId="3" fillId="0" borderId="2" xfId="14" applyFont="1" applyBorder="1" applyAlignment="1">
      <alignment horizontal="center" vertical="center" wrapText="1"/>
    </xf>
    <xf numFmtId="0" fontId="3" fillId="0" borderId="10" xfId="14" applyFont="1" applyBorder="1" applyAlignment="1">
      <alignment horizontal="center" vertical="center" wrapText="1"/>
    </xf>
    <xf numFmtId="0" fontId="259" fillId="0" borderId="5" xfId="14" applyBorder="1" applyAlignment="1">
      <alignment horizontal="center" vertical="center" wrapText="1"/>
    </xf>
    <xf numFmtId="0" fontId="259" fillId="0" borderId="9" xfId="14" applyBorder="1" applyAlignment="1">
      <alignment horizontal="center" vertical="center" wrapText="1"/>
    </xf>
    <xf numFmtId="0" fontId="259" fillId="0" borderId="2" xfId="14" applyBorder="1" applyAlignment="1">
      <alignment horizontal="left" vertical="center" wrapText="1"/>
    </xf>
    <xf numFmtId="0" fontId="259" fillId="0" borderId="3" xfId="14" applyBorder="1" applyAlignment="1">
      <alignment horizontal="center" vertical="center" wrapText="1"/>
    </xf>
    <xf numFmtId="0" fontId="165" fillId="5" borderId="2" xfId="0" applyFont="1" applyFill="1" applyBorder="1" applyAlignment="1">
      <alignment horizontal="center" vertical="center" wrapText="1"/>
    </xf>
    <xf numFmtId="0" fontId="52" fillId="5" borderId="5" xfId="0" applyFont="1" applyFill="1" applyBorder="1" applyAlignment="1" applyProtection="1">
      <alignment horizontal="center" vertical="center"/>
    </xf>
    <xf numFmtId="0" fontId="52" fillId="5" borderId="8" xfId="0" applyFont="1" applyFill="1" applyBorder="1" applyAlignment="1" applyProtection="1">
      <alignment horizontal="center" vertical="center"/>
    </xf>
    <xf numFmtId="0" fontId="52" fillId="5" borderId="5" xfId="0"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178" fillId="5" borderId="36" xfId="0" applyFont="1" applyFill="1" applyBorder="1" applyAlignment="1" applyProtection="1">
      <alignment horizontal="center" vertical="center" wrapText="1"/>
    </xf>
    <xf numFmtId="0" fontId="178" fillId="5" borderId="37" xfId="0" applyFont="1" applyFill="1" applyBorder="1" applyAlignment="1" applyProtection="1">
      <alignment horizontal="center" vertical="center" wrapText="1"/>
    </xf>
    <xf numFmtId="0" fontId="178" fillId="5" borderId="38" xfId="0" applyFont="1" applyFill="1" applyBorder="1" applyAlignment="1" applyProtection="1">
      <alignment horizontal="center" vertical="center" wrapText="1"/>
    </xf>
    <xf numFmtId="0" fontId="160" fillId="5" borderId="2" xfId="0" applyFont="1" applyFill="1" applyBorder="1" applyAlignment="1" applyProtection="1">
      <alignment horizontal="center" vertical="center" wrapText="1"/>
    </xf>
    <xf numFmtId="0" fontId="160" fillId="5" borderId="21" xfId="0" applyFont="1" applyFill="1" applyBorder="1" applyAlignment="1" applyProtection="1">
      <alignment horizontal="center" vertical="center" wrapText="1"/>
    </xf>
    <xf numFmtId="0" fontId="160" fillId="5" borderId="17"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68" fillId="5" borderId="2" xfId="0" applyFont="1" applyFill="1" applyBorder="1" applyAlignment="1" applyProtection="1">
      <alignment horizontal="center" vertical="center" wrapText="1"/>
    </xf>
    <xf numFmtId="0" fontId="48" fillId="5" borderId="10" xfId="0" applyFont="1" applyFill="1" applyBorder="1" applyAlignment="1" applyProtection="1">
      <alignment horizontal="center" vertical="center" wrapText="1"/>
    </xf>
    <xf numFmtId="0" fontId="160" fillId="5" borderId="10" xfId="0" applyFont="1" applyFill="1" applyBorder="1" applyAlignment="1" applyProtection="1">
      <alignment horizontal="center" vertical="center" wrapText="1"/>
    </xf>
    <xf numFmtId="0" fontId="169" fillId="5" borderId="21" xfId="0" applyFont="1" applyFill="1" applyBorder="1" applyAlignment="1" applyProtection="1">
      <alignment horizontal="center" vertical="center" wrapText="1"/>
    </xf>
    <xf numFmtId="0" fontId="88" fillId="5" borderId="61" xfId="0" applyFont="1" applyFill="1" applyBorder="1" applyAlignment="1" applyProtection="1">
      <alignment horizontal="center" vertical="center"/>
    </xf>
    <xf numFmtId="0" fontId="98" fillId="5" borderId="1" xfId="0" applyFont="1" applyFill="1" applyBorder="1" applyAlignment="1" applyProtection="1">
      <alignment horizontal="center" vertical="center" wrapText="1"/>
    </xf>
    <xf numFmtId="0" fontId="98" fillId="5" borderId="6" xfId="0" applyFont="1" applyFill="1" applyBorder="1" applyAlignment="1" applyProtection="1">
      <alignment horizontal="center" vertical="center" wrapText="1"/>
    </xf>
    <xf numFmtId="0" fontId="79" fillId="5" borderId="5" xfId="0" applyFont="1" applyFill="1" applyBorder="1" applyAlignment="1" applyProtection="1">
      <alignment horizontal="center" vertical="center" wrapText="1"/>
    </xf>
    <xf numFmtId="0" fontId="79" fillId="5" borderId="9" xfId="0" applyFont="1" applyFill="1" applyBorder="1" applyAlignment="1" applyProtection="1">
      <alignment horizontal="center" vertical="center" wrapText="1"/>
    </xf>
    <xf numFmtId="0" fontId="78" fillId="5" borderId="53" xfId="0" applyFont="1" applyFill="1" applyBorder="1" applyAlignment="1" applyProtection="1">
      <alignment horizontal="left" vertical="center" wrapText="1"/>
    </xf>
    <xf numFmtId="0" fontId="78" fillId="5" borderId="24" xfId="0" applyFont="1" applyFill="1" applyBorder="1" applyAlignment="1" applyProtection="1">
      <alignment horizontal="left" vertical="center" wrapText="1"/>
    </xf>
    <xf numFmtId="0" fontId="78" fillId="5" borderId="23" xfId="0" applyFont="1" applyFill="1" applyBorder="1" applyAlignment="1" applyProtection="1">
      <alignment horizontal="left" vertical="center" wrapText="1"/>
    </xf>
    <xf numFmtId="0" fontId="168" fillId="5" borderId="71" xfId="0" applyFont="1" applyFill="1" applyBorder="1" applyAlignment="1" applyProtection="1">
      <alignment horizontal="center" vertical="center" wrapText="1"/>
    </xf>
    <xf numFmtId="0" fontId="168" fillId="5" borderId="84"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76" fillId="5" borderId="35" xfId="0" applyFont="1" applyFill="1" applyBorder="1" applyAlignment="1" applyProtection="1">
      <alignment horizontal="center" vertical="center" wrapText="1"/>
    </xf>
    <xf numFmtId="0" fontId="176" fillId="5" borderId="79" xfId="0" applyFont="1" applyFill="1" applyBorder="1" applyAlignment="1" applyProtection="1">
      <alignment horizontal="center" vertical="center" wrapText="1"/>
    </xf>
    <xf numFmtId="0" fontId="176" fillId="5" borderId="80" xfId="0" applyFont="1" applyFill="1" applyBorder="1" applyAlignment="1" applyProtection="1">
      <alignment horizontal="center" vertical="center" wrapText="1"/>
    </xf>
    <xf numFmtId="0" fontId="79" fillId="5" borderId="43" xfId="0" applyFont="1" applyFill="1" applyBorder="1" applyAlignment="1" applyProtection="1">
      <alignment horizontal="left" vertical="center" wrapText="1"/>
    </xf>
    <xf numFmtId="0" fontId="79" fillId="5" borderId="44" xfId="0" applyFont="1" applyFill="1" applyBorder="1" applyAlignment="1" applyProtection="1">
      <alignment horizontal="left" vertical="center" wrapText="1"/>
    </xf>
    <xf numFmtId="0" fontId="88" fillId="5" borderId="4" xfId="0" applyFont="1" applyFill="1" applyBorder="1" applyAlignment="1" applyProtection="1">
      <alignment horizontal="left" vertical="center" wrapText="1"/>
    </xf>
    <xf numFmtId="0" fontId="88" fillId="5" borderId="14" xfId="0" applyFont="1" applyFill="1" applyBorder="1" applyAlignment="1" applyProtection="1">
      <alignment horizontal="left" vertical="center" wrapText="1"/>
    </xf>
    <xf numFmtId="0" fontId="88" fillId="5" borderId="32" xfId="0" applyFont="1" applyFill="1" applyBorder="1" applyAlignment="1" applyProtection="1">
      <alignment horizontal="left" vertical="center" wrapText="1"/>
    </xf>
    <xf numFmtId="0" fontId="79" fillId="5" borderId="25" xfId="0" applyFont="1" applyFill="1" applyBorder="1" applyAlignment="1" applyProtection="1">
      <alignment horizontal="center" vertical="center"/>
    </xf>
    <xf numFmtId="0" fontId="79" fillId="5" borderId="52" xfId="0" applyFont="1" applyFill="1" applyBorder="1" applyAlignment="1" applyProtection="1">
      <alignment horizontal="center" vertical="center"/>
    </xf>
    <xf numFmtId="0" fontId="79" fillId="5" borderId="51" xfId="0" applyFont="1" applyFill="1" applyBorder="1" applyAlignment="1" applyProtection="1">
      <alignment horizontal="center" vertical="center"/>
    </xf>
    <xf numFmtId="0" fontId="79" fillId="5" borderId="11" xfId="0" applyFont="1" applyFill="1" applyBorder="1" applyAlignment="1" applyProtection="1">
      <alignment horizontal="left" vertical="center" wrapText="1"/>
    </xf>
    <xf numFmtId="0" fontId="79" fillId="5" borderId="2" xfId="0" applyFont="1" applyFill="1" applyBorder="1" applyAlignment="1" applyProtection="1">
      <alignment horizontal="left" vertical="center" wrapText="1"/>
    </xf>
    <xf numFmtId="10" fontId="52" fillId="5" borderId="5" xfId="0" applyNumberFormat="1" applyFont="1" applyFill="1" applyBorder="1" applyAlignment="1" applyProtection="1">
      <alignment horizontal="left" vertical="center" wrapText="1"/>
    </xf>
    <xf numFmtId="10" fontId="79" fillId="5" borderId="8" xfId="0" applyNumberFormat="1" applyFont="1" applyFill="1" applyBorder="1" applyAlignment="1" applyProtection="1">
      <alignment horizontal="left" vertical="center" wrapText="1"/>
    </xf>
    <xf numFmtId="10" fontId="79" fillId="5" borderId="16" xfId="0" applyNumberFormat="1" applyFont="1" applyFill="1" applyBorder="1" applyAlignment="1" applyProtection="1">
      <alignment horizontal="left" vertical="center" wrapText="1"/>
    </xf>
    <xf numFmtId="10" fontId="79" fillId="5" borderId="5" xfId="0" applyNumberFormat="1" applyFont="1" applyFill="1" applyBorder="1" applyAlignment="1" applyProtection="1">
      <alignment horizontal="left" vertical="center" wrapText="1"/>
    </xf>
    <xf numFmtId="0" fontId="156" fillId="0" borderId="36" xfId="0" applyFont="1" applyBorder="1" applyAlignment="1" applyProtection="1">
      <alignment horizontal="center" vertical="center"/>
      <protection locked="0"/>
    </xf>
    <xf numFmtId="0" fontId="156" fillId="0" borderId="37" xfId="0" applyFont="1" applyBorder="1" applyAlignment="1" applyProtection="1">
      <alignment horizontal="center" vertical="center"/>
      <protection locked="0"/>
    </xf>
    <xf numFmtId="0" fontId="156" fillId="0" borderId="61" xfId="0" applyFont="1" applyBorder="1" applyAlignment="1" applyProtection="1">
      <alignment horizontal="center" vertical="center"/>
      <protection locked="0"/>
    </xf>
    <xf numFmtId="0" fontId="156" fillId="0" borderId="38" xfId="0" applyFont="1" applyBorder="1" applyAlignment="1" applyProtection="1">
      <alignment horizontal="center" vertical="center"/>
      <protection locked="0"/>
    </xf>
    <xf numFmtId="0" fontId="74" fillId="5" borderId="2" xfId="0"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79" fillId="5" borderId="8" xfId="0" applyFont="1" applyFill="1" applyBorder="1" applyAlignment="1" applyProtection="1">
      <alignment horizontal="left" vertical="center" wrapText="1"/>
    </xf>
    <xf numFmtId="0" fontId="79" fillId="5" borderId="16" xfId="0" applyFont="1" applyFill="1" applyBorder="1" applyAlignment="1" applyProtection="1">
      <alignment horizontal="left" vertical="center" wrapText="1"/>
    </xf>
    <xf numFmtId="0" fontId="98" fillId="5" borderId="31"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79" fillId="5" borderId="87" xfId="0"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0" fontId="74" fillId="0" borderId="10" xfId="0" applyFont="1" applyBorder="1" applyAlignment="1" applyProtection="1">
      <alignment horizontal="center" vertical="center"/>
      <protection locked="0"/>
    </xf>
    <xf numFmtId="0" fontId="74" fillId="0" borderId="3" xfId="0" applyFont="1" applyBorder="1" applyAlignment="1" applyProtection="1">
      <alignment horizontal="center" vertical="center"/>
      <protection locked="0"/>
    </xf>
    <xf numFmtId="0" fontId="74" fillId="0" borderId="21" xfId="0" applyFont="1" applyBorder="1" applyAlignment="1" applyProtection="1">
      <alignment horizontal="center" vertical="center"/>
      <protection locked="0"/>
    </xf>
    <xf numFmtId="0" fontId="74" fillId="0" borderId="2" xfId="0" applyFont="1" applyBorder="1" applyAlignment="1" applyProtection="1">
      <alignment horizontal="center" vertical="center"/>
      <protection locked="0"/>
    </xf>
    <xf numFmtId="0" fontId="79" fillId="5" borderId="8" xfId="0" applyFont="1" applyFill="1" applyBorder="1" applyAlignment="1" applyProtection="1">
      <alignment horizontal="center" vertical="center" wrapText="1"/>
    </xf>
    <xf numFmtId="0" fontId="79" fillId="5" borderId="9" xfId="0" applyFont="1" applyFill="1" applyBorder="1" applyAlignment="1" applyProtection="1">
      <alignment horizontal="left" vertical="center" wrapText="1"/>
    </xf>
    <xf numFmtId="0" fontId="78" fillId="5" borderId="50" xfId="0" applyFont="1" applyFill="1" applyBorder="1" applyAlignment="1" applyProtection="1">
      <alignment horizontal="left" vertical="center" wrapText="1"/>
    </xf>
    <xf numFmtId="0" fontId="78" fillId="5" borderId="11" xfId="0" applyFont="1" applyFill="1" applyBorder="1" applyAlignment="1" applyProtection="1">
      <alignment horizontal="left" vertical="center"/>
    </xf>
    <xf numFmtId="0" fontId="78" fillId="5" borderId="2" xfId="0" applyFont="1" applyFill="1" applyBorder="1" applyAlignment="1" applyProtection="1">
      <alignment horizontal="left" vertical="center"/>
    </xf>
    <xf numFmtId="0" fontId="78" fillId="5" borderId="43" xfId="0" applyFont="1" applyFill="1" applyBorder="1" applyAlignment="1" applyProtection="1">
      <alignment horizontal="left" vertical="center" wrapText="1"/>
      <protection locked="0"/>
    </xf>
    <xf numFmtId="0" fontId="78" fillId="5" borderId="44" xfId="0" applyFont="1" applyFill="1" applyBorder="1" applyAlignment="1" applyProtection="1">
      <alignment horizontal="left" vertical="center" wrapText="1"/>
      <protection locked="0"/>
    </xf>
    <xf numFmtId="0" fontId="79" fillId="5" borderId="22" xfId="0" applyFont="1" applyFill="1" applyBorder="1" applyAlignment="1" applyProtection="1">
      <alignment horizontal="left" vertical="center" wrapText="1"/>
    </xf>
    <xf numFmtId="0" fontId="78" fillId="5" borderId="64"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88" fillId="5" borderId="59" xfId="0" applyFont="1" applyFill="1" applyBorder="1" applyAlignment="1" applyProtection="1">
      <alignment horizontal="center" vertical="center" wrapText="1"/>
    </xf>
    <xf numFmtId="0" fontId="88" fillId="5" borderId="30" xfId="0" applyFont="1" applyFill="1" applyBorder="1" applyAlignment="1" applyProtection="1">
      <alignment horizontal="center" vertical="center" wrapText="1"/>
    </xf>
    <xf numFmtId="0" fontId="88" fillId="5" borderId="57" xfId="0" applyFont="1" applyFill="1" applyBorder="1" applyAlignment="1" applyProtection="1">
      <alignment horizontal="center" vertical="center" wrapText="1"/>
    </xf>
    <xf numFmtId="0" fontId="78" fillId="6" borderId="8" xfId="0" applyFont="1" applyFill="1" applyBorder="1" applyAlignment="1" applyProtection="1">
      <alignment vertical="center"/>
    </xf>
    <xf numFmtId="0" fontId="78" fillId="6" borderId="9" xfId="0" applyFont="1" applyFill="1" applyBorder="1" applyAlignment="1" applyProtection="1">
      <alignment vertical="center"/>
    </xf>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0" fontId="147" fillId="5" borderId="11" xfId="0" applyFont="1" applyFill="1" applyBorder="1" applyAlignment="1" applyProtection="1">
      <alignment horizontal="center" vertical="center" wrapText="1"/>
    </xf>
    <xf numFmtId="0" fontId="147" fillId="5" borderId="2" xfId="0" applyFont="1" applyFill="1" applyBorder="1" applyAlignment="1" applyProtection="1">
      <alignment horizontal="center" vertical="center" wrapText="1"/>
    </xf>
    <xf numFmtId="0" fontId="203" fillId="5" borderId="11" xfId="0" applyFont="1" applyFill="1" applyBorder="1" applyAlignment="1" applyProtection="1">
      <alignment horizontal="center" vertical="center"/>
    </xf>
    <xf numFmtId="0" fontId="87" fillId="5" borderId="10"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87" fillId="5" borderId="21" xfId="0" applyFont="1" applyFill="1" applyBorder="1" applyAlignment="1" applyProtection="1">
      <alignment horizontal="center" vertical="center"/>
    </xf>
    <xf numFmtId="0" fontId="74" fillId="5" borderId="5"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87" fillId="5" borderId="4" xfId="0" applyFont="1" applyFill="1" applyBorder="1" applyAlignment="1" applyProtection="1">
      <alignment horizontal="center" vertical="center"/>
    </xf>
    <xf numFmtId="0" fontId="87" fillId="5" borderId="32" xfId="0" applyFont="1" applyFill="1" applyBorder="1" applyAlignment="1" applyProtection="1">
      <alignment horizontal="center" vertical="center"/>
    </xf>
    <xf numFmtId="0" fontId="87" fillId="5" borderId="13"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17" xfId="0" applyFont="1" applyFill="1" applyBorder="1" applyAlignment="1" applyProtection="1">
      <alignment horizontal="center" vertical="center"/>
    </xf>
    <xf numFmtId="0" fontId="87" fillId="5" borderId="20" xfId="0" applyFont="1" applyFill="1" applyBorder="1" applyAlignment="1" applyProtection="1">
      <alignment horizontal="center" vertical="center"/>
    </xf>
    <xf numFmtId="0" fontId="87" fillId="5" borderId="2"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87" fillId="5" borderId="10" xfId="0" applyFont="1" applyFill="1" applyBorder="1" applyAlignment="1" applyProtection="1">
      <alignment horizontal="center" vertical="center" wrapText="1"/>
    </xf>
    <xf numFmtId="0" fontId="87" fillId="5" borderId="3" xfId="0" applyFont="1" applyFill="1" applyBorder="1" applyAlignment="1" applyProtection="1">
      <alignment horizontal="center" vertical="center" wrapText="1"/>
    </xf>
    <xf numFmtId="0" fontId="87" fillId="5" borderId="10" xfId="0" applyFont="1" applyFill="1" applyBorder="1" applyAlignment="1" applyProtection="1">
      <alignment horizontal="center" vertical="center" textRotation="255" wrapText="1"/>
    </xf>
    <xf numFmtId="0" fontId="87" fillId="5" borderId="3" xfId="0" applyFont="1" applyFill="1" applyBorder="1" applyAlignment="1" applyProtection="1">
      <alignment horizontal="center" vertical="center" textRotation="255" wrapText="1"/>
    </xf>
    <xf numFmtId="0" fontId="87" fillId="5" borderId="1" xfId="0" applyFont="1" applyFill="1" applyBorder="1" applyAlignment="1" applyProtection="1">
      <alignment horizontal="center" vertical="center" wrapText="1"/>
    </xf>
    <xf numFmtId="0" fontId="87" fillId="5" borderId="7" xfId="0" applyFont="1" applyFill="1" applyBorder="1" applyAlignment="1" applyProtection="1">
      <alignment horizontal="center" vertical="center" wrapText="1"/>
    </xf>
    <xf numFmtId="0" fontId="87" fillId="5" borderId="4" xfId="0" applyFont="1" applyFill="1" applyBorder="1" applyAlignment="1" applyProtection="1">
      <alignment horizontal="center" vertical="center" wrapText="1"/>
    </xf>
    <xf numFmtId="0" fontId="87" fillId="5" borderId="32" xfId="0" applyFont="1" applyFill="1" applyBorder="1" applyAlignment="1" applyProtection="1">
      <alignment horizontal="center" vertical="center" wrapText="1"/>
    </xf>
    <xf numFmtId="0" fontId="87" fillId="5" borderId="13" xfId="0" applyFont="1" applyFill="1" applyBorder="1" applyAlignment="1" applyProtection="1">
      <alignment horizontal="center" vertical="center" wrapText="1"/>
    </xf>
    <xf numFmtId="0" fontId="87" fillId="5" borderId="18"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wrapText="1"/>
    </xf>
    <xf numFmtId="0" fontId="87" fillId="5" borderId="20"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5"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5" fillId="0" borderId="12"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265" fillId="0" borderId="46" xfId="0" applyFont="1" applyFill="1" applyBorder="1" applyAlignment="1" applyProtection="1">
      <alignment horizontal="center" vertical="center" wrapText="1"/>
      <protection locked="0"/>
    </xf>
    <xf numFmtId="0" fontId="87" fillId="5" borderId="5" xfId="0" applyFont="1" applyFill="1" applyBorder="1" applyAlignment="1" applyProtection="1">
      <alignment horizontal="center" vertical="center" wrapText="1"/>
    </xf>
    <xf numFmtId="0" fontId="87" fillId="5" borderId="9" xfId="0" applyFont="1" applyFill="1" applyBorder="1" applyAlignment="1" applyProtection="1">
      <alignment horizontal="center" vertical="center" wrapText="1"/>
    </xf>
    <xf numFmtId="185" fontId="86" fillId="5" borderId="2" xfId="0" applyNumberFormat="1" applyFont="1" applyFill="1" applyBorder="1" applyAlignment="1" applyProtection="1">
      <alignment horizontal="center" vertical="center"/>
    </xf>
    <xf numFmtId="185" fontId="87" fillId="5" borderId="2" xfId="0" applyNumberFormat="1" applyFont="1" applyFill="1" applyBorder="1" applyAlignment="1" applyProtection="1">
      <alignment horizontal="center" vertical="center"/>
    </xf>
    <xf numFmtId="0" fontId="152" fillId="5" borderId="26" xfId="0" applyFont="1" applyFill="1" applyBorder="1" applyAlignment="1" applyProtection="1">
      <alignment horizontal="center" vertical="center" wrapText="1"/>
    </xf>
    <xf numFmtId="0" fontId="152" fillId="5" borderId="39" xfId="0" applyFont="1" applyFill="1" applyBorder="1" applyAlignment="1" applyProtection="1">
      <alignment horizontal="center" vertical="center" wrapText="1"/>
    </xf>
    <xf numFmtId="0" fontId="152" fillId="5" borderId="87" xfId="0" applyFont="1" applyFill="1" applyBorder="1" applyAlignment="1" applyProtection="1">
      <alignment horizontal="center" vertical="center" wrapText="1"/>
    </xf>
    <xf numFmtId="0" fontId="152" fillId="5" borderId="63" xfId="0" applyFont="1" applyFill="1" applyBorder="1" applyAlignment="1" applyProtection="1">
      <alignment horizontal="center" vertical="center" wrapText="1"/>
    </xf>
    <xf numFmtId="0" fontId="155" fillId="5" borderId="11" xfId="0" applyFont="1" applyFill="1" applyBorder="1" applyAlignment="1" applyProtection="1">
      <alignment horizontal="center" vertical="center"/>
    </xf>
    <xf numFmtId="0" fontId="87" fillId="5" borderId="42" xfId="0" applyFont="1" applyFill="1" applyBorder="1" applyAlignment="1" applyProtection="1">
      <alignment horizontal="center" vertical="center" wrapText="1"/>
    </xf>
    <xf numFmtId="0" fontId="87" fillId="5" borderId="29" xfId="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265" fillId="0" borderId="5"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265" fillId="0" borderId="4" xfId="0" applyFont="1" applyFill="1" applyBorder="1" applyAlignment="1" applyProtection="1">
      <alignment horizontal="center" vertical="center" wrapText="1"/>
      <protection locked="0"/>
    </xf>
    <xf numFmtId="0" fontId="167" fillId="5" borderId="0" xfId="3" applyFont="1" applyFill="1" applyAlignment="1" applyProtection="1">
      <alignment horizontal="left" vertical="center"/>
    </xf>
    <xf numFmtId="49" fontId="129" fillId="5" borderId="53" xfId="0" applyNumberFormat="1" applyFont="1" applyFill="1" applyBorder="1" applyAlignment="1" applyProtection="1">
      <alignment horizontal="center" vertical="center" wrapText="1"/>
    </xf>
    <xf numFmtId="49" fontId="129" fillId="5" borderId="24" xfId="0" applyNumberFormat="1" applyFont="1" applyFill="1" applyBorder="1" applyAlignment="1" applyProtection="1">
      <alignment horizontal="center" vertical="center" wrapText="1"/>
    </xf>
    <xf numFmtId="49" fontId="162" fillId="5" borderId="31" xfId="0" applyNumberFormat="1" applyFont="1" applyFill="1" applyBorder="1" applyAlignment="1" applyProtection="1">
      <alignment horizontal="center" vertical="center" wrapText="1"/>
    </xf>
    <xf numFmtId="49" fontId="162" fillId="5" borderId="24" xfId="0" applyNumberFormat="1" applyFont="1" applyFill="1" applyBorder="1" applyAlignment="1" applyProtection="1">
      <alignment horizontal="center" vertical="center" wrapText="1"/>
    </xf>
    <xf numFmtId="49" fontId="129" fillId="5" borderId="23" xfId="0" applyNumberFormat="1" applyFont="1" applyFill="1" applyBorder="1" applyAlignment="1" applyProtection="1">
      <alignment horizontal="center" vertical="center" wrapText="1"/>
    </xf>
    <xf numFmtId="0" fontId="172" fillId="5" borderId="0" xfId="3" applyFont="1" applyFill="1" applyAlignment="1" applyProtection="1">
      <alignment horizontal="center" vertical="center"/>
    </xf>
    <xf numFmtId="0" fontId="167" fillId="5" borderId="2" xfId="3" applyFont="1" applyFill="1" applyBorder="1" applyAlignment="1" applyProtection="1">
      <alignment horizontal="center" vertical="center"/>
    </xf>
    <xf numFmtId="0" fontId="274" fillId="5" borderId="10" xfId="0" applyFont="1" applyFill="1" applyBorder="1" applyAlignment="1" applyProtection="1">
      <alignment vertical="center" wrapText="1"/>
    </xf>
    <xf numFmtId="0" fontId="274" fillId="5" borderId="3" xfId="0" applyFont="1" applyFill="1" applyBorder="1" applyAlignment="1" applyProtection="1">
      <alignment vertical="center" wrapText="1"/>
    </xf>
    <xf numFmtId="0" fontId="274" fillId="5" borderId="21" xfId="0" applyFont="1" applyFill="1" applyBorder="1" applyAlignment="1" applyProtection="1">
      <alignment vertical="center" wrapText="1"/>
    </xf>
    <xf numFmtId="0" fontId="89" fillId="5" borderId="9" xfId="3" applyFont="1" applyFill="1" applyBorder="1" applyAlignment="1" applyProtection="1">
      <alignment horizontal="center" vertical="center" wrapText="1"/>
      <protection locked="0"/>
    </xf>
    <xf numFmtId="0" fontId="43" fillId="5" borderId="8" xfId="3" applyFont="1" applyFill="1" applyBorder="1" applyAlignment="1" applyProtection="1">
      <alignment horizontal="right" vertical="center" wrapText="1"/>
      <protection locked="0"/>
    </xf>
    <xf numFmtId="0" fontId="89" fillId="5" borderId="9" xfId="3" applyFont="1" applyFill="1" applyBorder="1" applyAlignment="1" applyProtection="1">
      <alignment horizontal="right" vertical="center" wrapText="1"/>
      <protection locked="0"/>
    </xf>
    <xf numFmtId="0" fontId="167" fillId="5" borderId="10" xfId="3" applyFont="1" applyFill="1" applyBorder="1" applyAlignment="1" applyProtection="1">
      <alignment horizontal="center" vertical="center"/>
    </xf>
    <xf numFmtId="0" fontId="167" fillId="5" borderId="3" xfId="3" applyFont="1" applyFill="1" applyBorder="1" applyAlignment="1" applyProtection="1">
      <alignment horizontal="center" vertical="center"/>
    </xf>
    <xf numFmtId="0" fontId="167" fillId="5" borderId="21" xfId="3" applyFont="1" applyFill="1" applyBorder="1" applyAlignment="1" applyProtection="1">
      <alignment horizontal="center" vertical="center"/>
    </xf>
    <xf numFmtId="0" fontId="167" fillId="5" borderId="10" xfId="3" applyFont="1" applyFill="1" applyBorder="1" applyAlignment="1" applyProtection="1">
      <alignment horizontal="center" vertical="center" wrapText="1"/>
    </xf>
    <xf numFmtId="0" fontId="167" fillId="5" borderId="21" xfId="3" applyFont="1" applyFill="1" applyBorder="1" applyAlignment="1" applyProtection="1">
      <alignment horizontal="center" vertical="center" wrapText="1"/>
    </xf>
    <xf numFmtId="0" fontId="43" fillId="5" borderId="40" xfId="3" applyFont="1" applyFill="1" applyBorder="1" applyAlignment="1" applyProtection="1">
      <alignment horizontal="center" vertical="center" wrapText="1"/>
    </xf>
    <xf numFmtId="0" fontId="43" fillId="5" borderId="58" xfId="3" applyFont="1" applyFill="1" applyBorder="1" applyAlignment="1" applyProtection="1">
      <alignment horizontal="center" vertical="center" wrapText="1"/>
    </xf>
    <xf numFmtId="0" fontId="202" fillId="5" borderId="0" xfId="3" applyFont="1" applyFill="1" applyAlignment="1" applyProtection="1">
      <alignment horizontal="center" vertical="center"/>
    </xf>
    <xf numFmtId="0" fontId="163" fillId="5" borderId="0" xfId="3" applyFont="1" applyFill="1" applyBorder="1" applyAlignment="1" applyProtection="1">
      <alignment horizontal="left" vertical="center"/>
    </xf>
    <xf numFmtId="0" fontId="169" fillId="5" borderId="1" xfId="3" applyFont="1" applyFill="1" applyBorder="1" applyAlignment="1" applyProtection="1">
      <alignment horizontal="center" vertical="center" wrapText="1"/>
    </xf>
    <xf numFmtId="0" fontId="169" fillId="5" borderId="43" xfId="3" applyFont="1" applyFill="1" applyBorder="1" applyAlignment="1" applyProtection="1">
      <alignment horizontal="center" vertical="center" wrapText="1"/>
    </xf>
    <xf numFmtId="0" fontId="202" fillId="5" borderId="0" xfId="0" applyFont="1" applyFill="1" applyAlignment="1" applyProtection="1">
      <alignment horizontal="center" vertical="center"/>
    </xf>
    <xf numFmtId="0" fontId="233" fillId="0" borderId="0" xfId="10" applyFont="1" applyAlignment="1">
      <alignment horizontal="center" vertical="center"/>
    </xf>
    <xf numFmtId="0" fontId="160" fillId="0" borderId="0" xfId="10" applyFont="1" applyAlignment="1">
      <alignment horizontal="center" vertical="center"/>
    </xf>
    <xf numFmtId="0" fontId="237" fillId="0" borderId="0" xfId="10" applyFont="1" applyAlignment="1">
      <alignment horizontal="center" vertical="center"/>
    </xf>
    <xf numFmtId="0" fontId="239" fillId="12" borderId="129" xfId="10" applyFont="1" applyFill="1" applyBorder="1" applyAlignment="1" applyProtection="1">
      <alignment horizontal="center" vertical="center" wrapText="1"/>
    </xf>
    <xf numFmtId="0" fontId="239" fillId="12" borderId="123" xfId="10" applyFont="1" applyFill="1" applyBorder="1" applyAlignment="1" applyProtection="1">
      <alignment horizontal="center" vertical="center" wrapText="1"/>
    </xf>
    <xf numFmtId="0" fontId="239" fillId="12" borderId="125" xfId="10" applyFont="1" applyFill="1" applyBorder="1" applyAlignment="1" applyProtection="1">
      <alignment horizontal="center" vertical="center" wrapText="1"/>
    </xf>
    <xf numFmtId="0" fontId="155" fillId="12" borderId="129" xfId="10" applyFont="1" applyFill="1" applyBorder="1" applyAlignment="1" applyProtection="1">
      <alignment horizontal="center" vertical="center" wrapText="1"/>
    </xf>
    <xf numFmtId="0" fontId="155" fillId="12" borderId="123" xfId="10" applyFont="1" applyFill="1" applyBorder="1" applyAlignment="1" applyProtection="1">
      <alignment horizontal="center" vertical="center" wrapText="1"/>
    </xf>
    <xf numFmtId="0" fontId="155" fillId="12" borderId="125" xfId="10" applyFont="1" applyFill="1" applyBorder="1" applyAlignment="1" applyProtection="1">
      <alignment horizontal="center" vertical="center" wrapText="1"/>
    </xf>
    <xf numFmtId="0" fontId="239" fillId="12" borderId="119" xfId="10" applyFont="1" applyFill="1" applyBorder="1" applyAlignment="1" applyProtection="1">
      <alignment horizontal="center" vertical="center" wrapText="1"/>
    </xf>
    <xf numFmtId="0" fontId="239" fillId="12" borderId="152" xfId="10" applyFont="1" applyFill="1" applyBorder="1" applyAlignment="1" applyProtection="1">
      <alignment horizontal="center" vertical="center" wrapText="1"/>
    </xf>
    <xf numFmtId="0" fontId="125"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64" fillId="5" borderId="49" xfId="0" applyFont="1" applyFill="1" applyBorder="1" applyAlignment="1" applyProtection="1">
      <alignment horizontal="left" vertical="center" wrapText="1"/>
    </xf>
    <xf numFmtId="0" fontId="164" fillId="5" borderId="38" xfId="0" applyFont="1" applyFill="1" applyBorder="1" applyAlignment="1" applyProtection="1">
      <alignment horizontal="left" vertical="center"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224" fillId="11" borderId="2" xfId="0" applyFont="1" applyFill="1" applyBorder="1" applyAlignment="1">
      <alignment horizontal="center" vertical="center"/>
    </xf>
    <xf numFmtId="0" fontId="130" fillId="0" borderId="2" xfId="0" applyFont="1" applyBorder="1" applyAlignment="1">
      <alignment horizontal="center"/>
    </xf>
    <xf numFmtId="0" fontId="130" fillId="0" borderId="2" xfId="0" applyFont="1" applyBorder="1" applyAlignment="1"/>
    <xf numFmtId="0" fontId="224" fillId="5" borderId="11" xfId="0" applyFont="1" applyFill="1" applyBorder="1" applyAlignment="1">
      <alignment horizontal="left" vertical="center" wrapText="1"/>
    </xf>
    <xf numFmtId="0" fontId="130"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87" fillId="5" borderId="10" xfId="1" applyFont="1" applyFill="1" applyBorder="1" applyAlignment="1" applyProtection="1">
      <alignment horizontal="center" vertical="center"/>
    </xf>
    <xf numFmtId="0" fontId="87" fillId="5" borderId="3" xfId="1" applyFont="1" applyFill="1" applyBorder="1" applyAlignment="1" applyProtection="1">
      <alignment horizontal="center" vertical="center"/>
    </xf>
    <xf numFmtId="0" fontId="87" fillId="5" borderId="21" xfId="1" applyFont="1" applyFill="1" applyBorder="1" applyAlignment="1" applyProtection="1">
      <alignment horizontal="center" vertical="center"/>
    </xf>
    <xf numFmtId="0" fontId="87" fillId="5" borderId="1" xfId="1" applyFont="1" applyFill="1" applyBorder="1" applyAlignment="1" applyProtection="1">
      <alignment horizontal="center" vertical="center" wrapText="1"/>
    </xf>
    <xf numFmtId="0" fontId="87" fillId="5" borderId="7" xfId="1" applyFont="1" applyFill="1" applyBorder="1" applyAlignment="1" applyProtection="1">
      <alignment horizontal="center" vertical="center" wrapText="1"/>
    </xf>
    <xf numFmtId="0" fontId="87" fillId="5" borderId="42" xfId="1" applyFont="1" applyFill="1" applyBorder="1" applyAlignment="1" applyProtection="1">
      <alignment horizontal="center" vertical="center" wrapText="1"/>
    </xf>
    <xf numFmtId="0" fontId="87" fillId="5" borderId="29" xfId="1" applyFont="1" applyFill="1" applyBorder="1" applyAlignment="1" applyProtection="1">
      <alignment horizontal="center" vertical="center" wrapText="1"/>
    </xf>
    <xf numFmtId="0" fontId="87" fillId="5" borderId="4" xfId="1" applyFont="1" applyFill="1" applyBorder="1" applyAlignment="1" applyProtection="1">
      <alignment horizontal="center" vertical="center" wrapText="1"/>
    </xf>
    <xf numFmtId="0" fontId="87" fillId="5" borderId="32" xfId="1" applyFont="1" applyFill="1" applyBorder="1" applyAlignment="1" applyProtection="1">
      <alignment horizontal="center" vertical="center" wrapText="1"/>
    </xf>
    <xf numFmtId="0" fontId="87" fillId="5" borderId="13" xfId="1" applyFont="1" applyFill="1" applyBorder="1" applyAlignment="1" applyProtection="1">
      <alignment horizontal="center" vertical="center" wrapText="1"/>
    </xf>
    <xf numFmtId="0" fontId="87" fillId="5" borderId="18" xfId="1" applyFont="1" applyFill="1" applyBorder="1" applyAlignment="1" applyProtection="1">
      <alignment horizontal="center" vertical="center" wrapText="1"/>
    </xf>
    <xf numFmtId="0" fontId="87" fillId="5" borderId="17" xfId="1" applyFont="1" applyFill="1" applyBorder="1" applyAlignment="1" applyProtection="1">
      <alignment horizontal="center" vertical="center" wrapText="1"/>
    </xf>
    <xf numFmtId="0" fontId="87" fillId="5" borderId="20" xfId="1" applyFont="1" applyFill="1" applyBorder="1" applyAlignment="1" applyProtection="1">
      <alignment horizontal="center" vertical="center" wrapText="1"/>
    </xf>
    <xf numFmtId="0" fontId="87" fillId="5" borderId="4" xfId="1" applyFont="1" applyFill="1" applyBorder="1" applyAlignment="1" applyProtection="1">
      <alignment horizontal="center" vertical="center"/>
    </xf>
    <xf numFmtId="0" fontId="87" fillId="5" borderId="32" xfId="1" applyFont="1" applyFill="1" applyBorder="1" applyAlignment="1" applyProtection="1">
      <alignment horizontal="center" vertical="center"/>
    </xf>
    <xf numFmtId="0" fontId="87" fillId="5" borderId="13" xfId="1" applyFont="1" applyFill="1" applyBorder="1" applyAlignment="1" applyProtection="1">
      <alignment horizontal="center" vertical="center"/>
    </xf>
    <xf numFmtId="0" fontId="87" fillId="5" borderId="18" xfId="1" applyFont="1" applyFill="1" applyBorder="1" applyAlignment="1" applyProtection="1">
      <alignment horizontal="center" vertical="center"/>
    </xf>
    <xf numFmtId="0" fontId="265" fillId="0" borderId="11" xfId="1" applyFont="1" applyFill="1" applyBorder="1" applyAlignment="1" applyProtection="1">
      <alignment horizontal="center" vertical="center" wrapText="1"/>
      <protection locked="0"/>
    </xf>
    <xf numFmtId="0" fontId="265" fillId="0" borderId="12" xfId="1" applyFont="1" applyFill="1" applyBorder="1" applyAlignment="1" applyProtection="1">
      <alignment horizontal="center" vertical="center" wrapText="1"/>
      <protection locked="0"/>
    </xf>
    <xf numFmtId="0" fontId="278" fillId="0" borderId="9" xfId="1" applyFont="1" applyFill="1" applyBorder="1" applyAlignment="1" applyProtection="1">
      <alignment horizontal="center" vertical="center" wrapText="1"/>
      <protection locked="0"/>
    </xf>
    <xf numFmtId="0" fontId="265" fillId="0" borderId="5" xfId="1" applyFont="1" applyFill="1" applyBorder="1" applyAlignment="1" applyProtection="1">
      <alignment horizontal="center" vertical="center" wrapText="1"/>
      <protection locked="0"/>
    </xf>
    <xf numFmtId="0" fontId="278" fillId="0" borderId="11" xfId="1" applyFont="1" applyFill="1" applyBorder="1" applyAlignment="1" applyProtection="1">
      <alignment horizontal="center" vertical="center" wrapText="1"/>
      <protection locked="0"/>
    </xf>
    <xf numFmtId="0" fontId="265" fillId="0" borderId="22" xfId="1" applyFont="1" applyFill="1" applyBorder="1" applyAlignment="1" applyProtection="1">
      <alignment horizontal="center" vertical="center" wrapText="1"/>
      <protection locked="0"/>
    </xf>
    <xf numFmtId="0" fontId="265" fillId="0" borderId="25" xfId="1" applyFont="1" applyFill="1" applyBorder="1" applyAlignment="1" applyProtection="1">
      <alignment horizontal="center" vertical="center" wrapText="1"/>
      <protection locked="0"/>
    </xf>
    <xf numFmtId="0" fontId="278" fillId="0" borderId="32" xfId="1" applyFont="1" applyFill="1" applyBorder="1" applyAlignment="1" applyProtection="1">
      <alignment horizontal="center" vertical="center" wrapText="1"/>
      <protection locked="0"/>
    </xf>
    <xf numFmtId="0" fontId="265" fillId="0" borderId="4" xfId="1" applyFont="1" applyFill="1" applyBorder="1" applyAlignment="1" applyProtection="1">
      <alignment horizontal="center" vertical="center" wrapText="1"/>
      <protection locked="0"/>
    </xf>
    <xf numFmtId="0" fontId="278" fillId="0" borderId="22" xfId="1" applyFont="1" applyFill="1" applyBorder="1" applyAlignment="1" applyProtection="1">
      <alignment horizontal="center" vertical="center" wrapText="1"/>
      <protection locked="0"/>
    </xf>
    <xf numFmtId="0" fontId="87" fillId="5" borderId="17" xfId="1" applyFont="1" applyFill="1" applyBorder="1" applyAlignment="1" applyProtection="1">
      <alignment horizontal="center" vertical="center"/>
    </xf>
    <xf numFmtId="0" fontId="87" fillId="5" borderId="20" xfId="1" applyFont="1" applyFill="1" applyBorder="1" applyAlignment="1" applyProtection="1">
      <alignment horizontal="center" vertical="center"/>
    </xf>
    <xf numFmtId="0" fontId="87" fillId="5" borderId="2" xfId="1" applyFont="1" applyFill="1" applyBorder="1" applyAlignment="1" applyProtection="1">
      <alignment horizontal="center" vertical="center"/>
    </xf>
    <xf numFmtId="0" fontId="74" fillId="5" borderId="5" xfId="1" applyFont="1" applyFill="1" applyBorder="1" applyAlignment="1" applyProtection="1">
      <alignment horizontal="center" vertical="center"/>
    </xf>
    <xf numFmtId="0" fontId="74" fillId="5" borderId="8" xfId="1" applyFont="1" applyFill="1" applyBorder="1" applyAlignment="1" applyProtection="1">
      <alignment horizontal="center" vertical="center"/>
    </xf>
    <xf numFmtId="0" fontId="74" fillId="5" borderId="9" xfId="1" applyFont="1" applyFill="1" applyBorder="1" applyAlignment="1" applyProtection="1">
      <alignment horizontal="center" vertical="center"/>
    </xf>
    <xf numFmtId="0" fontId="87" fillId="5" borderId="2" xfId="1" applyFont="1" applyFill="1" applyBorder="1" applyAlignment="1" applyProtection="1">
      <alignment horizontal="center" vertical="center" wrapText="1"/>
    </xf>
    <xf numFmtId="0" fontId="74" fillId="5" borderId="2" xfId="1" applyFont="1" applyFill="1" applyBorder="1" applyAlignment="1" applyProtection="1">
      <alignment horizontal="center" vertical="center" wrapText="1"/>
    </xf>
    <xf numFmtId="0" fontId="87" fillId="5" borderId="10" xfId="1" applyFont="1" applyFill="1" applyBorder="1" applyAlignment="1" applyProtection="1">
      <alignment horizontal="center" vertical="center" wrapText="1"/>
    </xf>
    <xf numFmtId="0" fontId="87" fillId="5" borderId="3" xfId="1" applyFont="1" applyFill="1" applyBorder="1" applyAlignment="1" applyProtection="1">
      <alignment horizontal="center" vertical="center" wrapText="1"/>
    </xf>
    <xf numFmtId="0" fontId="87" fillId="5" borderId="10" xfId="1" applyFont="1" applyFill="1" applyBorder="1" applyAlignment="1" applyProtection="1">
      <alignment horizontal="center" vertical="center" textRotation="255" wrapText="1"/>
    </xf>
    <xf numFmtId="0" fontId="87" fillId="5" borderId="3" xfId="1" applyFont="1" applyFill="1" applyBorder="1" applyAlignment="1" applyProtection="1">
      <alignment horizontal="center" vertical="center" textRotation="255" wrapText="1"/>
    </xf>
    <xf numFmtId="0" fontId="87" fillId="5" borderId="21" xfId="1" applyFont="1" applyFill="1" applyBorder="1" applyAlignment="1" applyProtection="1">
      <alignment horizontal="center" vertical="center" textRotation="255" wrapText="1"/>
    </xf>
    <xf numFmtId="0" fontId="87" fillId="5" borderId="2" xfId="1" applyNumberFormat="1" applyFont="1" applyFill="1" applyBorder="1" applyAlignment="1" applyProtection="1">
      <alignment horizontal="center" vertical="center"/>
    </xf>
    <xf numFmtId="0" fontId="87" fillId="5" borderId="5" xfId="1" applyFont="1" applyFill="1" applyBorder="1" applyAlignment="1" applyProtection="1">
      <alignment horizontal="center" vertical="center" wrapText="1"/>
    </xf>
    <xf numFmtId="0" fontId="87" fillId="5" borderId="9" xfId="1" applyFont="1" applyFill="1" applyBorder="1" applyAlignment="1" applyProtection="1">
      <alignment horizontal="center" vertical="center" wrapText="1"/>
    </xf>
    <xf numFmtId="0" fontId="86" fillId="5" borderId="2" xfId="1" applyNumberFormat="1" applyFont="1" applyFill="1" applyBorder="1" applyAlignment="1" applyProtection="1">
      <alignment horizontal="center" vertical="center"/>
    </xf>
    <xf numFmtId="0" fontId="87" fillId="5" borderId="14" xfId="1" applyFont="1" applyFill="1" applyBorder="1" applyAlignment="1" applyProtection="1">
      <alignment horizontal="center" vertical="center" wrapText="1"/>
    </xf>
    <xf numFmtId="0" fontId="87" fillId="5" borderId="0" xfId="1" applyFont="1" applyFill="1" applyBorder="1" applyAlignment="1" applyProtection="1">
      <alignment horizontal="center" vertical="center" wrapText="1"/>
    </xf>
    <xf numFmtId="0" fontId="87" fillId="5" borderId="19" xfId="1" applyFont="1" applyFill="1" applyBorder="1" applyAlignment="1" applyProtection="1">
      <alignment horizontal="center" vertical="center" wrapText="1"/>
    </xf>
    <xf numFmtId="0" fontId="265" fillId="0" borderId="32" xfId="1" applyFont="1" applyFill="1" applyBorder="1" applyAlignment="1" applyProtection="1">
      <alignment horizontal="center" vertical="center" wrapText="1"/>
      <protection locked="0"/>
    </xf>
    <xf numFmtId="0" fontId="87" fillId="5" borderId="8" xfId="1" applyFont="1" applyFill="1" applyBorder="1" applyAlignment="1" applyProtection="1">
      <alignment horizontal="center" vertical="center" wrapText="1"/>
    </xf>
    <xf numFmtId="0" fontId="172" fillId="0" borderId="2" xfId="20" applyFont="1" applyBorder="1" applyAlignment="1">
      <alignment horizontal="center" vertical="center" wrapText="1"/>
    </xf>
    <xf numFmtId="0" fontId="280" fillId="0" borderId="2" xfId="19" applyFont="1" applyBorder="1" applyAlignment="1">
      <alignment horizontal="left" vertical="center" wrapText="1"/>
    </xf>
    <xf numFmtId="0" fontId="280" fillId="0" borderId="2" xfId="19" applyFont="1" applyBorder="1" applyAlignment="1">
      <alignment horizontal="center" vertical="center" wrapText="1"/>
    </xf>
    <xf numFmtId="49" fontId="280" fillId="0" borderId="2" xfId="19" applyNumberFormat="1" applyFont="1" applyBorder="1" applyAlignment="1">
      <alignment horizontal="left" vertical="center" wrapText="1"/>
    </xf>
    <xf numFmtId="49" fontId="284" fillId="0" borderId="2" xfId="19" applyNumberFormat="1" applyFont="1" applyBorder="1" applyAlignment="1">
      <alignment horizontal="center" vertical="center" wrapText="1"/>
    </xf>
    <xf numFmtId="0" fontId="284" fillId="0" borderId="10" xfId="19" applyFont="1" applyBorder="1" applyAlignment="1">
      <alignment horizontal="center" vertical="center" wrapText="1"/>
    </xf>
    <xf numFmtId="0" fontId="284" fillId="0" borderId="3" xfId="19" applyFont="1" applyBorder="1" applyAlignment="1">
      <alignment horizontal="center" vertical="center" wrapText="1"/>
    </xf>
    <xf numFmtId="0" fontId="284" fillId="0" borderId="21" xfId="19" applyFont="1" applyBorder="1" applyAlignment="1">
      <alignment horizontal="center" vertical="center" wrapText="1"/>
    </xf>
    <xf numFmtId="0" fontId="284" fillId="0" borderId="5" xfId="19" applyFont="1" applyBorder="1" applyAlignment="1">
      <alignment horizontal="left" vertical="center" wrapText="1"/>
    </xf>
    <xf numFmtId="0" fontId="284" fillId="0" borderId="9" xfId="19" applyFont="1" applyBorder="1" applyAlignment="1">
      <alignment horizontal="left" vertical="center" wrapText="1"/>
    </xf>
    <xf numFmtId="0" fontId="172" fillId="0" borderId="5" xfId="20" applyFont="1" applyBorder="1" applyAlignment="1">
      <alignment horizontal="left" vertical="center" wrapText="1"/>
    </xf>
    <xf numFmtId="0" fontId="172" fillId="0" borderId="9" xfId="20" applyFont="1" applyBorder="1" applyAlignment="1">
      <alignment horizontal="left" vertical="center" wrapText="1"/>
    </xf>
    <xf numFmtId="0" fontId="284" fillId="0" borderId="2" xfId="19" applyFont="1" applyBorder="1" applyAlignment="1">
      <alignment horizontal="center" vertical="center" wrapText="1"/>
    </xf>
    <xf numFmtId="0" fontId="130" fillId="0" borderId="2" xfId="20" applyFont="1" applyBorder="1" applyAlignment="1">
      <alignment horizontal="center" vertical="center" wrapText="1"/>
    </xf>
    <xf numFmtId="0" fontId="224" fillId="0" borderId="19" xfId="20" applyFont="1" applyBorder="1" applyAlignment="1">
      <alignment horizontal="center" vertical="center" wrapText="1"/>
    </xf>
    <xf numFmtId="0" fontId="130" fillId="0" borderId="10" xfId="20" applyFont="1" applyBorder="1" applyAlignment="1">
      <alignment horizontal="center" vertical="center" wrapText="1"/>
    </xf>
    <xf numFmtId="0" fontId="130" fillId="0" borderId="3" xfId="20" applyFont="1" applyBorder="1" applyAlignment="1">
      <alignment horizontal="center" vertical="center" wrapText="1"/>
    </xf>
    <xf numFmtId="0" fontId="130" fillId="0" borderId="21" xfId="20" applyFont="1" applyBorder="1" applyAlignment="1">
      <alignment horizontal="center" vertical="center" wrapText="1"/>
    </xf>
    <xf numFmtId="0" fontId="86" fillId="5" borderId="2" xfId="0" applyNumberFormat="1" applyFont="1" applyFill="1" applyBorder="1" applyAlignment="1" applyProtection="1">
      <alignment horizontal="center" vertical="center"/>
    </xf>
    <xf numFmtId="0" fontId="87" fillId="5" borderId="2" xfId="0" applyNumberFormat="1" applyFont="1" applyFill="1" applyBorder="1" applyAlignment="1" applyProtection="1">
      <alignment horizontal="center" vertical="center"/>
    </xf>
    <xf numFmtId="0" fontId="87" fillId="5" borderId="21" xfId="0" applyFont="1" applyFill="1" applyBorder="1" applyAlignment="1" applyProtection="1">
      <alignment horizontal="center" vertical="center" textRotation="255" wrapText="1"/>
    </xf>
    <xf numFmtId="0" fontId="79" fillId="5" borderId="5" xfId="0" applyFont="1" applyFill="1" applyBorder="1" applyAlignment="1" applyProtection="1">
      <alignment horizontal="center" vertical="center"/>
    </xf>
    <xf numFmtId="0" fontId="79" fillId="5" borderId="8"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79" fillId="5" borderId="68" xfId="0" applyFont="1" applyFill="1" applyBorder="1" applyAlignment="1" applyProtection="1">
      <alignment horizontal="center" vertical="center"/>
      <protection locked="0"/>
    </xf>
    <xf numFmtId="0" fontId="79" fillId="5" borderId="61" xfId="0" applyFont="1" applyFill="1" applyBorder="1" applyAlignment="1" applyProtection="1">
      <alignment horizontal="center" vertical="center"/>
      <protection locked="0"/>
    </xf>
    <xf numFmtId="0" fontId="79" fillId="5" borderId="67" xfId="0" applyFont="1" applyFill="1" applyBorder="1" applyAlignment="1" applyProtection="1">
      <alignment horizontal="center" vertical="center"/>
      <protection locked="0"/>
    </xf>
    <xf numFmtId="0" fontId="1" fillId="0" borderId="0" xfId="20" applyFont="1">
      <alignment vertical="center"/>
    </xf>
  </cellXfs>
  <cellStyles count="24">
    <cellStyle name="百分比 2" xfId="11"/>
    <cellStyle name="常规" xfId="0" builtinId="0"/>
    <cellStyle name="常规 10" xfId="17"/>
    <cellStyle name="常规 10 2" xfId="19"/>
    <cellStyle name="常规 11" xfId="18"/>
    <cellStyle name="常规 12" xfId="20"/>
    <cellStyle name="常规 13" xfId="21"/>
    <cellStyle name="常规 14" xfId="23"/>
    <cellStyle name="常规 16" xfId="1"/>
    <cellStyle name="常规 2" xfId="2"/>
    <cellStyle name="常规 2 2" xfId="3"/>
    <cellStyle name="常规 2 2 2 2 3" xfId="12"/>
    <cellStyle name="常规 2 3" xfId="2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2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379924</xdr:colOff>
      <xdr:row>21</xdr:row>
      <xdr:rowOff>66217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09524" cy="3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cc%20&#30123;/&#23481;&#35199;&#23433;&#32622;&#25151;&#36164;&#26009;/&#27979;&#31639;-&#23481;&#351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3481;&#35199;RX01-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754;&#31215;&#27719;&#246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Volumes\KINGSTON%201\cc%20&#30123;\&#23481;&#35199;&#23433;&#32622;&#25151;&#36164;&#26009;\&#27979;&#31639;-&#26141;&#237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RX01补充资料"/>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汇总）"/>
      <sheetName val="酒店收入计算"/>
      <sheetName val="比较法-住宅"/>
      <sheetName val="收益法-办公"/>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收益法-商业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收益法-办公</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商业</v>
          </cell>
        </row>
        <row r="20">
          <cell r="C20"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efreshError="1"/>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一单元汇总"/>
      <sheetName val="康正"/>
      <sheetName val="数据-汇总表"/>
      <sheetName val="数据-取费表"/>
      <sheetName val="估价对象房地状况"/>
      <sheetName val="RX01补充资料"/>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酒店收入计算"/>
      <sheetName val="不动产收益法-办公"/>
      <sheetName val="不动产比较法-商业"/>
      <sheetName val="不动产比较法-办公"/>
      <sheetName val="成本逼近法"/>
      <sheetName val="取得费"/>
      <sheetName val="开发费"/>
      <sheetName val="不动产比较法-住宅"/>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sheetData sheetId="14">
        <row r="17">
          <cell r="C17" t="str">
            <v>项目类型</v>
          </cell>
        </row>
        <row r="19">
          <cell r="C19" t="str">
            <v>商业</v>
          </cell>
        </row>
        <row r="20">
          <cell r="C20"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4"/>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单元汇总"/>
      <sheetName val="1单元-康正"/>
      <sheetName val="2单元-鹏信"/>
      <sheetName val="3单元-仁达"/>
      <sheetName val="地块指标一览表（北）"/>
      <sheetName val="地块指标一览表（南）"/>
      <sheetName val="RX01-01"/>
      <sheetName val="RX01补充资料"/>
    </sheetNames>
    <sheetDataSet>
      <sheetData sheetId="0">
        <row r="99">
          <cell r="N99">
            <v>1623852.5999999999</v>
          </cell>
          <cell r="O99">
            <v>851823.5</v>
          </cell>
          <cell r="P99">
            <v>72585</v>
          </cell>
          <cell r="Q99">
            <v>285807.93</v>
          </cell>
          <cell r="R99">
            <v>198257.18</v>
          </cell>
          <cell r="S99">
            <v>32509.5</v>
          </cell>
          <cell r="T99">
            <v>85308.699999999983</v>
          </cell>
          <cell r="U99">
            <v>46745.900000000009</v>
          </cell>
          <cell r="V99">
            <v>16902.899999999998</v>
          </cell>
          <cell r="W99">
            <v>33912</v>
          </cell>
        </row>
      </sheetData>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据-汇总表"/>
      <sheetName val="不动产比较法-住宅"/>
      <sheetName val="数据-取费表"/>
      <sheetName val="估价对象房地状况"/>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C23" sqref="C23"/>
    </sheetView>
  </sheetViews>
  <sheetFormatPr defaultColWidth="9" defaultRowHeight="14.25"/>
  <cols>
    <col min="1" max="1" width="36.5" style="2816" customWidth="1"/>
    <col min="2" max="2" width="78.125" style="2817" customWidth="1"/>
    <col min="3" max="18" width="9" style="2811"/>
    <col min="19" max="19" width="17.875" style="2811" customWidth="1"/>
    <col min="20" max="51" width="9" style="2811"/>
    <col min="52" max="52" width="13.125" style="2811" customWidth="1"/>
    <col min="53" max="53" width="13.5" style="2811" bestFit="1" customWidth="1"/>
    <col min="54" max="54" width="11.625" style="2811" bestFit="1" customWidth="1"/>
    <col min="55" max="55" width="13.5" style="2811" bestFit="1" customWidth="1"/>
    <col min="56" max="16384" width="9" style="2811"/>
  </cols>
  <sheetData>
    <row r="1" spans="1:55" s="2822" customFormat="1" ht="16.5" thickBot="1">
      <c r="A1" s="2820" t="s">
        <v>2630</v>
      </c>
      <c r="B1" s="2821" t="s">
        <v>2727</v>
      </c>
    </row>
    <row r="2" spans="1:55" s="2825" customFormat="1" ht="15" thickTop="1">
      <c r="A2" s="2823" t="s">
        <v>2634</v>
      </c>
      <c r="B2" s="2824" t="str">
        <f>'预评函-封皮'!B37</f>
        <v>雄安新区出让国有建设用地使用权市场价格预评估</v>
      </c>
      <c r="AX2" s="2826"/>
      <c r="AZ2" s="2826"/>
      <c r="BA2" s="2827"/>
      <c r="BC2" s="2827"/>
    </row>
    <row r="3" spans="1:55" s="2828" customFormat="1">
      <c r="A3" s="2807" t="s">
        <v>2635</v>
      </c>
      <c r="B3" s="2810">
        <f>'预评函-封皮'!B40</f>
        <v>0</v>
      </c>
    </row>
    <row r="4" spans="1:55" s="2809" customFormat="1">
      <c r="A4" s="2807" t="s">
        <v>2636</v>
      </c>
      <c r="B4" s="2808" t="str">
        <f>'预评函-封皮'!B46</f>
        <v>土地估价师、土地估价师</v>
      </c>
      <c r="N4" s="2809" t="str">
        <f>'预评函-1'!A28</f>
        <v>——</v>
      </c>
    </row>
    <row r="5" spans="1:55" s="2822" customFormat="1" ht="15" thickBot="1">
      <c r="A5" s="2829" t="s">
        <v>2637</v>
      </c>
      <c r="B5" s="2830" t="str">
        <f>'预评函-封皮'!B49</f>
        <v>康正预评字号</v>
      </c>
    </row>
    <row r="6" spans="1:55" s="2831" customFormat="1" ht="15" thickTop="1">
      <c r="A6" s="2823" t="s">
        <v>2679</v>
      </c>
      <c r="B6" s="2824" t="str">
        <f>'预评函-1'!A4</f>
        <v>受贵公司委托，我公司对雄安新区出让国有建设用地使用权市场价格进行了预评估。</v>
      </c>
      <c r="AM6" s="2832"/>
    </row>
    <row r="7" spans="1:55" s="2806" customFormat="1">
      <c r="A7" s="2807" t="s">
        <v>2631</v>
      </c>
      <c r="B7" s="2808" t="str">
        <f>'预评函-1'!A6</f>
        <v>估价对象为使用的、位于雄安新区出让国有建设用地使用权。根据《国有土地使用证》[]，估价对象（分摊）出让国有建设用地使用权面积为370783.53平方米。根据《建设工程规划许可证》[]、《出让合同》[]，估价对象规划建筑面积为556650.11平方米。</v>
      </c>
    </row>
    <row r="8" spans="1:55" s="2806" customFormat="1">
      <c r="A8" s="2807" t="s">
        <v>2632</v>
      </c>
      <c r="B8" s="2808" t="str">
        <f>'预评函-1'!A7</f>
        <v xml:space="preserve">简述项目推广名，项目类型（用途），估价对象分布，各用途面积明细情况：XX用途建筑面积XX平方米，XX用途建筑面积XX平方米，……。复杂面积清单需设‘附表’列示：抵押物清单详见附表。        </v>
      </c>
    </row>
    <row r="9" spans="1:55" s="2806" customFormat="1">
      <c r="A9" s="2807" t="s">
        <v>2682</v>
      </c>
      <c r="B9" s="2808" t="str">
        <f>'预评函-1'!A9</f>
        <v>本次评估为委托估价方了解标的物之市场价格提供参考依据而评估出让国有建设用地使用权市场价格。</v>
      </c>
    </row>
    <row r="10" spans="1:55" s="2806" customFormat="1">
      <c r="A10" s="2807" t="s">
        <v>2633</v>
      </c>
      <c r="B10" s="2808" t="str">
        <f>'预评函-1'!A11</f>
        <v>2020年4月12日</v>
      </c>
    </row>
    <row r="11" spans="1:55" s="2806" customFormat="1">
      <c r="A11" s="2807" t="s">
        <v>2639</v>
      </c>
      <c r="B11" s="2808" t="str">
        <f>'预评函-1'!A14</f>
        <v>根据《国有土地使用证》[]，本次评估估价对象证载（地类）用途为。</v>
      </c>
    </row>
    <row r="12" spans="1:55" s="2806" customFormat="1">
      <c r="A12" s="2807" t="s">
        <v>2640</v>
      </c>
      <c r="B12" s="2808" t="str">
        <f>'预评函-1'!A15</f>
        <v>本次评估设定用途即为证载用途。</v>
      </c>
    </row>
    <row r="13" spans="1:55" s="2806" customFormat="1">
      <c r="A13" s="2807" t="s">
        <v>2641</v>
      </c>
      <c r="B13" s="2808" t="str">
        <f>'预评函-1'!A17</f>
        <v>根据委托估价方介绍及评估专业人员现场勘查，本次评估估价对象实际土地开发程度为红线外市政基础设施达“七通”（即、、、、、、）、宗地红线内场地平整。</v>
      </c>
    </row>
    <row r="14" spans="1:55" s="2806" customFormat="1">
      <c r="A14" s="2807" t="s">
        <v>2642</v>
      </c>
      <c r="B14" s="2808" t="str">
        <f>'预评函-1'!A18</f>
        <v>。本次评估设定土地开发程度为红线外市政基础设施达“七通”、宗地红线内场地平整。</v>
      </c>
    </row>
    <row r="15" spans="1:55" s="2806" customFormat="1">
      <c r="A15" s="2807" t="s">
        <v>2638</v>
      </c>
      <c r="B15" s="2808" t="str">
        <f>'预评函-1'!A20</f>
        <v>根据《国有土地使用证》[]，估价对象（分摊）出让国有建设用地使用权面积为370783.53平方米。根据《建设工程规划许可证》[]、《出让合同》[]，估价对象规划建筑面积为556650.11平方米。</v>
      </c>
    </row>
    <row r="16" spans="1:55" s="2806" customFormat="1">
      <c r="A16" s="2807" t="s">
        <v>2643</v>
      </c>
      <c r="B16" s="280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2060年4月11日、办公2070年4月11日。截至估价期日，出让国有建设用地使用权剩余土地使用年限为。</v>
      </c>
    </row>
    <row r="17" spans="1:48" s="2806" customFormat="1">
      <c r="A17" s="2807" t="s">
        <v>2644</v>
      </c>
      <c r="B17" s="2808" t="str">
        <f>'预评函-1'!A23</f>
        <v>本次评估设定估价对象剩余土地使用年限为。</v>
      </c>
    </row>
    <row r="18" spans="1:48" s="2806" customFormat="1">
      <c r="A18" s="2807" t="s">
        <v>2645</v>
      </c>
      <c r="B18" s="2808" t="str">
        <f>'预评函-1'!A25</f>
        <v>本次估价的“出让国有建设用地使用权价格”是指在估价对象土地所有权为国家所有，使用权性质为出让，在公开市场条件下、于估价期日2020年4月12日，在规划利用条件下、设定土地开发程度为红线外“七通”、宗地内场地，设定用途为，剩余土地使用年限为的出让国有建设用地使用权价格。</v>
      </c>
    </row>
    <row r="19" spans="1:48" s="2806" customFormat="1">
      <c r="A19" s="2807" t="s">
        <v>2646</v>
      </c>
      <c r="B19" s="2808" t="str">
        <f>'预评函-1'!A26</f>
        <v>——</v>
      </c>
    </row>
    <row r="20" spans="1:48" s="2806" customFormat="1">
      <c r="A20" s="2807" t="s">
        <v>2647</v>
      </c>
      <c r="B20" s="2808" t="str">
        <f>'预评函-1'!A27</f>
        <v>——</v>
      </c>
    </row>
    <row r="21" spans="1:48" s="2822" customFormat="1" ht="15" thickBot="1">
      <c r="A21" s="2829" t="s">
        <v>2648</v>
      </c>
      <c r="B21" s="2830" t="str">
        <f>'预评函-1'!A28</f>
        <v>——</v>
      </c>
    </row>
    <row r="22" spans="1:48" ht="15" thickTop="1">
      <c r="A22" s="2818" t="s">
        <v>2649</v>
      </c>
      <c r="B22" s="281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07" t="s">
        <v>2650</v>
      </c>
      <c r="B23" s="2808" t="str">
        <f>'预评函-2'!K2</f>
        <v>估价期日：2020年4月12日</v>
      </c>
    </row>
    <row r="24" spans="1:48">
      <c r="A24" s="2807" t="s">
        <v>2651</v>
      </c>
      <c r="B24" s="2808" t="str">
        <f>'预评函-2'!R2</f>
        <v>估价期日的国有建设用地使用权性质：出让</v>
      </c>
    </row>
    <row r="25" spans="1:48">
      <c r="A25" s="2807" t="s">
        <v>2707</v>
      </c>
      <c r="B25" s="2808" t="str">
        <f>'预评函-2'!A3</f>
        <v>估价期日土地使用者</v>
      </c>
    </row>
    <row r="26" spans="1:48">
      <c r="A26" s="2807" t="s">
        <v>2683</v>
      </c>
      <c r="B26" s="2808" t="str">
        <f>'预评函-2'!A5</f>
        <v>中信开发</v>
      </c>
    </row>
    <row r="27" spans="1:48">
      <c r="A27" s="2807" t="s">
        <v>2708</v>
      </c>
      <c r="B27" s="2808" t="str">
        <f>'预评函-2'!B3</f>
        <v>宗地编号/不动产单元号</v>
      </c>
    </row>
    <row r="28" spans="1:48">
      <c r="A28" s="2807" t="s">
        <v>2684</v>
      </c>
      <c r="B28" s="2808" t="str">
        <f>'预评函-2'!B5</f>
        <v>11111111111</v>
      </c>
    </row>
    <row r="29" spans="1:48">
      <c r="A29" s="2807" t="s">
        <v>2710</v>
      </c>
      <c r="B29" s="2808">
        <f>'预评函-2'!C5</f>
        <v>22</v>
      </c>
    </row>
    <row r="30" spans="1:48">
      <c r="A30" s="2807" t="s">
        <v>2711</v>
      </c>
      <c r="B30" s="2808" t="str">
        <f>'预评函-2'!D3</f>
        <v>土地使用证编号/不动产权证书编号</v>
      </c>
    </row>
    <row r="31" spans="1:48">
      <c r="A31" s="2807" t="s">
        <v>2685</v>
      </c>
      <c r="B31" s="2808" t="str">
        <f>'预评函-2'!D5</f>
        <v>京国土字第111号</v>
      </c>
    </row>
    <row r="32" spans="1:48">
      <c r="A32" s="2807" t="s">
        <v>2686</v>
      </c>
      <c r="B32" s="2808">
        <f>'预评函-2'!E5</f>
        <v>0</v>
      </c>
      <c r="AV32" s="2812"/>
    </row>
    <row r="33" spans="1:2">
      <c r="A33" s="2807" t="s">
        <v>2687</v>
      </c>
      <c r="B33" s="2808">
        <f>'预评函-2'!F5</f>
        <v>258</v>
      </c>
    </row>
    <row r="34" spans="1:2">
      <c r="A34" s="2807" t="s">
        <v>2688</v>
      </c>
      <c r="B34" s="2808">
        <f>'预评函-2'!G5</f>
        <v>0</v>
      </c>
    </row>
    <row r="35" spans="1:2">
      <c r="A35" s="2807" t="s">
        <v>2689</v>
      </c>
      <c r="B35" s="2808">
        <f>'预评函-2'!H5</f>
        <v>1.5</v>
      </c>
    </row>
    <row r="36" spans="1:2">
      <c r="A36" s="2807" t="s">
        <v>2690</v>
      </c>
      <c r="B36" s="2808">
        <f>'预评函-2'!I5</f>
        <v>1.5</v>
      </c>
    </row>
    <row r="37" spans="1:2">
      <c r="A37" s="2807" t="s">
        <v>2691</v>
      </c>
      <c r="B37" s="2808">
        <f>'预评函-2'!J5</f>
        <v>1.5</v>
      </c>
    </row>
    <row r="38" spans="1:2">
      <c r="A38" s="2807" t="s">
        <v>2692</v>
      </c>
      <c r="B38" s="2808" t="str">
        <f>'预评函-2'!K5</f>
        <v>红线外七通、宗地红线内</v>
      </c>
    </row>
    <row r="39" spans="1:2">
      <c r="A39" s="2807" t="s">
        <v>2693</v>
      </c>
      <c r="B39" s="2808" t="str">
        <f>'预评函-2'!L5</f>
        <v>红线外七通、宗地红线内场地</v>
      </c>
    </row>
    <row r="40" spans="1:2">
      <c r="A40" s="2807" t="s">
        <v>2712</v>
      </c>
      <c r="B40" s="2808" t="str">
        <f>'预评函-2'!M3</f>
        <v>（剩余）土地使用年限/年</v>
      </c>
    </row>
    <row r="41" spans="1:2">
      <c r="A41" s="2807" t="s">
        <v>2694</v>
      </c>
      <c r="B41" s="2808">
        <f>'预评函-2'!M5</f>
        <v>0</v>
      </c>
    </row>
    <row r="42" spans="1:2">
      <c r="A42" s="2807" t="s">
        <v>2713</v>
      </c>
      <c r="B42" s="2808" t="str">
        <f>'预评函-2'!N3</f>
        <v>（分摊）出让国有建设用地使用权面积/㎡</v>
      </c>
    </row>
    <row r="43" spans="1:2">
      <c r="A43" s="2807" t="s">
        <v>2695</v>
      </c>
      <c r="B43" s="2808">
        <f>'预评函-2'!N5</f>
        <v>370783.53</v>
      </c>
    </row>
    <row r="44" spans="1:2">
      <c r="A44" s="2807" t="s">
        <v>2714</v>
      </c>
      <c r="B44" s="2808" t="str">
        <f>'预评函-2'!O3</f>
        <v>规划建筑面积/㎡</v>
      </c>
    </row>
    <row r="45" spans="1:2">
      <c r="A45" s="2807" t="s">
        <v>2696</v>
      </c>
      <c r="B45" s="2808">
        <f>'预评函-2'!O5</f>
        <v>556650.11</v>
      </c>
    </row>
    <row r="46" spans="1:2">
      <c r="A46" s="2807" t="s">
        <v>2697</v>
      </c>
      <c r="B46" s="2808" t="e">
        <f ca="1">'预评函-2'!P5</f>
        <v>#DIV/0!</v>
      </c>
    </row>
    <row r="47" spans="1:2">
      <c r="A47" s="2807" t="s">
        <v>2698</v>
      </c>
      <c r="B47" s="2808" t="e">
        <f ca="1">'预评函-2'!Q5</f>
        <v>#DIV/0!</v>
      </c>
    </row>
    <row r="48" spans="1:2">
      <c r="A48" s="2807" t="s">
        <v>2699</v>
      </c>
      <c r="B48" s="2808" t="e">
        <f ca="1">'预评函-2'!R5</f>
        <v>#DIV/0!</v>
      </c>
    </row>
    <row r="49" spans="1:2">
      <c r="A49" s="2807" t="s">
        <v>2715</v>
      </c>
      <c r="B49" s="2808" t="str">
        <f>'预评函-2'!A6</f>
        <v>——</v>
      </c>
    </row>
    <row r="50" spans="1:2">
      <c r="A50" s="2807" t="s">
        <v>2700</v>
      </c>
      <c r="B50" s="2808" t="str">
        <f>'预评函-2'!R6</f>
        <v>——</v>
      </c>
    </row>
    <row r="51" spans="1:2">
      <c r="A51" s="2807" t="s">
        <v>2716</v>
      </c>
      <c r="B51" s="2808" t="str">
        <f>'预评函-2'!A7</f>
        <v>——</v>
      </c>
    </row>
    <row r="52" spans="1:2">
      <c r="A52" s="2807" t="s">
        <v>2701</v>
      </c>
      <c r="B52" s="2808" t="str">
        <f>'预评函-2'!R7</f>
        <v>——</v>
      </c>
    </row>
    <row r="53" spans="1:2">
      <c r="A53" s="2807" t="s">
        <v>2717</v>
      </c>
      <c r="B53" s="2808" t="str">
        <f>'预评函-2'!A8</f>
        <v>——</v>
      </c>
    </row>
    <row r="54" spans="1:2" s="2822" customFormat="1" ht="15" thickBot="1">
      <c r="A54" s="2829" t="s">
        <v>2702</v>
      </c>
      <c r="B54" s="2830" t="str">
        <f>'预评函-2'!R8</f>
        <v>——</v>
      </c>
    </row>
    <row r="55" spans="1:2" ht="15" thickTop="1">
      <c r="A55" s="2818" t="s">
        <v>2652</v>
      </c>
      <c r="B55" s="2819" t="str">
        <f>'预评函-3'!A2</f>
        <v>1.权利限制：根据估价对象《不动产权证书》原件、《国有土地使用权》复印件，截至估价期日，估价对象抵押权未见登记。未设定租赁等其他他项权利。</v>
      </c>
    </row>
    <row r="56" spans="1:2">
      <c r="A56" s="2807" t="s">
        <v>2653</v>
      </c>
      <c r="B56" s="2808" t="str">
        <f>'预评函-3'!A3</f>
        <v>2.基础设施条件：估价对象实际开发程度为红线外七通、宗地红线内；本次评估设定开发程度为红线外七通、宗地红线内场地。</v>
      </c>
    </row>
    <row r="57" spans="1:2">
      <c r="A57" s="2807" t="s">
        <v>2654</v>
      </c>
      <c r="B57" s="2808" t="str">
        <f>'预评函-3'!A4</f>
        <v>3.估价规划限制条件：详见《建设工程规划许可证》[]、《出让合同》[]。</v>
      </c>
    </row>
    <row r="58" spans="1:2" s="2822" customFormat="1" ht="15" thickBot="1">
      <c r="A58" s="2829" t="s">
        <v>2703</v>
      </c>
      <c r="B58" s="2830" t="str">
        <f>'预评函-3'!A5</f>
        <v>4.影响价格的其他限定条件：无。</v>
      </c>
    </row>
    <row r="59" spans="1:2" ht="15" thickTop="1">
      <c r="A59" s="2818" t="s">
        <v>2655</v>
      </c>
      <c r="B59" s="2819" t="str">
        <f>'预评函-3'!A8</f>
        <v>2.本次评估设定估价对象宗地权属无争议，未被查封或者以其他形式限制其房地产权利，未设定抵押权等他项权利，不涉及第三方权利义务。</v>
      </c>
    </row>
    <row r="60" spans="1:2">
      <c r="A60" s="2807" t="s">
        <v>2656</v>
      </c>
      <c r="B60" s="2808" t="str">
        <f>'预评函-3'!A9</f>
        <v>——</v>
      </c>
    </row>
    <row r="61" spans="1:2">
      <c r="A61" s="2807" t="s">
        <v>2658</v>
      </c>
      <c r="B61" s="2808" t="str">
        <f>'预评函-3'!A10</f>
        <v>——</v>
      </c>
    </row>
    <row r="62" spans="1:2">
      <c r="A62" s="2807" t="s">
        <v>2657</v>
      </c>
      <c r="B62" s="2808" t="str">
        <f>'预评函-3'!A11</f>
        <v>——</v>
      </c>
    </row>
    <row r="63" spans="1:2">
      <c r="A63" s="2807" t="s">
        <v>2659</v>
      </c>
      <c r="B63" s="28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07" t="s">
        <v>2660</v>
      </c>
      <c r="B64" s="2813" t="str">
        <f>'预评函-3'!A13</f>
        <v>（3）。</v>
      </c>
    </row>
    <row r="65" spans="1:2">
      <c r="A65" s="2807" t="s">
        <v>2661</v>
      </c>
      <c r="B65" s="2814" t="str">
        <f>'预评函-3'!A14</f>
        <v>——</v>
      </c>
    </row>
    <row r="66" spans="1:2">
      <c r="A66" s="2807" t="s">
        <v>2662</v>
      </c>
      <c r="B66" s="281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07" t="s">
        <v>2663</v>
      </c>
      <c r="B67" s="281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22" customFormat="1" ht="15" thickBot="1">
      <c r="A68" s="2829" t="s">
        <v>2666</v>
      </c>
      <c r="B68" s="2833">
        <f>'预评函-3'!D30</f>
        <v>42558</v>
      </c>
    </row>
    <row r="69" spans="1:2" ht="15" thickTop="1">
      <c r="A69" s="2818" t="s">
        <v>2664</v>
      </c>
      <c r="B69" s="2819" t="str">
        <f>'预评函-3'!A20</f>
        <v>土地估价师</v>
      </c>
    </row>
    <row r="70" spans="1:2">
      <c r="A70" s="2807" t="s">
        <v>2664</v>
      </c>
      <c r="B70" s="2814">
        <f>'预评函-3'!B20</f>
        <v>0</v>
      </c>
    </row>
    <row r="71" spans="1:2">
      <c r="A71" s="2807" t="s">
        <v>2665</v>
      </c>
      <c r="B71" s="2808" t="str">
        <f>'预评函-3'!A21</f>
        <v>土地估价师</v>
      </c>
    </row>
    <row r="72" spans="1:2" s="2822" customFormat="1" ht="15" thickBot="1">
      <c r="A72" s="2829" t="s">
        <v>2665</v>
      </c>
      <c r="B72" s="2835">
        <f>'预评函-3'!B21</f>
        <v>0</v>
      </c>
    </row>
    <row r="73" spans="1:2" ht="15" thickTop="1">
      <c r="A73" s="2818" t="s">
        <v>2724</v>
      </c>
      <c r="B73" s="28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07" t="s">
        <v>2725</v>
      </c>
      <c r="B74" s="2815" t="str">
        <f>'预评函-1 (储备)'!A18</f>
        <v>由于本次评估估价目的是评估储备国有建设用地使用权的“抵押价格”，因此本次评估设定土地开发程度为红线外市政基础设施达“七通”、宗地红线内场地平整。</v>
      </c>
    </row>
    <row r="75" spans="1:2" s="2822" customFormat="1" ht="15" thickBot="1">
      <c r="A75" s="2829" t="s">
        <v>2726</v>
      </c>
      <c r="B75" s="28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16" t="s">
        <v>2761</v>
      </c>
      <c r="B76" s="2817" t="str">
        <f>'预评函-3'!A25</f>
        <v>XX</v>
      </c>
    </row>
  </sheetData>
  <sheetProtection sheet="1" objects="1" scenarios="1"/>
  <phoneticPr fontId="2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23" sqref="C23"/>
    </sheetView>
  </sheetViews>
  <sheetFormatPr defaultColWidth="10" defaultRowHeight="14.25"/>
  <cols>
    <col min="1" max="1" width="15.375" style="1665" customWidth="1"/>
    <col min="2" max="2" width="11.375" style="1665" customWidth="1"/>
    <col min="3" max="3" width="12.625" style="1665" customWidth="1"/>
    <col min="4" max="4" width="10" style="1665" customWidth="1"/>
    <col min="5" max="5" width="12.5" style="1665" customWidth="1"/>
    <col min="6" max="6" width="11.375" style="1665" customWidth="1"/>
    <col min="7" max="7" width="12.375" style="1665" customWidth="1"/>
    <col min="8" max="8" width="10" style="1665" customWidth="1"/>
    <col min="9" max="9" width="12.5" style="1667" customWidth="1"/>
    <col min="10" max="10" width="10" style="1665" customWidth="1"/>
    <col min="11" max="11" width="10" style="1747" customWidth="1"/>
    <col min="12" max="13" width="10" style="1666" customWidth="1"/>
    <col min="14" max="14" width="10" style="1665" customWidth="1"/>
    <col min="15" max="15" width="10" style="1667" customWidth="1"/>
    <col min="16" max="17" width="10" style="1665"/>
    <col min="18" max="18" width="10" style="1665" customWidth="1"/>
    <col min="19" max="16384" width="10" style="1665"/>
  </cols>
  <sheetData>
    <row r="1" spans="1:21" ht="15" thickBot="1">
      <c r="A1" s="1633" t="s">
        <v>1913</v>
      </c>
      <c r="B1" s="3628" t="str">
        <f>IF(B10="北京市","北京市",C10)&amp;F10&amp;B16&amp;"国有建设用地使用权"&amp;B9&amp;"预评估"</f>
        <v>雄安新区出让国有建设用地使用权市场价格预评估</v>
      </c>
      <c r="C1" s="3629"/>
      <c r="D1" s="3629"/>
      <c r="E1" s="3629"/>
      <c r="F1" s="3629"/>
      <c r="G1" s="3629"/>
      <c r="H1" s="3629"/>
      <c r="I1" s="3630"/>
      <c r="J1" s="1668"/>
      <c r="K1" s="2393" t="str">
        <f>IF(B10="北京市","北京市",C10)&amp;F10&amp;B16&amp;"国有建设用地使用权"&amp;B9</f>
        <v>雄安新区出让国有建设用地使用权市场价格</v>
      </c>
      <c r="L1" s="1697"/>
      <c r="M1" s="1697"/>
      <c r="N1" s="1668"/>
      <c r="O1" s="1669"/>
      <c r="P1" s="1668"/>
      <c r="Q1" s="1668"/>
      <c r="R1" s="1668"/>
      <c r="S1" s="1668"/>
      <c r="T1" s="1668"/>
      <c r="U1" s="1668"/>
    </row>
    <row r="2" spans="1:21">
      <c r="A2" s="1634" t="s">
        <v>1914</v>
      </c>
      <c r="B2" s="1816"/>
      <c r="D2" s="1668"/>
      <c r="E2" s="1668"/>
      <c r="F2" s="1668"/>
      <c r="G2" s="1668"/>
      <c r="H2" s="1634"/>
      <c r="I2" s="1669"/>
      <c r="J2" s="1668"/>
      <c r="K2" s="2393" t="str">
        <f>IF(B10="北京市","北京市",C10)&amp;F10&amp;B16&amp;"国有建设用地使用权"</f>
        <v>雄安新区出让国有建设用地使用权</v>
      </c>
      <c r="L2" s="1697"/>
      <c r="M2" s="1697"/>
      <c r="N2" s="1668"/>
      <c r="O2" s="1669"/>
      <c r="P2" s="1668"/>
      <c r="Q2" s="1668"/>
      <c r="R2" s="1668"/>
      <c r="S2" s="1668"/>
      <c r="T2" s="1668"/>
      <c r="U2" s="1668"/>
    </row>
    <row r="3" spans="1:21">
      <c r="A3" s="1635" t="s">
        <v>1915</v>
      </c>
      <c r="B3" s="1636"/>
      <c r="C3" s="1637" t="s">
        <v>1971</v>
      </c>
      <c r="D3" s="1636">
        <v>43933</v>
      </c>
      <c r="E3" s="1668"/>
      <c r="F3" s="1668"/>
      <c r="G3" s="1668"/>
      <c r="H3" s="1634"/>
      <c r="I3" s="1669"/>
      <c r="J3" s="1668"/>
      <c r="K3" s="1748"/>
      <c r="L3" s="1697"/>
      <c r="M3" s="1697"/>
      <c r="N3" s="1668"/>
      <c r="O3" s="1669"/>
      <c r="P3" s="1668"/>
      <c r="Q3" s="1668"/>
      <c r="R3" s="1668"/>
      <c r="S3" s="1668"/>
      <c r="T3" s="1668"/>
      <c r="U3" s="1668"/>
    </row>
    <row r="4" spans="1:21" ht="29.25" thickBot="1">
      <c r="A4" s="1638" t="s">
        <v>1916</v>
      </c>
      <c r="B4" s="1817" t="s">
        <v>2863</v>
      </c>
      <c r="C4" s="1820">
        <f>SUMIF(土地估价师,B4,估价师及机构信息!E3:E24)</f>
        <v>0</v>
      </c>
      <c r="D4" s="1817" t="s">
        <v>2863</v>
      </c>
      <c r="E4" s="1820">
        <f>SUMIF(土地估价师,D4,估价师及机构信息!E3:E24)</f>
        <v>0</v>
      </c>
      <c r="F4" s="1817" t="s">
        <v>930</v>
      </c>
      <c r="G4" s="1820">
        <f>SUMIF(土地估价师,F4,估价师及机构信息!E3:E24)</f>
        <v>0</v>
      </c>
      <c r="H4" s="1817" t="s">
        <v>930</v>
      </c>
      <c r="I4" s="1820">
        <f>SUMIF(土地估价师,H4,估价师及机构信息!E3:E24)</f>
        <v>0</v>
      </c>
      <c r="J4" s="1668"/>
      <c r="K4" s="2393" t="str">
        <f>IF(AND(F4="——",H4="——"),B4&amp;"、"&amp;D4,IF(AND(F4&lt;&gt;"——",H4="——"),B4&amp;"、"&amp;D4&amp;"、"&amp;F4,B4&amp;"、"&amp;D4&amp;"、"&amp;F4&amp;"、"&amp;H4))</f>
        <v>土地估价师、土地估价师</v>
      </c>
      <c r="L4" s="1697"/>
      <c r="M4" s="1697"/>
      <c r="N4" s="1668"/>
      <c r="O4" s="1669"/>
      <c r="P4" s="1668"/>
      <c r="Q4" s="1668"/>
      <c r="R4" s="1668"/>
      <c r="S4" s="1668"/>
      <c r="T4" s="1668"/>
      <c r="U4" s="1668"/>
    </row>
    <row r="5" spans="1:21" ht="15" thickTop="1">
      <c r="A5" s="1639" t="s">
        <v>1917</v>
      </c>
      <c r="B5" s="1763"/>
      <c r="C5" s="1640"/>
      <c r="D5" s="1641"/>
      <c r="E5" s="1668"/>
      <c r="F5" s="1668"/>
      <c r="G5" s="1668"/>
      <c r="H5" s="1634"/>
      <c r="I5" s="1669"/>
      <c r="J5" s="1668"/>
      <c r="K5" s="1748"/>
      <c r="L5" s="1697"/>
      <c r="M5" s="1697"/>
      <c r="N5" s="1668"/>
      <c r="O5" s="1669"/>
      <c r="P5" s="1668"/>
      <c r="Q5" s="1668"/>
      <c r="R5" s="1668"/>
      <c r="S5" s="1668"/>
      <c r="T5" s="1668"/>
      <c r="U5" s="1668"/>
    </row>
    <row r="6" spans="1:21" ht="26.25">
      <c r="A6" s="1637" t="s">
        <v>2680</v>
      </c>
      <c r="B6" s="1763"/>
      <c r="C6" s="1735"/>
      <c r="D6" s="1642"/>
      <c r="E6" s="1668"/>
      <c r="F6" s="1668"/>
      <c r="G6" s="1668"/>
      <c r="H6" s="1634"/>
      <c r="I6" s="1669"/>
      <c r="J6" s="1668"/>
      <c r="K6" s="2981" t="str">
        <f>IF(COUNTIF(B6,"*上海银行*"),"上海银行","")</f>
        <v/>
      </c>
      <c r="L6" s="1697"/>
      <c r="M6" s="1697"/>
      <c r="N6" s="1668"/>
      <c r="O6" s="1669"/>
      <c r="P6" s="1668"/>
      <c r="Q6" s="1668"/>
      <c r="R6" s="1668"/>
      <c r="S6" s="1668"/>
      <c r="T6" s="1668"/>
      <c r="U6" s="1668"/>
    </row>
    <row r="7" spans="1:21">
      <c r="A7" s="1643" t="s">
        <v>2681</v>
      </c>
      <c r="B7" s="1763"/>
      <c r="C7" s="1735"/>
      <c r="D7" s="1642"/>
      <c r="E7" s="1668"/>
      <c r="F7" s="1668"/>
      <c r="G7" s="1668"/>
      <c r="H7" s="1634"/>
      <c r="I7" s="1669"/>
      <c r="J7" s="1668"/>
      <c r="K7" s="1748"/>
      <c r="L7" s="1697"/>
      <c r="M7" s="1697"/>
      <c r="N7" s="1668"/>
      <c r="O7" s="1669"/>
      <c r="P7" s="1668"/>
      <c r="Q7" s="1668"/>
      <c r="R7" s="1668"/>
      <c r="S7" s="1668"/>
      <c r="T7" s="1668"/>
      <c r="U7" s="1668"/>
    </row>
    <row r="8" spans="1:21">
      <c r="A8" s="1643" t="s">
        <v>1918</v>
      </c>
      <c r="B8" s="1644" t="s">
        <v>2962</v>
      </c>
      <c r="C8" s="1645"/>
      <c r="D8" s="3634" t="s">
        <v>1920</v>
      </c>
      <c r="E8" s="1818"/>
      <c r="F8" s="1646"/>
      <c r="G8" s="1634"/>
      <c r="H8" s="1634"/>
      <c r="I8" s="1681"/>
      <c r="J8" s="1668"/>
      <c r="K8" s="1748"/>
      <c r="L8" s="1697"/>
      <c r="M8" s="1697"/>
      <c r="N8" s="1668"/>
      <c r="O8" s="1669"/>
      <c r="P8" s="1668"/>
      <c r="Q8" s="1668"/>
      <c r="R8" s="1668"/>
      <c r="S8" s="1668"/>
      <c r="T8" s="1668"/>
      <c r="U8" s="1668"/>
    </row>
    <row r="9" spans="1:21" ht="15" thickBot="1">
      <c r="A9" s="1647" t="s">
        <v>1919</v>
      </c>
      <c r="B9" s="1648" t="s">
        <v>3010</v>
      </c>
      <c r="C9" s="1649"/>
      <c r="D9" s="3635"/>
      <c r="E9" s="1648"/>
      <c r="F9" s="1721"/>
      <c r="G9" s="1716"/>
      <c r="H9" s="1716"/>
      <c r="I9" s="1717"/>
      <c r="J9" s="1668"/>
      <c r="K9" s="1748"/>
      <c r="L9" s="1697"/>
      <c r="M9" s="1697"/>
      <c r="N9" s="1668"/>
      <c r="O9" s="1669"/>
      <c r="P9" s="1668"/>
      <c r="Q9" s="1668"/>
      <c r="R9" s="1668"/>
      <c r="S9" s="1668"/>
      <c r="T9" s="1668"/>
      <c r="U9" s="1668"/>
    </row>
    <row r="10" spans="1:21" ht="15" thickTop="1">
      <c r="A10" s="1718" t="s">
        <v>1975</v>
      </c>
      <c r="B10" s="1693" t="s">
        <v>3011</v>
      </c>
      <c r="C10" s="1650" t="s">
        <v>3012</v>
      </c>
      <c r="D10" s="1641"/>
      <c r="E10" s="1651" t="s">
        <v>1922</v>
      </c>
      <c r="F10" s="1652"/>
      <c r="G10" s="1719"/>
      <c r="H10" s="1720"/>
      <c r="I10" s="1641"/>
      <c r="J10" s="1668"/>
      <c r="K10" s="1748"/>
      <c r="L10" s="1697"/>
      <c r="M10" s="1697"/>
      <c r="N10" s="1668"/>
      <c r="O10" s="1669"/>
      <c r="P10" s="1668"/>
      <c r="Q10" s="1668"/>
      <c r="R10" s="1668"/>
      <c r="S10" s="1668"/>
      <c r="T10" s="1668"/>
      <c r="U10" s="1668"/>
    </row>
    <row r="11" spans="1:21">
      <c r="A11" s="1671" t="s">
        <v>1976</v>
      </c>
      <c r="B11" s="1672" t="s">
        <v>3013</v>
      </c>
      <c r="C11" s="1653"/>
      <c r="D11" s="1736"/>
      <c r="E11" s="1634"/>
      <c r="F11" s="1634"/>
      <c r="G11" s="1634"/>
      <c r="H11" s="1634"/>
      <c r="I11" s="1634"/>
      <c r="J11" s="1668"/>
      <c r="K11" s="1748"/>
      <c r="L11" s="1697"/>
      <c r="M11" s="1697"/>
      <c r="N11" s="1668"/>
      <c r="O11" s="1669"/>
      <c r="P11" s="1668"/>
      <c r="Q11" s="1668"/>
      <c r="R11" s="1668"/>
      <c r="S11" s="1668"/>
      <c r="T11" s="1668"/>
      <c r="U11" s="1668"/>
    </row>
    <row r="12" spans="1:21">
      <c r="A12" s="1759" t="s">
        <v>2034</v>
      </c>
      <c r="B12" s="3631"/>
      <c r="C12" s="3632"/>
      <c r="D12" s="3633"/>
      <c r="E12" s="1673" t="s">
        <v>2037</v>
      </c>
      <c r="F12" s="3649" t="s">
        <v>2864</v>
      </c>
      <c r="G12" s="3650"/>
      <c r="H12" s="3650"/>
      <c r="I12" s="3651"/>
      <c r="J12" s="1668"/>
      <c r="K12" s="1748"/>
      <c r="L12" s="1697"/>
      <c r="M12" s="1697"/>
      <c r="N12" s="1668"/>
      <c r="O12" s="1669"/>
      <c r="P12" s="1668"/>
      <c r="Q12" s="1668"/>
      <c r="R12" s="1668"/>
      <c r="S12" s="1668"/>
      <c r="T12" s="1668"/>
      <c r="U12" s="1668"/>
    </row>
    <row r="13" spans="1:21">
      <c r="A13" s="1661" t="s">
        <v>2035</v>
      </c>
      <c r="B13" s="3631"/>
      <c r="C13" s="3632"/>
      <c r="D13" s="3633"/>
      <c r="E13" s="1673" t="s">
        <v>2037</v>
      </c>
      <c r="F13" s="3649" t="s">
        <v>2865</v>
      </c>
      <c r="G13" s="3650"/>
      <c r="H13" s="3650"/>
      <c r="I13" s="3651"/>
      <c r="J13" s="1668"/>
      <c r="K13" s="1748"/>
      <c r="L13" s="1697"/>
      <c r="M13" s="1697"/>
      <c r="N13" s="1668"/>
      <c r="O13" s="1669"/>
      <c r="P13" s="1668"/>
      <c r="Q13" s="1668"/>
      <c r="R13" s="1668"/>
      <c r="S13" s="1668"/>
      <c r="T13" s="1668"/>
      <c r="U13" s="1668"/>
    </row>
    <row r="14" spans="1:21">
      <c r="A14" s="1635" t="s">
        <v>2038</v>
      </c>
      <c r="B14" s="1673"/>
      <c r="C14" s="1819"/>
      <c r="D14" s="1707" t="str">
        <f>IF(C14="不一致","是否符合证载地类范围","")</f>
        <v/>
      </c>
      <c r="E14" s="1673"/>
      <c r="F14" s="1764"/>
      <c r="G14" s="1702"/>
      <c r="H14" s="1702"/>
      <c r="I14" s="1811"/>
      <c r="J14" s="1668"/>
      <c r="K14" s="1748"/>
      <c r="L14" s="1697"/>
      <c r="M14" s="1697"/>
      <c r="N14" s="1668"/>
      <c r="O14" s="1669"/>
      <c r="P14" s="1668"/>
      <c r="Q14" s="1668"/>
      <c r="R14" s="1668"/>
      <c r="S14" s="1668"/>
      <c r="T14" s="1668"/>
      <c r="U14" s="1668"/>
    </row>
    <row r="15" spans="1:21" hidden="1">
      <c r="A15" s="2583"/>
      <c r="B15" s="1637"/>
      <c r="C15" s="1637"/>
      <c r="D15" s="1740" t="s">
        <v>1925</v>
      </c>
      <c r="E15" s="1740" t="s">
        <v>1926</v>
      </c>
      <c r="F15" s="1740" t="s">
        <v>1927</v>
      </c>
      <c r="G15" s="1660" t="s">
        <v>1928</v>
      </c>
      <c r="H15" s="1660" t="s">
        <v>1929</v>
      </c>
      <c r="I15" s="1660" t="s">
        <v>1930</v>
      </c>
      <c r="J15" s="1668"/>
      <c r="K15" s="1748"/>
      <c r="L15" s="1697"/>
      <c r="M15" s="1697"/>
      <c r="N15" s="1668"/>
      <c r="O15" s="1669"/>
      <c r="P15" s="1668"/>
      <c r="Q15" s="1668"/>
      <c r="R15" s="1668"/>
      <c r="S15" s="1668"/>
      <c r="T15" s="1668"/>
      <c r="U15" s="1668"/>
    </row>
    <row r="16" spans="1:21" ht="28.5">
      <c r="A16" s="1654" t="s">
        <v>1923</v>
      </c>
      <c r="B16" s="1655" t="s">
        <v>2962</v>
      </c>
      <c r="C16" s="1673" t="s">
        <v>1924</v>
      </c>
      <c r="D16" s="2584" t="s">
        <v>1925</v>
      </c>
      <c r="E16" s="1696" t="s">
        <v>3014</v>
      </c>
      <c r="F16" s="1696" t="s">
        <v>1655</v>
      </c>
      <c r="G16" s="1696"/>
      <c r="H16" s="1696"/>
      <c r="I16" s="1660" t="s">
        <v>1930</v>
      </c>
      <c r="J16" s="1668"/>
      <c r="K16" s="2394" t="str">
        <f>IF(D17="","",D16&amp;TEXT(D17,"yyyy年m月d日;;"))</f>
        <v/>
      </c>
      <c r="L16" s="1673" t="str">
        <f>IF(OR(K16="",M16=""),"","、")</f>
        <v/>
      </c>
      <c r="M16" s="2394" t="str">
        <f>IF(E17="","",E16&amp;TEXT(E17,"yyyy年m月d日;;"))</f>
        <v>商业2060年4月11日</v>
      </c>
      <c r="N16" s="1673" t="str">
        <f>IF(OR(M16="",O16=""),"","、")</f>
        <v>、</v>
      </c>
      <c r="O16" s="2394" t="str">
        <f>IF(F17="","",F16&amp;TEXT(F17,"yyyy年m月d日;;"))</f>
        <v>办公2070年4月11日</v>
      </c>
      <c r="P16" s="1673" t="str">
        <f>IF(OR(O16="",Q16=""),"","、")</f>
        <v/>
      </c>
      <c r="Q16" s="2394" t="str">
        <f>IF(G17="","",G16&amp;TEXT(G17,"yyyy年m月d日;;"))</f>
        <v/>
      </c>
      <c r="R16" s="1673" t="str">
        <f>IF(OR(Q16="",S16=""),"","、")</f>
        <v/>
      </c>
      <c r="S16" s="2394" t="str">
        <f>IF(H17="","",H16&amp;TEXT(H17,"yyyy年m月d日;;"))</f>
        <v/>
      </c>
      <c r="T16" s="1673" t="str">
        <f>IF(OR(S16="",U16=""),"","、")</f>
        <v/>
      </c>
      <c r="U16" s="2394" t="str">
        <f>IF(I17="","",I16&amp;TEXT(I17,"yyyy年m月d日;;"))</f>
        <v/>
      </c>
    </row>
    <row r="17" spans="1:21">
      <c r="A17" s="1737"/>
      <c r="B17" s="1656"/>
      <c r="C17" s="1657" t="s">
        <v>1931</v>
      </c>
      <c r="D17" s="1674"/>
      <c r="E17" s="1674">
        <v>58542</v>
      </c>
      <c r="F17" s="1674">
        <v>62194</v>
      </c>
      <c r="G17" s="1674"/>
      <c r="H17" s="1674"/>
      <c r="I17" s="1674"/>
      <c r="J17" s="1668"/>
      <c r="K17" s="2393" t="str">
        <f>CONCATENATE(K16,L16,M16,N16,O16,P16,Q16,R16,S16,T16,,U16)</f>
        <v>商业2060年4月11日、办公2070年4月11日</v>
      </c>
      <c r="L17" s="1697"/>
      <c r="M17" s="1697"/>
      <c r="N17" s="1668"/>
      <c r="O17" s="1669"/>
      <c r="P17" s="1668"/>
      <c r="Q17" s="1668"/>
      <c r="R17" s="1668"/>
      <c r="S17" s="1668"/>
      <c r="T17" s="1668"/>
      <c r="U17" s="1668"/>
    </row>
    <row r="18" spans="1:21">
      <c r="A18" s="1737"/>
      <c r="B18" s="1656"/>
      <c r="C18" s="1657" t="s">
        <v>1932</v>
      </c>
      <c r="D18" s="1658"/>
      <c r="E18" s="1658">
        <v>40</v>
      </c>
      <c r="F18" s="1658">
        <v>50</v>
      </c>
      <c r="G18" s="1658"/>
      <c r="H18" s="1658"/>
      <c r="I18" s="1658"/>
      <c r="J18" s="1668"/>
      <c r="K18" s="1748"/>
      <c r="L18" s="1697"/>
      <c r="M18" s="1697"/>
      <c r="N18" s="1668"/>
      <c r="O18" s="1669"/>
      <c r="P18" s="1668"/>
      <c r="Q18" s="1668"/>
      <c r="R18" s="1668"/>
      <c r="S18" s="1668"/>
      <c r="T18" s="1668"/>
      <c r="U18" s="1668"/>
    </row>
    <row r="19" spans="1:21">
      <c r="A19" s="1737"/>
      <c r="B19" s="1656"/>
      <c r="C19" s="1634" t="s">
        <v>1933</v>
      </c>
      <c r="D19" s="1732" t="str">
        <f>IF(B16="出让",IF(D17="","",ROUNDDOWN(MIN((D17-$D$3)/365,D18),2)),D18)</f>
        <v/>
      </c>
      <c r="E19" s="1659">
        <f>IF(B16="出让",IF(E17="","",ROUNDDOWN(MIN((E17-$D$3)/365,E18),2)),E18)</f>
        <v>40</v>
      </c>
      <c r="F19" s="1659">
        <f>IF(B16="出让",IF(F17="","",ROUNDDOWN(MIN((F17-$D$3)/365,F18),2)),F18)</f>
        <v>50</v>
      </c>
      <c r="G19" s="1659" t="str">
        <f>IF(B16="出让",IF(G17="","",ROUNDDOWN(MIN((G17-$D$3)/365,G18),2)),G18)</f>
        <v/>
      </c>
      <c r="H19" s="1659" t="str">
        <f>IF(B16="出让",IF(H17="","",ROUNDDOWN(MIN((H17-$D$3)/365,H18),2)),H18)</f>
        <v/>
      </c>
      <c r="I19" s="1659" t="str">
        <f>IF(B16="出让",IF(I17="","",ROUNDDOWN(MIN((I17-$D$3)/365,I18),2)),I18)</f>
        <v/>
      </c>
      <c r="J19" s="1668"/>
      <c r="K19" s="1748"/>
      <c r="L19" s="1697"/>
      <c r="M19" s="1697"/>
      <c r="N19" s="1668"/>
      <c r="O19" s="1669"/>
      <c r="P19" s="1668"/>
      <c r="Q19" s="1668"/>
      <c r="R19" s="1668"/>
      <c r="S19" s="1668"/>
      <c r="T19" s="1668"/>
      <c r="U19" s="1668"/>
    </row>
    <row r="20" spans="1:21">
      <c r="A20" s="1760"/>
      <c r="B20" s="1761"/>
      <c r="C20" s="1762" t="s">
        <v>2036</v>
      </c>
      <c r="D20" s="3646"/>
      <c r="E20" s="3647"/>
      <c r="F20" s="3647"/>
      <c r="G20" s="3647"/>
      <c r="H20" s="3647"/>
      <c r="I20" s="3648"/>
      <c r="J20" s="1668"/>
      <c r="K20" s="1748"/>
      <c r="L20" s="1697"/>
      <c r="M20" s="1697"/>
      <c r="N20" s="1668"/>
      <c r="O20" s="1669"/>
      <c r="P20" s="1668"/>
      <c r="Q20" s="1668"/>
      <c r="R20" s="1668"/>
      <c r="S20" s="1668"/>
      <c r="T20" s="1668"/>
      <c r="U20" s="1668"/>
    </row>
    <row r="21" spans="1:21">
      <c r="A21" s="1737" t="s">
        <v>1934</v>
      </c>
      <c r="B21" s="1738" t="s">
        <v>1935</v>
      </c>
      <c r="C21" s="1733">
        <f>'数据-汇总表'!E3</f>
        <v>556650.11</v>
      </c>
      <c r="D21" s="1734" t="s">
        <v>1936</v>
      </c>
      <c r="E21" s="3636" t="s">
        <v>1974</v>
      </c>
      <c r="F21" s="3637"/>
      <c r="G21" s="3637"/>
      <c r="H21" s="3637"/>
      <c r="I21" s="3638"/>
      <c r="J21" s="1668"/>
      <c r="K21" s="1748"/>
      <c r="L21" s="1697"/>
      <c r="M21" s="1697"/>
      <c r="N21" s="1668"/>
      <c r="O21" s="1669"/>
      <c r="P21" s="1668"/>
      <c r="Q21" s="1668"/>
      <c r="R21" s="1668"/>
      <c r="S21" s="1668"/>
      <c r="T21" s="1668"/>
      <c r="U21" s="1668"/>
    </row>
    <row r="22" spans="1:21">
      <c r="A22" s="3071" t="s">
        <v>930</v>
      </c>
      <c r="B22" s="1635" t="s">
        <v>1937</v>
      </c>
      <c r="C22" s="1660">
        <f>'数据-汇总表'!D3</f>
        <v>370783.53</v>
      </c>
      <c r="D22" s="1661" t="s">
        <v>1936</v>
      </c>
      <c r="E22" s="3636" t="s">
        <v>2866</v>
      </c>
      <c r="F22" s="3637"/>
      <c r="G22" s="3637"/>
      <c r="H22" s="3637"/>
      <c r="I22" s="3638"/>
      <c r="J22" s="1668"/>
      <c r="K22" s="1748"/>
      <c r="L22" s="1697"/>
      <c r="M22" s="1697"/>
      <c r="N22" s="1668"/>
      <c r="O22" s="1669"/>
      <c r="P22" s="1668"/>
      <c r="Q22" s="1668"/>
      <c r="R22" s="1668"/>
      <c r="S22" s="1668"/>
      <c r="T22" s="1668"/>
      <c r="U22" s="1668"/>
    </row>
    <row r="23" spans="1:21" ht="43.5" thickBot="1">
      <c r="A23" s="1739" t="s">
        <v>1938</v>
      </c>
      <c r="B23" s="1675" t="s">
        <v>1939</v>
      </c>
      <c r="C23" s="1676" t="s">
        <v>3015</v>
      </c>
      <c r="D23" s="1677" t="s">
        <v>1940</v>
      </c>
      <c r="E23" s="1678"/>
      <c r="F23" s="1679" t="str">
        <f>IF(AND(C23="是",E23="否"),"是否提供他项权证或相关说明","")</f>
        <v/>
      </c>
      <c r="G23" s="1680"/>
      <c r="H23" s="1668"/>
      <c r="I23" s="1681"/>
      <c r="J23" s="1668"/>
      <c r="K23" s="1748"/>
      <c r="L23" s="1697"/>
      <c r="M23" s="1697"/>
      <c r="N23" s="1668"/>
      <c r="O23" s="1669"/>
      <c r="P23" s="1668"/>
      <c r="Q23" s="1668"/>
      <c r="R23" s="1668"/>
      <c r="S23" s="1668"/>
      <c r="T23" s="1668"/>
      <c r="U23" s="1668"/>
    </row>
    <row r="24" spans="1:21">
      <c r="A24" s="1724" t="s">
        <v>1941</v>
      </c>
      <c r="B24" s="3639" t="s">
        <v>1942</v>
      </c>
      <c r="C24" s="3640"/>
      <c r="D24" s="3641" t="s">
        <v>1943</v>
      </c>
      <c r="E24" s="3642"/>
      <c r="F24" s="1682" t="s">
        <v>1944</v>
      </c>
      <c r="G24" s="1668"/>
      <c r="H24" s="1668"/>
      <c r="I24" s="1681"/>
      <c r="J24" s="1668"/>
      <c r="K24" s="3627" t="s">
        <v>1945</v>
      </c>
      <c r="L24" s="239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97"/>
      <c r="N24" s="1668"/>
      <c r="O24" s="1669"/>
      <c r="P24" s="1668"/>
      <c r="Q24" s="1668"/>
      <c r="R24" s="1668"/>
      <c r="S24" s="1668"/>
      <c r="T24" s="1668"/>
      <c r="U24" s="1668"/>
    </row>
    <row r="25" spans="1:21" ht="28.5">
      <c r="A25" s="1725"/>
      <c r="B25" s="1722" t="s">
        <v>2300</v>
      </c>
      <c r="C25" s="1683" t="s">
        <v>1946</v>
      </c>
      <c r="D25" s="1684"/>
      <c r="E25" s="1685" t="s">
        <v>930</v>
      </c>
      <c r="F25" s="1686"/>
      <c r="G25" s="1668"/>
      <c r="H25" s="1668"/>
      <c r="I25" s="1681"/>
      <c r="J25" s="1668"/>
      <c r="K25" s="3627"/>
      <c r="L25" s="239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97"/>
      <c r="N25" s="1668"/>
      <c r="O25" s="1669"/>
      <c r="P25" s="1668"/>
      <c r="Q25" s="1668"/>
      <c r="R25" s="1668"/>
      <c r="S25" s="1668"/>
      <c r="T25" s="1668"/>
      <c r="U25" s="1668"/>
    </row>
    <row r="26" spans="1:21" ht="29.25" thickBot="1">
      <c r="A26" s="1726"/>
      <c r="B26" s="1723" t="s">
        <v>1947</v>
      </c>
      <c r="C26" s="1683" t="s">
        <v>2301</v>
      </c>
      <c r="D26" s="1634"/>
      <c r="E26" s="1634"/>
      <c r="F26" s="1662"/>
      <c r="G26" s="1668"/>
      <c r="H26" s="1668"/>
      <c r="I26" s="1681"/>
      <c r="J26" s="1668"/>
      <c r="K26" s="3627"/>
      <c r="L26" s="239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7"/>
      <c r="N26" s="1668"/>
      <c r="O26" s="1669"/>
      <c r="P26" s="1668"/>
      <c r="Q26" s="1668"/>
      <c r="R26" s="1668"/>
      <c r="S26" s="1668"/>
      <c r="T26" s="1668"/>
      <c r="U26" s="1668"/>
    </row>
    <row r="27" spans="1:21">
      <c r="A27" s="1729" t="s">
        <v>1948</v>
      </c>
      <c r="B27" s="1727" t="s">
        <v>1949</v>
      </c>
      <c r="C27" s="1687"/>
      <c r="D27" s="2589" t="s">
        <v>1949</v>
      </c>
      <c r="E27" s="1688"/>
      <c r="F27" s="1662"/>
      <c r="G27" s="1668"/>
      <c r="H27" s="1668"/>
      <c r="I27" s="1681"/>
      <c r="J27" s="1668"/>
      <c r="K27" s="1748"/>
      <c r="L27" s="1697"/>
      <c r="M27" s="1697"/>
      <c r="N27" s="1668"/>
      <c r="O27" s="1669"/>
      <c r="P27" s="1668"/>
      <c r="Q27" s="1668"/>
      <c r="R27" s="1668"/>
      <c r="S27" s="1668"/>
      <c r="T27" s="1668"/>
      <c r="U27" s="1668"/>
    </row>
    <row r="28" spans="1:21">
      <c r="A28" s="1730"/>
      <c r="B28" s="1727" t="s">
        <v>1950</v>
      </c>
      <c r="C28" s="1689"/>
      <c r="D28" s="2590" t="s">
        <v>1950</v>
      </c>
      <c r="E28" s="1690"/>
      <c r="F28" s="1662"/>
      <c r="G28" s="1668"/>
      <c r="H28" s="1668"/>
      <c r="I28" s="1681"/>
      <c r="J28" s="1668"/>
      <c r="K28" s="1748"/>
      <c r="L28" s="1697"/>
      <c r="M28" s="1697"/>
      <c r="N28" s="1668"/>
      <c r="O28" s="1669"/>
      <c r="P28" s="1668"/>
      <c r="Q28" s="1668"/>
      <c r="R28" s="1668"/>
      <c r="S28" s="1668"/>
      <c r="T28" s="1668"/>
      <c r="U28" s="1668"/>
    </row>
    <row r="29" spans="1:21">
      <c r="A29" s="1730"/>
      <c r="B29" s="1727" t="s">
        <v>1951</v>
      </c>
      <c r="C29" s="1689"/>
      <c r="D29" s="2590" t="s">
        <v>1951</v>
      </c>
      <c r="E29" s="1690"/>
      <c r="F29" s="1662"/>
      <c r="G29" s="1668"/>
      <c r="H29" s="1668"/>
      <c r="I29" s="1681"/>
      <c r="J29" s="1668"/>
      <c r="K29" s="1748"/>
      <c r="L29" s="1697"/>
      <c r="M29" s="1697"/>
      <c r="N29" s="1668"/>
      <c r="O29" s="1669"/>
      <c r="P29" s="1668"/>
      <c r="Q29" s="1668"/>
      <c r="R29" s="1668"/>
      <c r="S29" s="1668"/>
      <c r="T29" s="1668"/>
      <c r="U29" s="1668"/>
    </row>
    <row r="30" spans="1:21" ht="15" thickBot="1">
      <c r="A30" s="1731"/>
      <c r="B30" s="1728" t="s">
        <v>1952</v>
      </c>
      <c r="C30" s="1691"/>
      <c r="D30" s="2591" t="s">
        <v>1952</v>
      </c>
      <c r="E30" s="1692"/>
      <c r="F30" s="1663"/>
      <c r="G30" s="1716"/>
      <c r="H30" s="1716"/>
      <c r="I30" s="1717"/>
      <c r="J30" s="1668"/>
      <c r="K30" s="1748"/>
      <c r="L30" s="1697"/>
      <c r="M30" s="1697"/>
      <c r="N30" s="1668"/>
      <c r="O30" s="1669"/>
      <c r="P30" s="1668"/>
      <c r="Q30" s="1668"/>
      <c r="R30" s="1668"/>
      <c r="S30" s="1668"/>
      <c r="T30" s="1668"/>
      <c r="U30" s="1668"/>
    </row>
    <row r="31" spans="1:21" ht="15" thickTop="1">
      <c r="A31" s="3654" t="s">
        <v>1977</v>
      </c>
      <c r="B31" s="1738" t="s">
        <v>1978</v>
      </c>
      <c r="C31" s="3652"/>
      <c r="D31" s="3653"/>
      <c r="E31" s="1668"/>
      <c r="F31" s="1668"/>
      <c r="G31" s="1668"/>
      <c r="H31" s="1668"/>
      <c r="I31" s="1681"/>
      <c r="J31" s="1668"/>
      <c r="K31" s="2396"/>
      <c r="L31" s="1668"/>
      <c r="M31" s="1668"/>
      <c r="N31" s="1668"/>
      <c r="O31" s="1668"/>
      <c r="P31" s="1668"/>
      <c r="Q31" s="1668"/>
      <c r="R31" s="1668"/>
      <c r="S31" s="1668"/>
      <c r="T31" s="1668"/>
      <c r="U31" s="1668"/>
    </row>
    <row r="32" spans="1:21">
      <c r="A32" s="3654"/>
      <c r="B32" s="1635" t="s">
        <v>1979</v>
      </c>
      <c r="C32" s="1693"/>
      <c r="D32" s="1694"/>
      <c r="E32" s="1668"/>
      <c r="F32" s="1668"/>
      <c r="G32" s="1668"/>
      <c r="H32" s="1668"/>
      <c r="I32" s="1681"/>
      <c r="J32" s="1668"/>
      <c r="K32" s="2396"/>
      <c r="L32" s="1668"/>
      <c r="M32" s="1668"/>
      <c r="N32" s="1668"/>
      <c r="O32" s="1668"/>
      <c r="P32" s="1668"/>
      <c r="Q32" s="1668"/>
      <c r="R32" s="1668"/>
      <c r="S32" s="1668"/>
      <c r="T32" s="1668"/>
      <c r="U32" s="1668"/>
    </row>
    <row r="33" spans="1:21">
      <c r="A33" s="3654"/>
      <c r="B33" s="1635" t="s">
        <v>1980</v>
      </c>
      <c r="C33" s="1695"/>
      <c r="D33" s="1812"/>
      <c r="E33" s="1668"/>
      <c r="F33" s="1668"/>
      <c r="G33" s="1668"/>
      <c r="H33" s="1668"/>
      <c r="I33" s="1681"/>
      <c r="J33" s="1668"/>
      <c r="K33" s="2396"/>
      <c r="L33" s="1668"/>
      <c r="M33" s="1668"/>
      <c r="N33" s="1668"/>
      <c r="O33" s="1668"/>
      <c r="P33" s="1668"/>
      <c r="Q33" s="1668"/>
      <c r="R33" s="1668"/>
      <c r="S33" s="1668"/>
      <c r="T33" s="1668"/>
      <c r="U33" s="1668"/>
    </row>
    <row r="34" spans="1:21">
      <c r="A34" s="3655"/>
      <c r="B34" s="1635" t="s">
        <v>1981</v>
      </c>
      <c r="C34" s="3656"/>
      <c r="D34" s="3657"/>
      <c r="E34" s="1668"/>
      <c r="F34" s="1668"/>
      <c r="G34" s="1668"/>
      <c r="H34" s="1668"/>
      <c r="I34" s="1681"/>
      <c r="J34" s="1668"/>
      <c r="K34" s="2396"/>
      <c r="L34" s="1668"/>
      <c r="M34" s="1668"/>
      <c r="N34" s="1668"/>
      <c r="O34" s="1668"/>
      <c r="P34" s="1668"/>
      <c r="Q34" s="1668"/>
      <c r="R34" s="1668"/>
      <c r="S34" s="1668"/>
      <c r="T34" s="1668"/>
      <c r="U34" s="1668"/>
    </row>
    <row r="35" spans="1:21">
      <c r="A35" s="3658" t="s">
        <v>825</v>
      </c>
      <c r="B35" s="1696"/>
      <c r="C35" s="1750" t="str">
        <f>IF(B35="场地平整","——","具体情况：")</f>
        <v>具体情况：</v>
      </c>
      <c r="D35" s="3660"/>
      <c r="E35" s="3661"/>
      <c r="F35" s="3661"/>
      <c r="G35" s="3661"/>
      <c r="H35" s="3661"/>
      <c r="I35" s="3662"/>
      <c r="J35" s="1668"/>
      <c r="K35" s="1749"/>
      <c r="L35" s="1697"/>
      <c r="M35" s="1697"/>
      <c r="N35" s="1668"/>
      <c r="O35" s="1669"/>
      <c r="P35" s="1668"/>
      <c r="Q35" s="1668"/>
      <c r="R35" s="1668"/>
      <c r="S35" s="1668"/>
      <c r="T35" s="1668"/>
      <c r="U35" s="1668"/>
    </row>
    <row r="36" spans="1:21">
      <c r="A36" s="3654"/>
      <c r="B36" s="3663" t="s">
        <v>2030</v>
      </c>
      <c r="C36" s="3664"/>
      <c r="D36" s="1766"/>
      <c r="E36" s="3665"/>
      <c r="F36" s="3665"/>
      <c r="G36" s="1661" t="str">
        <f>IF(B35="场地未平整","估价结果处理","")</f>
        <v/>
      </c>
      <c r="H36" s="3666"/>
      <c r="I36" s="3666"/>
      <c r="J36" s="1668"/>
      <c r="K36" s="1749"/>
      <c r="L36" s="1697"/>
      <c r="M36" s="1697"/>
      <c r="N36" s="1668"/>
      <c r="O36" s="1669"/>
      <c r="P36" s="1668"/>
      <c r="Q36" s="1668"/>
      <c r="R36" s="1668"/>
      <c r="S36" s="1668"/>
      <c r="T36" s="1668"/>
      <c r="U36" s="1668"/>
    </row>
    <row r="37" spans="1:21" ht="28.5">
      <c r="A37" s="3654"/>
      <c r="B37" s="3643" t="s">
        <v>826</v>
      </c>
      <c r="C37" s="1698" t="s">
        <v>827</v>
      </c>
      <c r="D37" s="1699"/>
      <c r="E37" s="1700"/>
      <c r="F37" s="1668"/>
      <c r="G37" s="1668"/>
      <c r="H37" s="1668"/>
      <c r="I37" s="1681"/>
      <c r="J37" s="1668"/>
      <c r="K37" s="1749"/>
      <c r="L37" s="1668"/>
      <c r="M37" s="1668"/>
      <c r="N37" s="1668"/>
      <c r="O37" s="1668"/>
      <c r="P37" s="1668"/>
      <c r="Q37" s="1668"/>
      <c r="R37" s="1668"/>
      <c r="S37" s="1668"/>
      <c r="T37" s="1668"/>
      <c r="U37" s="1668"/>
    </row>
    <row r="38" spans="1:21">
      <c r="A38" s="3654"/>
      <c r="B38" s="3644"/>
      <c r="C38" s="1643" t="s">
        <v>828</v>
      </c>
      <c r="D38" s="1765">
        <f>ROUNDDOWN(MIN(('数据-取费表'!$B$2-D37)/365,D34),1)</f>
        <v>120.3</v>
      </c>
      <c r="E38" s="1701" t="s">
        <v>829</v>
      </c>
      <c r="F38" s="1668"/>
      <c r="G38" s="1668"/>
      <c r="H38" s="1668"/>
      <c r="I38" s="1681"/>
      <c r="J38" s="1668"/>
      <c r="K38" s="1749"/>
      <c r="L38" s="1668"/>
      <c r="M38" s="1668"/>
      <c r="N38" s="1668"/>
      <c r="O38" s="1668"/>
      <c r="P38" s="1668"/>
      <c r="Q38" s="1668"/>
      <c r="R38" s="1668"/>
      <c r="S38" s="1668"/>
      <c r="T38" s="1668"/>
      <c r="U38" s="1668"/>
    </row>
    <row r="39" spans="1:21">
      <c r="A39" s="3655"/>
      <c r="B39" s="3645"/>
      <c r="C39" s="1671" t="str">
        <f>IF(D38&lt;1,"不存在土地闲置",IF(B35="宗地内已开工建设","已开工，不存在土地闲置","估价对象已涉嫌土地闲置"))</f>
        <v>估价对象已涉嫌土地闲置</v>
      </c>
      <c r="D39" s="1702"/>
      <c r="E39" s="1703"/>
      <c r="F39" s="1668"/>
      <c r="G39" s="1668"/>
      <c r="H39" s="1668"/>
      <c r="I39" s="1681"/>
      <c r="J39" s="1668"/>
      <c r="K39" s="1748"/>
      <c r="L39" s="1697"/>
      <c r="M39" s="1697"/>
      <c r="N39" s="1668"/>
      <c r="O39" s="1669"/>
      <c r="P39" s="1668"/>
      <c r="Q39" s="1668"/>
      <c r="R39" s="1668"/>
      <c r="S39" s="1668"/>
      <c r="T39" s="1668"/>
      <c r="U39" s="1668"/>
    </row>
    <row r="40" spans="1:21">
      <c r="A40" s="1661" t="s">
        <v>1953</v>
      </c>
      <c r="B40" s="1664"/>
      <c r="C40" s="1664"/>
      <c r="D40" s="1664"/>
      <c r="E40" s="1664"/>
      <c r="F40" s="1664"/>
      <c r="G40" s="1664"/>
      <c r="H40" s="1664"/>
      <c r="I40" s="1681"/>
      <c r="J40" s="1668"/>
      <c r="K40" s="1704">
        <f>COUNTIF(B40:H40,"——")</f>
        <v>0</v>
      </c>
      <c r="L40" s="1673" t="s">
        <v>1954</v>
      </c>
      <c r="M40" s="1670" t="s">
        <v>1955</v>
      </c>
      <c r="N40" s="1670" t="s">
        <v>1956</v>
      </c>
      <c r="O40" s="1670" t="s">
        <v>1957</v>
      </c>
      <c r="P40" s="1670" t="s">
        <v>1958</v>
      </c>
      <c r="Q40" s="1670" t="s">
        <v>1959</v>
      </c>
      <c r="R40" s="1670" t="s">
        <v>1960</v>
      </c>
      <c r="S40" s="3626" t="s">
        <v>1961</v>
      </c>
      <c r="T40" s="1705" t="str">
        <f>NUMBERSTRING(7-K40,1)&amp;"通"</f>
        <v>七通</v>
      </c>
      <c r="U40" s="1668"/>
    </row>
    <row r="41" spans="1:21">
      <c r="A41" s="1637"/>
      <c r="B41" s="3659" t="s">
        <v>1699</v>
      </c>
      <c r="C41" s="3659"/>
      <c r="D41" s="3659"/>
      <c r="E41" s="3659"/>
      <c r="F41" s="1706" t="str">
        <f>C10</f>
        <v>雄安新区</v>
      </c>
      <c r="G41" s="1668"/>
      <c r="H41" s="1668"/>
      <c r="I41" s="1681"/>
      <c r="J41" s="1668"/>
      <c r="K41" s="1673"/>
      <c r="L41" s="1670">
        <f>B40</f>
        <v>0</v>
      </c>
      <c r="M41" s="1707" t="str">
        <f>B40&amp;"、"&amp;C40</f>
        <v>、</v>
      </c>
      <c r="N41" s="1708" t="str">
        <f>B40&amp;"、"&amp;C40&amp;"、"&amp;D40</f>
        <v>、、</v>
      </c>
      <c r="O41" s="1708" t="str">
        <f>B40&amp;"、"&amp;C40&amp;"、"&amp;D40&amp;"、"&amp;E40</f>
        <v>、、、</v>
      </c>
      <c r="P41" s="1708" t="str">
        <f>B40&amp;"、"&amp;C40&amp;"、"&amp;D40&amp;"、"&amp;E40&amp;"、"&amp;F40</f>
        <v>、、、、</v>
      </c>
      <c r="Q41" s="1708" t="str">
        <f>B40&amp;"、"&amp;C40&amp;"、"&amp;D40&amp;"、"&amp;E40&amp;"、"&amp;F40&amp;"、"&amp;G40</f>
        <v>、、、、、</v>
      </c>
      <c r="R41" s="1708" t="str">
        <f>B40&amp;"、"&amp;C40&amp;"、"&amp;D40&amp;"、"&amp;E40&amp;"、"&amp;F40&amp;"、"&amp;G40&amp;"、"&amp;H40</f>
        <v>、、、、、、</v>
      </c>
      <c r="S41" s="3626"/>
      <c r="T41" s="1707" t="str">
        <f>IF(T40="一通",L41,IF(T40="二通",M41,IF(T40="三通",N41,IF(T40="四通",O41,IF(T40="五通",P41,IF(T40="六通",Q41,R41))))))</f>
        <v>、、、、、、</v>
      </c>
      <c r="U41" s="1668"/>
    </row>
    <row r="42" spans="1:21">
      <c r="A42" s="1709"/>
      <c r="B42" s="1740" t="s">
        <v>1875</v>
      </c>
      <c r="C42" s="1740" t="s">
        <v>1876</v>
      </c>
      <c r="D42" s="1740" t="s">
        <v>1877</v>
      </c>
      <c r="E42" s="1673" t="s">
        <v>1878</v>
      </c>
      <c r="F42" s="1710"/>
      <c r="G42" s="1668"/>
      <c r="H42" s="1668"/>
      <c r="I42" s="1681"/>
      <c r="J42" s="1668"/>
      <c r="K42" s="1748"/>
      <c r="L42" s="1697"/>
      <c r="M42" s="1697"/>
      <c r="N42" s="1668"/>
      <c r="O42" s="1669"/>
      <c r="P42" s="1668"/>
      <c r="Q42" s="1668"/>
      <c r="R42" s="1668"/>
      <c r="S42" s="1668"/>
      <c r="T42" s="1668"/>
      <c r="U42" s="1668"/>
    </row>
    <row r="43" spans="1:21">
      <c r="A43" s="1711" t="s">
        <v>1684</v>
      </c>
      <c r="B43" s="1712"/>
      <c r="C43" s="1712"/>
      <c r="D43" s="1712"/>
      <c r="E43" s="1712"/>
      <c r="F43" s="1713"/>
      <c r="G43" s="1668"/>
      <c r="H43" s="1668"/>
      <c r="I43" s="1681"/>
      <c r="J43" s="1668"/>
      <c r="K43" s="1748"/>
      <c r="L43" s="1697"/>
      <c r="M43" s="1697"/>
      <c r="N43" s="1668"/>
      <c r="O43" s="1669"/>
      <c r="P43" s="1668"/>
      <c r="Q43" s="1668"/>
      <c r="R43" s="1668"/>
      <c r="S43" s="1668"/>
      <c r="T43" s="1668"/>
      <c r="U43" s="1668"/>
    </row>
    <row r="44" spans="1:21">
      <c r="A44" s="1711" t="s">
        <v>1685</v>
      </c>
      <c r="B44" s="1712"/>
      <c r="C44" s="1712"/>
      <c r="D44" s="1712"/>
      <c r="E44" s="1766"/>
      <c r="F44" s="1713"/>
      <c r="G44" s="1668"/>
      <c r="H44" s="1668"/>
      <c r="I44" s="1681"/>
      <c r="J44" s="1668"/>
      <c r="K44" s="1748"/>
      <c r="L44" s="1697"/>
      <c r="M44" s="1697"/>
      <c r="N44" s="1668"/>
      <c r="O44" s="1669"/>
      <c r="P44" s="1668"/>
      <c r="Q44" s="1668"/>
      <c r="R44" s="1668"/>
      <c r="S44" s="1668"/>
      <c r="T44" s="1668"/>
      <c r="U44" s="1668"/>
    </row>
    <row r="45" spans="1:21" s="2998" customFormat="1" ht="21" thickBot="1">
      <c r="A45" s="2999" t="s">
        <v>2867</v>
      </c>
      <c r="B45" s="2994"/>
      <c r="C45" s="2994"/>
      <c r="D45" s="2994"/>
      <c r="E45" s="2994"/>
      <c r="F45" s="2994"/>
      <c r="G45" s="2994"/>
      <c r="H45" s="2994"/>
      <c r="I45" s="2995"/>
      <c r="J45" s="2994"/>
      <c r="K45" s="2996"/>
      <c r="L45" s="2997"/>
      <c r="M45" s="2997"/>
      <c r="N45" s="2994"/>
      <c r="O45" s="2995"/>
      <c r="P45" s="2994"/>
      <c r="Q45" s="2994"/>
      <c r="R45" s="2994"/>
      <c r="S45" s="2994"/>
      <c r="T45" s="2994"/>
      <c r="U45" s="2994"/>
    </row>
    <row r="46" spans="1:21">
      <c r="A46" s="1668"/>
      <c r="B46" s="1668"/>
      <c r="C46" s="1668"/>
      <c r="D46" s="1668"/>
      <c r="E46" s="1668"/>
      <c r="F46" s="1668"/>
      <c r="G46" s="1668"/>
      <c r="H46" s="1668"/>
      <c r="I46" s="1681"/>
      <c r="J46" s="1668"/>
      <c r="K46" s="1748"/>
      <c r="L46" s="1697"/>
      <c r="M46" s="1697"/>
      <c r="N46" s="1668"/>
      <c r="O46" s="1669"/>
      <c r="P46" s="1668"/>
      <c r="Q46" s="1668"/>
      <c r="R46" s="1668"/>
      <c r="S46" s="1668"/>
      <c r="T46" s="1668"/>
      <c r="U46" s="1668"/>
    </row>
    <row r="47" spans="1:21">
      <c r="A47" s="1714" t="s">
        <v>1982</v>
      </c>
      <c r="B47" s="1715"/>
      <c r="C47" s="1703"/>
      <c r="D47" s="1668"/>
      <c r="E47" s="1668"/>
      <c r="F47" s="1668"/>
      <c r="G47" s="1668"/>
      <c r="H47" s="1668"/>
      <c r="I47" s="1669"/>
      <c r="J47" s="1668"/>
      <c r="K47" s="1748"/>
      <c r="L47" s="1697"/>
      <c r="M47" s="1697"/>
      <c r="N47" s="1668"/>
      <c r="O47" s="1669"/>
      <c r="P47" s="1668"/>
      <c r="Q47" s="1668"/>
      <c r="R47" s="1668"/>
      <c r="S47" s="1668"/>
      <c r="T47" s="1668"/>
      <c r="U47" s="1668"/>
    </row>
    <row r="48" spans="1:21" ht="28.5">
      <c r="A48" s="1673" t="s">
        <v>1983</v>
      </c>
      <c r="B48" s="1660" t="s">
        <v>1984</v>
      </c>
      <c r="C48" s="1660" t="s">
        <v>1985</v>
      </c>
      <c r="D48" s="1660" t="s">
        <v>1986</v>
      </c>
      <c r="E48" s="1660" t="s">
        <v>1987</v>
      </c>
      <c r="F48" s="1660" t="s">
        <v>1988</v>
      </c>
      <c r="G48" s="1660" t="s">
        <v>1989</v>
      </c>
      <c r="H48" s="1660" t="s">
        <v>1990</v>
      </c>
      <c r="I48" s="1660" t="s">
        <v>1991</v>
      </c>
      <c r="J48" s="1746" t="s">
        <v>1992</v>
      </c>
      <c r="K48" s="1740" t="s">
        <v>1993</v>
      </c>
      <c r="L48" s="1740" t="s">
        <v>1994</v>
      </c>
      <c r="M48" s="1740" t="s">
        <v>1995</v>
      </c>
      <c r="N48" s="1660" t="s">
        <v>1996</v>
      </c>
      <c r="O48" s="1660" t="s">
        <v>1997</v>
      </c>
      <c r="P48" s="1660" t="s">
        <v>1998</v>
      </c>
      <c r="Q48" s="1673" t="s">
        <v>1999</v>
      </c>
      <c r="R48" s="1673" t="s">
        <v>2000</v>
      </c>
      <c r="S48" s="1668"/>
      <c r="T48" s="1668"/>
      <c r="U48" s="1668"/>
    </row>
    <row r="49" spans="1:21">
      <c r="A49" s="1670"/>
      <c r="B49" s="1704"/>
      <c r="C49" s="1704"/>
      <c r="D49" s="1704"/>
      <c r="E49" s="1704"/>
      <c r="F49" s="1704"/>
      <c r="G49" s="1704"/>
      <c r="H49" s="1704"/>
      <c r="I49" s="1704"/>
      <c r="J49" s="1813"/>
      <c r="K49" s="1814"/>
      <c r="L49" s="1814"/>
      <c r="M49" s="1704"/>
      <c r="N49" s="1704"/>
      <c r="O49" s="1704"/>
      <c r="P49" s="1704"/>
      <c r="Q49" s="1704"/>
      <c r="R49" s="1704"/>
      <c r="S49" s="1668"/>
      <c r="T49" s="1668"/>
      <c r="U49" s="1668"/>
    </row>
    <row r="50" spans="1:21">
      <c r="A50" s="1670"/>
      <c r="B50" s="1670"/>
      <c r="C50" s="1704"/>
      <c r="D50" s="1704"/>
      <c r="E50" s="1704"/>
      <c r="F50" s="1704"/>
      <c r="G50" s="1704"/>
      <c r="H50" s="1704"/>
      <c r="I50" s="1704"/>
      <c r="J50" s="1813"/>
      <c r="K50" s="1814"/>
      <c r="L50" s="1814"/>
      <c r="M50" s="1704"/>
      <c r="N50" s="1704"/>
      <c r="O50" s="1704"/>
      <c r="P50" s="1704"/>
      <c r="Q50" s="1704"/>
      <c r="R50" s="1704"/>
      <c r="S50" s="1668"/>
      <c r="T50" s="1668"/>
      <c r="U50" s="1668"/>
    </row>
    <row r="51" spans="1:21">
      <c r="A51" s="1670"/>
      <c r="B51" s="1670"/>
      <c r="C51" s="1704"/>
      <c r="D51" s="1704"/>
      <c r="E51" s="1704"/>
      <c r="F51" s="1704"/>
      <c r="G51" s="1704"/>
      <c r="H51" s="1704"/>
      <c r="I51" s="1704"/>
      <c r="J51" s="1813"/>
      <c r="K51" s="1814"/>
      <c r="L51" s="1814"/>
      <c r="M51" s="1704"/>
      <c r="N51" s="1704"/>
      <c r="O51" s="1704"/>
      <c r="P51" s="1704"/>
      <c r="Q51" s="1704"/>
      <c r="R51" s="1704"/>
      <c r="S51" s="1668"/>
      <c r="T51" s="1668"/>
      <c r="U51" s="1668"/>
    </row>
    <row r="52" spans="1:21">
      <c r="A52" s="1670"/>
      <c r="B52" s="1670"/>
      <c r="C52" s="1704"/>
      <c r="D52" s="1704"/>
      <c r="E52" s="1704"/>
      <c r="F52" s="1704"/>
      <c r="G52" s="1704"/>
      <c r="H52" s="1704"/>
      <c r="I52" s="1704"/>
      <c r="J52" s="1813"/>
      <c r="K52" s="1814"/>
      <c r="L52" s="1814"/>
      <c r="M52" s="1704"/>
      <c r="N52" s="1704"/>
      <c r="O52" s="1704"/>
      <c r="P52" s="1704"/>
      <c r="Q52" s="1704"/>
      <c r="R52" s="1704"/>
      <c r="S52" s="1668"/>
      <c r="T52" s="1668"/>
      <c r="U52" s="1668"/>
    </row>
    <row r="53" spans="1:21">
      <c r="A53" s="1670"/>
      <c r="B53" s="1670"/>
      <c r="C53" s="1704"/>
      <c r="D53" s="1704"/>
      <c r="E53" s="1704"/>
      <c r="F53" s="1704"/>
      <c r="G53" s="1704"/>
      <c r="H53" s="1704"/>
      <c r="I53" s="1704"/>
      <c r="J53" s="1813"/>
      <c r="K53" s="1814"/>
      <c r="L53" s="1814"/>
      <c r="M53" s="1704"/>
      <c r="N53" s="1704"/>
      <c r="O53" s="1704"/>
      <c r="P53" s="1704"/>
      <c r="Q53" s="1704"/>
      <c r="R53" s="1704"/>
      <c r="S53" s="1668"/>
      <c r="T53" s="1668"/>
      <c r="U53" s="1668"/>
    </row>
    <row r="54" spans="1:21">
      <c r="A54" s="1670"/>
      <c r="B54" s="1670"/>
      <c r="C54" s="1670"/>
      <c r="D54" s="1670"/>
      <c r="E54" s="1670"/>
      <c r="F54" s="1704"/>
      <c r="G54" s="1670"/>
      <c r="H54" s="1670"/>
      <c r="I54" s="1670"/>
      <c r="J54" s="1815"/>
      <c r="K54" s="1814"/>
      <c r="L54" s="1814"/>
      <c r="M54" s="1814"/>
      <c r="N54" s="1670"/>
      <c r="O54" s="1670"/>
      <c r="P54" s="1670"/>
      <c r="Q54" s="1670"/>
      <c r="R54" s="1670"/>
      <c r="S54" s="1668"/>
      <c r="T54" s="1668"/>
      <c r="U54" s="1668"/>
    </row>
    <row r="55" spans="1:21">
      <c r="A55" s="1670"/>
      <c r="B55" s="1670"/>
      <c r="C55" s="1670"/>
      <c r="D55" s="1670"/>
      <c r="E55" s="1670"/>
      <c r="F55" s="1704"/>
      <c r="G55" s="1670"/>
      <c r="H55" s="1670"/>
      <c r="I55" s="1670"/>
      <c r="J55" s="1815"/>
      <c r="K55" s="1814"/>
      <c r="L55" s="1814"/>
      <c r="M55" s="1814"/>
      <c r="N55" s="1670"/>
      <c r="O55" s="1670"/>
      <c r="P55" s="1670"/>
      <c r="Q55" s="1670"/>
      <c r="R55" s="1670"/>
      <c r="S55" s="1668"/>
      <c r="T55" s="1668"/>
      <c r="U55" s="1668"/>
    </row>
    <row r="56" spans="1:21">
      <c r="A56" s="1670"/>
      <c r="B56" s="1670"/>
      <c r="C56" s="1670"/>
      <c r="D56" s="1670"/>
      <c r="E56" s="1670"/>
      <c r="F56" s="1704"/>
      <c r="G56" s="1670"/>
      <c r="H56" s="1670"/>
      <c r="I56" s="1670"/>
      <c r="J56" s="1815"/>
      <c r="K56" s="1814"/>
      <c r="L56" s="1814"/>
      <c r="M56" s="1814"/>
      <c r="N56" s="1670"/>
      <c r="O56" s="1670"/>
      <c r="P56" s="1670"/>
      <c r="Q56" s="1670"/>
      <c r="R56" s="1670"/>
      <c r="S56" s="1668"/>
      <c r="T56" s="1668"/>
      <c r="U56" s="1668"/>
    </row>
    <row r="57" spans="1:21">
      <c r="A57" s="1670"/>
      <c r="B57" s="1670"/>
      <c r="C57" s="1670"/>
      <c r="D57" s="1670"/>
      <c r="E57" s="1670"/>
      <c r="F57" s="1704"/>
      <c r="G57" s="1670"/>
      <c r="H57" s="1670"/>
      <c r="I57" s="1670"/>
      <c r="J57" s="1815"/>
      <c r="K57" s="1814"/>
      <c r="L57" s="1814"/>
      <c r="M57" s="1814"/>
      <c r="N57" s="1670"/>
      <c r="O57" s="1670"/>
      <c r="P57" s="1670"/>
      <c r="Q57" s="1670"/>
      <c r="R57" s="1670"/>
      <c r="S57" s="1668"/>
      <c r="T57" s="1668"/>
      <c r="U57" s="1668"/>
    </row>
    <row r="58" spans="1:21">
      <c r="A58" s="1670"/>
      <c r="B58" s="1670"/>
      <c r="C58" s="1670"/>
      <c r="D58" s="1670"/>
      <c r="E58" s="1670"/>
      <c r="F58" s="1704"/>
      <c r="G58" s="1670"/>
      <c r="H58" s="1670"/>
      <c r="I58" s="1670"/>
      <c r="J58" s="1815"/>
      <c r="K58" s="1814"/>
      <c r="L58" s="1814"/>
      <c r="M58" s="1814"/>
      <c r="N58" s="1670"/>
      <c r="O58" s="1670"/>
      <c r="P58" s="1670"/>
      <c r="Q58" s="1670"/>
      <c r="R58" s="1670"/>
      <c r="S58" s="1668"/>
      <c r="T58" s="1668"/>
      <c r="U58" s="166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9"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80"/>
      <c r="E2" s="994"/>
      <c r="F2" s="42"/>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1180"/>
      <c r="AO2" s="1180"/>
      <c r="AP2" s="1180"/>
      <c r="AQ2" s="1180"/>
      <c r="AR2" s="1180"/>
      <c r="AS2" s="1180"/>
      <c r="AT2" s="1180"/>
      <c r="AU2" s="1180"/>
      <c r="AV2" s="1180"/>
      <c r="AW2" s="1180"/>
      <c r="AX2" s="1180"/>
      <c r="AY2" s="20" t="s">
        <v>166</v>
      </c>
      <c r="AZ2" s="2299" t="s">
        <v>2308</v>
      </c>
      <c r="BA2" s="2300" t="s">
        <v>2307</v>
      </c>
      <c r="BB2" s="1180"/>
      <c r="BC2" s="1180"/>
      <c r="BD2" s="1180"/>
      <c r="BE2" s="1180"/>
      <c r="BF2" s="1180"/>
      <c r="BG2" s="1180"/>
      <c r="BH2" s="1180"/>
      <c r="BI2" s="1180"/>
      <c r="BJ2" s="1180"/>
      <c r="BK2" s="1180"/>
      <c r="BL2" s="1180"/>
      <c r="BM2" s="1180"/>
      <c r="BN2" s="1180"/>
      <c r="BO2" s="1180"/>
      <c r="BP2" s="1180"/>
      <c r="BQ2" s="1180"/>
      <c r="BR2" s="1180"/>
      <c r="BS2" s="1180"/>
      <c r="BT2" s="1180"/>
    </row>
    <row r="3" spans="1:72" s="18" customFormat="1" ht="12.75">
      <c r="A3" s="21">
        <f>'1单元-康正'!G7+'1单元-康正'!G8+'1单元-康正'!G9</f>
        <v>370783.53</v>
      </c>
      <c r="B3" s="22">
        <f>IF(C3="否",G5-AT5,G5)</f>
        <v>556650.11</v>
      </c>
      <c r="C3" s="23" t="s">
        <v>3015</v>
      </c>
      <c r="D3" s="1180"/>
      <c r="E3" s="1180"/>
      <c r="F3" s="1180"/>
      <c r="G3" s="1180"/>
      <c r="H3" s="1180"/>
      <c r="I3" s="1180"/>
      <c r="J3" s="1180"/>
      <c r="K3" s="1180"/>
      <c r="L3" s="1180"/>
      <c r="M3" s="1180"/>
      <c r="N3" s="1180"/>
      <c r="O3" s="1180"/>
      <c r="P3" s="1180"/>
      <c r="Q3" s="1180"/>
      <c r="R3" s="1180"/>
      <c r="S3" s="1180"/>
      <c r="T3" s="1180"/>
      <c r="U3" s="1180"/>
      <c r="V3" s="1180"/>
      <c r="W3" s="1180"/>
      <c r="X3" s="1180"/>
      <c r="Y3" s="1180"/>
      <c r="Z3" s="1180"/>
      <c r="AA3" s="1180"/>
      <c r="AB3" s="1180"/>
      <c r="AC3" s="1180"/>
      <c r="AD3" s="1180"/>
      <c r="AE3" s="1180"/>
      <c r="AF3" s="1180"/>
      <c r="AG3" s="1180"/>
      <c r="AH3" s="1180"/>
      <c r="AI3" s="1180"/>
      <c r="AJ3" s="1180"/>
      <c r="AK3" s="1180"/>
      <c r="AL3" s="1180"/>
      <c r="AM3" s="1180"/>
      <c r="AN3" s="1180"/>
      <c r="AO3" s="1180"/>
      <c r="AP3" s="1180"/>
      <c r="AQ3" s="1180"/>
      <c r="AR3" s="1180"/>
      <c r="AS3" s="1180"/>
      <c r="AT3" s="1180"/>
      <c r="AU3" s="1180"/>
      <c r="AV3" s="1180"/>
      <c r="AW3" s="1180"/>
      <c r="AX3" s="1180"/>
      <c r="AY3" s="24"/>
      <c r="AZ3" s="12"/>
      <c r="BA3" s="2301"/>
      <c r="BB3" s="1180"/>
      <c r="BC3" s="1180"/>
      <c r="BD3" s="1180"/>
      <c r="BE3" s="1180"/>
      <c r="BF3" s="1180"/>
      <c r="BG3" s="1180"/>
      <c r="BH3" s="1180"/>
      <c r="BI3" s="1180"/>
      <c r="BJ3" s="1180"/>
      <c r="BK3" s="1180"/>
      <c r="BL3" s="1180"/>
      <c r="BM3" s="1180"/>
      <c r="BN3" s="1180"/>
      <c r="BO3" s="1180"/>
      <c r="BP3" s="1180"/>
      <c r="BQ3" s="1180"/>
      <c r="BR3" s="1180"/>
      <c r="BS3" s="1180"/>
      <c r="BT3" s="1180"/>
    </row>
    <row r="4" spans="1:72" s="25" customFormat="1" ht="13.5" thickBot="1">
      <c r="A4" s="1181"/>
      <c r="B4" s="1182"/>
      <c r="C4" s="1183"/>
      <c r="D4" s="1180"/>
      <c r="E4" s="1180"/>
      <c r="F4" s="1180"/>
      <c r="G4" s="1180"/>
      <c r="H4" s="1180"/>
      <c r="I4" s="1180"/>
      <c r="J4" s="1180"/>
      <c r="K4" s="1180"/>
      <c r="L4" s="1180"/>
      <c r="M4" s="1180"/>
      <c r="N4" s="1180"/>
      <c r="O4" s="1180"/>
      <c r="P4" s="1180"/>
      <c r="Q4" s="1180"/>
      <c r="R4" s="1180"/>
      <c r="S4" s="1180"/>
      <c r="T4" s="1180"/>
      <c r="U4" s="1180"/>
      <c r="V4" s="1180"/>
      <c r="W4" s="1180"/>
      <c r="X4" s="1180"/>
      <c r="Y4" s="1180"/>
      <c r="Z4" s="1180"/>
      <c r="AA4" s="1180"/>
      <c r="AB4" s="1180"/>
      <c r="AC4" s="1180"/>
      <c r="AD4" s="1180"/>
      <c r="AE4" s="1180"/>
      <c r="AF4" s="1180"/>
      <c r="AG4" s="1180"/>
      <c r="AH4" s="1180"/>
      <c r="AI4" s="1180"/>
      <c r="AJ4" s="1180"/>
      <c r="AK4" s="1180"/>
      <c r="AL4" s="1180"/>
      <c r="AM4" s="1180"/>
      <c r="AN4" s="1180"/>
      <c r="AO4" s="1180"/>
      <c r="AP4" s="1180"/>
      <c r="AQ4" s="1180"/>
      <c r="AR4" s="1180"/>
      <c r="AS4" s="1180"/>
      <c r="AT4" s="1180"/>
      <c r="AU4" s="1180"/>
      <c r="AV4" s="1180"/>
      <c r="AW4" s="1180"/>
      <c r="AX4" s="1180"/>
      <c r="AY4" s="1180"/>
      <c r="AZ4" s="1180"/>
      <c r="BA4" s="1184"/>
      <c r="BB4" s="1180"/>
      <c r="BC4" s="1180"/>
      <c r="BD4" s="1180"/>
      <c r="BE4" s="1180"/>
      <c r="BF4" s="1180"/>
      <c r="BG4" s="1180"/>
      <c r="BH4" s="1180"/>
      <c r="BI4" s="1180"/>
      <c r="BJ4" s="1180"/>
      <c r="BK4" s="1180"/>
      <c r="BL4" s="1180"/>
      <c r="BM4" s="1180"/>
      <c r="BN4" s="1180"/>
      <c r="BO4" s="1180"/>
      <c r="BP4" s="1180"/>
      <c r="BQ4" s="1180"/>
      <c r="BR4" s="1180"/>
      <c r="BS4" s="1180"/>
      <c r="BT4" s="1180"/>
    </row>
    <row r="5" spans="1:72" s="18" customFormat="1" ht="12.75">
      <c r="A5" s="26" t="s">
        <v>167</v>
      </c>
      <c r="B5" s="980"/>
      <c r="C5" s="980"/>
      <c r="D5" s="987"/>
      <c r="E5" s="27" t="s">
        <v>1</v>
      </c>
      <c r="F5" s="27">
        <f>SUM(F13:F572)</f>
        <v>0</v>
      </c>
      <c r="G5" s="27">
        <f>SUM(G13:G572)</f>
        <v>556650.11</v>
      </c>
      <c r="H5" s="27">
        <f t="shared" ref="H5:AT5" si="0">SUM(H13:H641)</f>
        <v>556650.11</v>
      </c>
      <c r="I5" s="27">
        <f t="shared" si="0"/>
        <v>358392.93</v>
      </c>
      <c r="J5" s="27">
        <f t="shared" si="0"/>
        <v>0</v>
      </c>
      <c r="K5" s="27">
        <f t="shared" si="0"/>
        <v>198257.18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9"/>
      <c r="AV5" s="26" t="s">
        <v>167</v>
      </c>
      <c r="AW5" s="980"/>
      <c r="AX5" s="980"/>
      <c r="AY5" s="28" t="s">
        <v>3</v>
      </c>
      <c r="AZ5" s="29">
        <f t="shared" ref="AZ5:BT5" si="1">SUM(AZ13:AZ641)</f>
        <v>556650.11</v>
      </c>
      <c r="BA5" s="29">
        <f t="shared" si="1"/>
        <v>556650.11</v>
      </c>
      <c r="BB5" s="29">
        <f t="shared" si="1"/>
        <v>358392.93</v>
      </c>
      <c r="BC5" s="29">
        <f t="shared" si="1"/>
        <v>198257.18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370783.53</v>
      </c>
      <c r="F6" s="27" t="s">
        <v>1</v>
      </c>
      <c r="G6" s="27" t="s">
        <v>2</v>
      </c>
      <c r="H6" s="33">
        <f>SUMIF(I$12:AB$12,"总值",I6:AB6)</f>
        <v>370783.53</v>
      </c>
      <c r="I6" s="27">
        <f t="shared" ref="I6:AB6" si="2">ROUND($A$3*I5/$B$3,2)</f>
        <v>238724.82</v>
      </c>
      <c r="J6" s="27">
        <f t="shared" si="2"/>
        <v>0</v>
      </c>
      <c r="K6" s="27">
        <f t="shared" si="2"/>
        <v>132058.71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370783.53</v>
      </c>
      <c r="AZ6" s="27" t="s">
        <v>3</v>
      </c>
      <c r="BA6" s="27">
        <f>ROUND($AY$6*BA5/$AZ$5,2)</f>
        <v>370783.53</v>
      </c>
      <c r="BB6" s="27">
        <f>ROUND($AY$6*BB5/$AZ$5,2)</f>
        <v>238724.82</v>
      </c>
      <c r="BC6" s="27">
        <f t="shared" ref="BC6:BH6" si="4">ROUND($AY$6*BC5/$AZ$5,2)</f>
        <v>132058.71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7"/>
      <c r="AU7" s="40" t="s">
        <v>176</v>
      </c>
      <c r="AV7" s="41" t="s">
        <v>177</v>
      </c>
      <c r="AW7" s="42" t="s">
        <v>178</v>
      </c>
      <c r="AX7" s="41" t="s">
        <v>179</v>
      </c>
      <c r="AY7" s="980"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2"/>
      <c r="K8" s="992"/>
      <c r="L8" s="992"/>
      <c r="M8" s="992"/>
      <c r="N8" s="992"/>
      <c r="O8" s="992"/>
      <c r="P8" s="992"/>
      <c r="Q8" s="992"/>
      <c r="R8" s="992"/>
      <c r="S8" s="992"/>
      <c r="T8" s="992"/>
      <c r="U8" s="992"/>
      <c r="V8" s="49"/>
      <c r="W8" s="992"/>
      <c r="X8" s="992"/>
      <c r="Y8" s="992"/>
      <c r="Z8" s="992"/>
      <c r="AA8" s="49"/>
      <c r="AB8" s="50"/>
      <c r="AC8" s="51" t="s">
        <v>183</v>
      </c>
      <c r="AD8" s="52"/>
      <c r="AE8" s="43"/>
      <c r="AF8" s="992"/>
      <c r="AG8" s="992"/>
      <c r="AH8" s="992"/>
      <c r="AI8" s="992"/>
      <c r="AJ8" s="992"/>
      <c r="AK8" s="992"/>
      <c r="AL8" s="992"/>
      <c r="AM8" s="992"/>
      <c r="AN8" s="992"/>
      <c r="AO8" s="992"/>
      <c r="AP8" s="992"/>
      <c r="AQ8" s="992"/>
      <c r="AR8" s="992"/>
      <c r="AS8" s="2257"/>
      <c r="AT8" s="2288" t="s">
        <v>833</v>
      </c>
      <c r="AU8" s="45" t="s">
        <v>184</v>
      </c>
      <c r="AV8" s="55"/>
      <c r="AW8" s="994"/>
      <c r="AX8" s="55"/>
      <c r="AY8" s="42" t="s">
        <v>185</v>
      </c>
      <c r="AZ8" s="991" t="s">
        <v>186</v>
      </c>
      <c r="BA8" s="992"/>
      <c r="BB8" s="992"/>
      <c r="BC8" s="992"/>
      <c r="BD8" s="992"/>
      <c r="BE8" s="992"/>
      <c r="BF8" s="992"/>
      <c r="BG8" s="992"/>
      <c r="BH8" s="992"/>
      <c r="BI8" s="992"/>
      <c r="BJ8" s="992"/>
      <c r="BK8" s="992"/>
      <c r="BL8" s="992"/>
      <c r="BM8" s="992"/>
      <c r="BN8" s="992"/>
      <c r="BO8" s="992"/>
      <c r="BP8" s="992"/>
      <c r="BQ8" s="992"/>
      <c r="BR8" s="992"/>
      <c r="BS8" s="992"/>
      <c r="BT8" s="56"/>
    </row>
    <row r="9" spans="1:72" s="57" customFormat="1" ht="12.75">
      <c r="A9" s="45"/>
      <c r="B9" s="45"/>
      <c r="C9" s="45"/>
      <c r="D9" s="45"/>
      <c r="E9" s="45"/>
      <c r="F9" s="45"/>
      <c r="G9" s="55"/>
      <c r="H9" s="58" t="s">
        <v>187</v>
      </c>
      <c r="I9" s="2945" t="s">
        <v>3017</v>
      </c>
      <c r="J9" s="51"/>
      <c r="K9" s="2945" t="s">
        <v>3017</v>
      </c>
      <c r="L9" s="51"/>
      <c r="M9" s="2945"/>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74" t="s">
        <v>190</v>
      </c>
      <c r="AQ9" s="1176"/>
      <c r="AR9" s="1174" t="s">
        <v>191</v>
      </c>
      <c r="AS9" s="2289"/>
      <c r="AT9" s="45"/>
      <c r="AU9" s="45" t="s">
        <v>193</v>
      </c>
      <c r="AV9" s="55"/>
      <c r="AW9" s="994"/>
      <c r="AX9" s="55"/>
      <c r="AY9" s="62"/>
      <c r="AZ9" s="62" t="s">
        <v>194</v>
      </c>
      <c r="BA9" s="63" t="s">
        <v>195</v>
      </c>
      <c r="BB9" s="64"/>
      <c r="BC9" s="986"/>
      <c r="BD9" s="986"/>
      <c r="BE9" s="986"/>
      <c r="BF9" s="986"/>
      <c r="BG9" s="986"/>
      <c r="BH9" s="986"/>
      <c r="BI9" s="986"/>
      <c r="BJ9" s="986"/>
      <c r="BK9" s="65"/>
      <c r="BL9" s="26" t="s">
        <v>196</v>
      </c>
      <c r="BM9" s="992"/>
      <c r="BN9" s="48"/>
      <c r="BO9" s="992"/>
      <c r="BP9" s="992"/>
      <c r="BQ9" s="992"/>
      <c r="BR9" s="992"/>
      <c r="BS9" s="992"/>
      <c r="BT9" s="56"/>
    </row>
    <row r="10" spans="1:72" s="57" customFormat="1" ht="12.75">
      <c r="A10" s="45"/>
      <c r="B10" s="45"/>
      <c r="C10" s="45"/>
      <c r="D10" s="45"/>
      <c r="E10" s="45"/>
      <c r="F10" s="45"/>
      <c r="G10" s="55"/>
      <c r="H10" s="62"/>
      <c r="I10" s="2945" t="s">
        <v>3014</v>
      </c>
      <c r="J10" s="51"/>
      <c r="K10" s="2947" t="s">
        <v>1655</v>
      </c>
      <c r="L10" s="51"/>
      <c r="M10" s="2947"/>
      <c r="N10" s="51"/>
      <c r="O10" s="66"/>
      <c r="P10" s="51"/>
      <c r="Q10" s="66"/>
      <c r="R10" s="51"/>
      <c r="S10" s="66"/>
      <c r="T10" s="51"/>
      <c r="U10" s="66"/>
      <c r="V10" s="51"/>
      <c r="W10" s="66"/>
      <c r="X10" s="51"/>
      <c r="Y10" s="66"/>
      <c r="Z10" s="51"/>
      <c r="AA10" s="66"/>
      <c r="AB10" s="51"/>
      <c r="AC10" s="55"/>
      <c r="AD10" s="2274" t="s">
        <v>2292</v>
      </c>
      <c r="AE10" s="2296"/>
      <c r="AF10" s="2274" t="s">
        <v>2292</v>
      </c>
      <c r="AG10" s="2296"/>
      <c r="AH10" s="2274" t="s">
        <v>2293</v>
      </c>
      <c r="AI10" s="2296"/>
      <c r="AJ10" s="26" t="s">
        <v>2306</v>
      </c>
      <c r="AK10" s="2293"/>
      <c r="AL10" s="2274" t="s">
        <v>2294</v>
      </c>
      <c r="AM10" s="2275"/>
      <c r="AN10" s="26" t="s">
        <v>197</v>
      </c>
      <c r="AO10" s="61"/>
      <c r="AP10" s="1174" t="s">
        <v>198</v>
      </c>
      <c r="AQ10" s="1176"/>
      <c r="AR10" s="1174" t="s">
        <v>198</v>
      </c>
      <c r="AS10" s="1176"/>
      <c r="AT10" s="45"/>
      <c r="AU10" s="45"/>
      <c r="AV10" s="55"/>
      <c r="AW10" s="994"/>
      <c r="AX10" s="55"/>
      <c r="AY10" s="62"/>
      <c r="AZ10" s="62"/>
      <c r="BA10" s="67" t="s">
        <v>192</v>
      </c>
      <c r="BB10" s="68" t="str">
        <f>I9</f>
        <v>地上</v>
      </c>
      <c r="BC10" s="69" t="str">
        <f>K9</f>
        <v>地上</v>
      </c>
      <c r="BD10" s="69">
        <f>M9</f>
        <v>0</v>
      </c>
      <c r="BE10" s="69">
        <f>O9</f>
        <v>0</v>
      </c>
      <c r="BF10" s="69">
        <f>Q9</f>
        <v>0</v>
      </c>
      <c r="BG10" s="69">
        <f>S9</f>
        <v>0</v>
      </c>
      <c r="BH10" s="69">
        <f>U9</f>
        <v>0</v>
      </c>
      <c r="BI10" s="69">
        <f>W9</f>
        <v>0</v>
      </c>
      <c r="BJ10" s="69">
        <f>Y9</f>
        <v>0</v>
      </c>
      <c r="BK10" s="69">
        <f>AA9</f>
        <v>0</v>
      </c>
      <c r="BL10" s="54" t="s">
        <v>192</v>
      </c>
      <c r="BM10" s="991" t="str">
        <f>AD9</f>
        <v>地上</v>
      </c>
      <c r="BN10" s="69" t="str">
        <f>AF9</f>
        <v>地下</v>
      </c>
      <c r="BO10" s="991" t="str">
        <f>AH9</f>
        <v>地上</v>
      </c>
      <c r="BP10" s="69" t="str">
        <f>AJ9</f>
        <v>地下</v>
      </c>
      <c r="BQ10" s="991" t="str">
        <f>AL9</f>
        <v>地上</v>
      </c>
      <c r="BR10" s="69" t="str">
        <f>AN9</f>
        <v>地下</v>
      </c>
      <c r="BS10" s="991" t="str">
        <f>AP9</f>
        <v>地上</v>
      </c>
      <c r="BT10" s="989" t="str">
        <f>AR9</f>
        <v>地下</v>
      </c>
    </row>
    <row r="11" spans="1:72" s="57" customFormat="1" ht="12.75">
      <c r="A11" s="45"/>
      <c r="B11" s="45"/>
      <c r="C11" s="45"/>
      <c r="D11" s="45"/>
      <c r="E11" s="45"/>
      <c r="F11" s="45"/>
      <c r="G11" s="55"/>
      <c r="H11" s="67"/>
      <c r="I11" s="2946"/>
      <c r="J11" s="71"/>
      <c r="K11" s="2946"/>
      <c r="L11" s="71"/>
      <c r="M11" s="70"/>
      <c r="N11" s="71"/>
      <c r="O11" s="70"/>
      <c r="P11" s="71"/>
      <c r="Q11" s="70"/>
      <c r="R11" s="71"/>
      <c r="S11" s="70"/>
      <c r="T11" s="71"/>
      <c r="U11" s="70"/>
      <c r="V11" s="71"/>
      <c r="W11" s="70"/>
      <c r="X11" s="71"/>
      <c r="Y11" s="70"/>
      <c r="Z11" s="71"/>
      <c r="AA11" s="70"/>
      <c r="AB11" s="71"/>
      <c r="AC11" s="55"/>
      <c r="AD11" s="2294" t="s">
        <v>2305</v>
      </c>
      <c r="AE11" s="993"/>
      <c r="AF11" s="2294" t="s">
        <v>2305</v>
      </c>
      <c r="AG11" s="993"/>
      <c r="AH11" s="2294" t="s">
        <v>2304</v>
      </c>
      <c r="AI11" s="2295"/>
      <c r="AJ11" s="2294" t="s">
        <v>2304</v>
      </c>
      <c r="AK11" s="2293"/>
      <c r="AL11" s="991"/>
      <c r="AM11" s="993"/>
      <c r="AN11" s="991"/>
      <c r="AO11" s="993"/>
      <c r="AP11" s="1175"/>
      <c r="AQ11" s="1177"/>
      <c r="AR11" s="1175"/>
      <c r="AS11" s="1177"/>
      <c r="AT11" s="994"/>
      <c r="AU11" s="45"/>
      <c r="AV11" s="55"/>
      <c r="AW11" s="994"/>
      <c r="AX11" s="55"/>
      <c r="AY11" s="62"/>
      <c r="AZ11" s="62"/>
      <c r="BA11" s="62"/>
      <c r="BB11" s="50" t="str">
        <f>I10</f>
        <v>商业</v>
      </c>
      <c r="BC11" s="50" t="str">
        <f>K10</f>
        <v>办公</v>
      </c>
      <c r="BD11" s="50">
        <f>M10</f>
        <v>0</v>
      </c>
      <c r="BE11" s="50">
        <f>O10</f>
        <v>0</v>
      </c>
      <c r="BF11" s="50">
        <f>Q10</f>
        <v>0</v>
      </c>
      <c r="BG11" s="50">
        <f>S10</f>
        <v>0</v>
      </c>
      <c r="BH11" s="50">
        <f>U10</f>
        <v>0</v>
      </c>
      <c r="BI11" s="50">
        <f>W10</f>
        <v>0</v>
      </c>
      <c r="BJ11" s="50">
        <f>Y10</f>
        <v>0</v>
      </c>
      <c r="BK11" s="50">
        <f>AA10</f>
        <v>0</v>
      </c>
      <c r="BL11" s="55"/>
      <c r="BM11" s="991" t="str">
        <f>AD10</f>
        <v>公共配套设施</v>
      </c>
      <c r="BN11" s="991" t="str">
        <f>AF10</f>
        <v>公共配套设施</v>
      </c>
      <c r="BO11" s="53" t="str">
        <f>AH10</f>
        <v>物业管理用房</v>
      </c>
      <c r="BP11" s="53" t="str">
        <f>AJ10</f>
        <v>物业管理用房</v>
      </c>
      <c r="BQ11" s="53" t="str">
        <f>AL10</f>
        <v>设备及其他</v>
      </c>
      <c r="BR11" s="53" t="str">
        <f>AN10</f>
        <v>设备及其他</v>
      </c>
      <c r="BS11" s="54" t="str">
        <f>AP10</f>
        <v>未注明</v>
      </c>
      <c r="BT11" s="988" t="str">
        <f>AR10</f>
        <v>未注明</v>
      </c>
    </row>
    <row r="12" spans="1:72" s="18" customFormat="1" ht="12.75">
      <c r="A12" s="72"/>
      <c r="B12" s="72"/>
      <c r="C12" s="72"/>
      <c r="D12" s="72"/>
      <c r="E12" s="72"/>
      <c r="F12" s="72"/>
      <c r="G12" s="73"/>
      <c r="H12" s="74"/>
      <c r="I12" s="987"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79" t="s">
        <v>200</v>
      </c>
      <c r="W12" s="17" t="s">
        <v>199</v>
      </c>
      <c r="X12" s="17" t="s">
        <v>200</v>
      </c>
      <c r="Y12" s="17" t="s">
        <v>199</v>
      </c>
      <c r="Z12" s="17" t="s">
        <v>200</v>
      </c>
      <c r="AA12" s="17" t="s">
        <v>199</v>
      </c>
      <c r="AB12" s="17" t="s">
        <v>200</v>
      </c>
      <c r="AC12" s="75"/>
      <c r="AD12" s="987" t="s">
        <v>199</v>
      </c>
      <c r="AE12" s="17" t="s">
        <v>200</v>
      </c>
      <c r="AF12" s="17" t="s">
        <v>199</v>
      </c>
      <c r="AG12" s="17" t="s">
        <v>200</v>
      </c>
      <c r="AH12" s="17" t="s">
        <v>199</v>
      </c>
      <c r="AI12" s="17" t="s">
        <v>200</v>
      </c>
      <c r="AJ12" s="17" t="s">
        <v>199</v>
      </c>
      <c r="AK12" s="17" t="s">
        <v>200</v>
      </c>
      <c r="AL12" s="17" t="s">
        <v>199</v>
      </c>
      <c r="AM12" s="17" t="s">
        <v>200</v>
      </c>
      <c r="AN12" s="17" t="s">
        <v>199</v>
      </c>
      <c r="AO12" s="17" t="s">
        <v>200</v>
      </c>
      <c r="AP12" s="1173" t="s">
        <v>199</v>
      </c>
      <c r="AQ12" s="1173" t="s">
        <v>200</v>
      </c>
      <c r="AR12" s="1179" t="s">
        <v>199</v>
      </c>
      <c r="AS12" s="1178"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1" t="str">
        <f>AD11</f>
        <v>（住宅）</v>
      </c>
      <c r="BN12" s="991" t="str">
        <f>AF11</f>
        <v>（住宅）</v>
      </c>
      <c r="BO12" s="53" t="str">
        <f>AH11</f>
        <v>（住宅、计出让金）</v>
      </c>
      <c r="BP12" s="53" t="str">
        <f>AJ11</f>
        <v>（住宅、计出让金）</v>
      </c>
      <c r="BQ12" s="53">
        <f>AL11</f>
        <v>0</v>
      </c>
      <c r="BR12" s="53">
        <f>AN11</f>
        <v>0</v>
      </c>
      <c r="BS12" s="54">
        <f>AP11</f>
        <v>0</v>
      </c>
      <c r="BT12" s="988">
        <f>AR11</f>
        <v>0</v>
      </c>
    </row>
    <row r="13" spans="1:72" s="18" customFormat="1" ht="25.5">
      <c r="A13" s="2940"/>
      <c r="B13" s="2940" t="s">
        <v>3016</v>
      </c>
      <c r="C13" s="2940"/>
      <c r="D13" s="2941" t="s">
        <v>1656</v>
      </c>
      <c r="E13" s="27">
        <f t="shared" ref="E13:E20" si="6">IF($C$3="是",ROUND($A$3*G13/$B$3,2),ROUND($A$3*(G13-AT13)/$B$3,2))</f>
        <v>370783.53</v>
      </c>
      <c r="F13" s="81"/>
      <c r="G13" s="82">
        <f t="shared" ref="G13:G20" si="7">H13+AC13+AT13</f>
        <v>556650.11</v>
      </c>
      <c r="H13" s="33">
        <f t="shared" ref="H13:H20" si="8">SUMIF(I$12:AB$12,"总值",I13:AB13)</f>
        <v>556650.11</v>
      </c>
      <c r="I13" s="2944">
        <f>'1单元-康正'!D7+'1单元-康正'!D8</f>
        <v>358392.93</v>
      </c>
      <c r="J13" s="2944"/>
      <c r="K13" s="2944">
        <f>'1单元-康正'!D9</f>
        <v>198257.18</v>
      </c>
      <c r="L13" s="2944"/>
      <c r="M13" s="2944"/>
      <c r="N13" s="83"/>
      <c r="O13" s="83"/>
      <c r="P13" s="83"/>
      <c r="Q13" s="83"/>
      <c r="R13" s="83"/>
      <c r="S13" s="83"/>
      <c r="T13" s="83"/>
      <c r="U13" s="83"/>
      <c r="V13" s="83"/>
      <c r="W13" s="83"/>
      <c r="X13" s="83"/>
      <c r="Y13" s="83"/>
      <c r="Z13" s="83"/>
      <c r="AA13" s="83"/>
      <c r="AB13" s="83"/>
      <c r="AC13" s="27">
        <f t="shared" ref="AC13:AC20" si="9">SUMIF(AD$12:AS$12,"总值",AD13:AS13)</f>
        <v>0</v>
      </c>
      <c r="AD13" s="2948"/>
      <c r="AE13" s="2948"/>
      <c r="AF13" s="2948"/>
      <c r="AG13" s="2948"/>
      <c r="AH13" s="2948"/>
      <c r="AI13" s="2948"/>
      <c r="AJ13" s="2948"/>
      <c r="AK13" s="2948"/>
      <c r="AL13" s="2948"/>
      <c r="AM13" s="2948"/>
      <c r="AN13" s="2948"/>
      <c r="AO13" s="2948"/>
      <c r="AP13" s="2948"/>
      <c r="AQ13" s="2948"/>
      <c r="AR13" s="2948"/>
      <c r="AS13" s="2948"/>
      <c r="AT13" s="2949"/>
      <c r="AU13" s="2950"/>
      <c r="AV13" s="17">
        <f t="shared" ref="AV13:AX20" si="10">A13</f>
        <v>0</v>
      </c>
      <c r="AW13" s="17" t="str">
        <f t="shared" si="10"/>
        <v>规划实施要求表</v>
      </c>
      <c r="AX13" s="17">
        <f t="shared" si="10"/>
        <v>0</v>
      </c>
      <c r="AY13" s="987">
        <f t="shared" ref="AY13:AY20" si="11">ROUND($AY$6*AZ13/$AZ$5,2)</f>
        <v>370783.53</v>
      </c>
      <c r="AZ13" s="27">
        <f t="shared" ref="AZ13:AZ20" si="12">BA13+BL13</f>
        <v>556650.11</v>
      </c>
      <c r="BA13" s="27">
        <f t="shared" ref="BA13:BA20" si="13">SUM(BB13:BK13)</f>
        <v>556650.11</v>
      </c>
      <c r="BB13" s="27">
        <f t="shared" ref="BB13:BB20" si="14">IF($D13="是",I13-J13,0)</f>
        <v>358392.93</v>
      </c>
      <c r="BC13" s="27">
        <f t="shared" ref="BC13:BC20" si="15">IF($D13="是",K13-L13,0)</f>
        <v>198257.18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40"/>
      <c r="B14" s="2940"/>
      <c r="C14" s="2942"/>
      <c r="D14" s="2941"/>
      <c r="E14" s="27">
        <f t="shared" si="6"/>
        <v>0</v>
      </c>
      <c r="F14" s="81"/>
      <c r="G14" s="82">
        <f t="shared" si="7"/>
        <v>0</v>
      </c>
      <c r="H14" s="33">
        <f t="shared" si="8"/>
        <v>0</v>
      </c>
      <c r="I14" s="2944"/>
      <c r="J14" s="2944"/>
      <c r="K14" s="2944"/>
      <c r="L14" s="2944"/>
      <c r="M14" s="2944"/>
      <c r="N14" s="83"/>
      <c r="O14" s="83"/>
      <c r="P14" s="83"/>
      <c r="Q14" s="83"/>
      <c r="R14" s="83"/>
      <c r="S14" s="83"/>
      <c r="T14" s="83"/>
      <c r="U14" s="83"/>
      <c r="V14" s="83"/>
      <c r="W14" s="83"/>
      <c r="X14" s="83"/>
      <c r="Y14" s="83"/>
      <c r="Z14" s="83"/>
      <c r="AA14" s="83"/>
      <c r="AB14" s="83"/>
      <c r="AC14" s="27">
        <f t="shared" si="9"/>
        <v>0</v>
      </c>
      <c r="AD14" s="2948"/>
      <c r="AE14" s="2948"/>
      <c r="AF14" s="2948"/>
      <c r="AG14" s="2948"/>
      <c r="AH14" s="2948"/>
      <c r="AI14" s="2948"/>
      <c r="AJ14" s="2948"/>
      <c r="AK14" s="2948"/>
      <c r="AL14" s="2948"/>
      <c r="AM14" s="2948"/>
      <c r="AN14" s="2948"/>
      <c r="AO14" s="2948"/>
      <c r="AP14" s="2948"/>
      <c r="AQ14" s="2948"/>
      <c r="AR14" s="2948"/>
      <c r="AS14" s="2948"/>
      <c r="AT14" s="2949"/>
      <c r="AU14" s="2950"/>
      <c r="AV14" s="17">
        <f t="shared" si="10"/>
        <v>0</v>
      </c>
      <c r="AW14" s="17">
        <f t="shared" si="10"/>
        <v>0</v>
      </c>
      <c r="AX14" s="17">
        <f t="shared" si="10"/>
        <v>0</v>
      </c>
      <c r="AY14" s="98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40"/>
      <c r="B15" s="2940"/>
      <c r="C15" s="2942"/>
      <c r="D15" s="2941"/>
      <c r="E15" s="27">
        <f t="shared" si="6"/>
        <v>0</v>
      </c>
      <c r="F15" s="81"/>
      <c r="G15" s="82">
        <f t="shared" si="7"/>
        <v>0</v>
      </c>
      <c r="H15" s="33">
        <f t="shared" si="8"/>
        <v>0</v>
      </c>
      <c r="I15" s="2944"/>
      <c r="J15" s="2944"/>
      <c r="K15" s="2944"/>
      <c r="L15" s="2944"/>
      <c r="M15" s="2944"/>
      <c r="N15" s="83"/>
      <c r="O15" s="83"/>
      <c r="P15" s="83"/>
      <c r="Q15" s="83"/>
      <c r="R15" s="83"/>
      <c r="S15" s="83"/>
      <c r="T15" s="83"/>
      <c r="U15" s="83"/>
      <c r="V15" s="83"/>
      <c r="W15" s="83"/>
      <c r="X15" s="83"/>
      <c r="Y15" s="83"/>
      <c r="Z15" s="83"/>
      <c r="AA15" s="83"/>
      <c r="AB15" s="83"/>
      <c r="AC15" s="27">
        <f t="shared" si="9"/>
        <v>0</v>
      </c>
      <c r="AD15" s="2948"/>
      <c r="AE15" s="2948"/>
      <c r="AF15" s="2948"/>
      <c r="AG15" s="2948"/>
      <c r="AH15" s="2948"/>
      <c r="AI15" s="2948"/>
      <c r="AJ15" s="2948"/>
      <c r="AK15" s="2948"/>
      <c r="AL15" s="2948"/>
      <c r="AM15" s="2948"/>
      <c r="AN15" s="2948"/>
      <c r="AO15" s="2948"/>
      <c r="AP15" s="2948"/>
      <c r="AQ15" s="2948"/>
      <c r="AR15" s="2948"/>
      <c r="AS15" s="2948"/>
      <c r="AT15" s="2949"/>
      <c r="AU15" s="2950"/>
      <c r="AV15" s="17">
        <f t="shared" si="10"/>
        <v>0</v>
      </c>
      <c r="AW15" s="17">
        <f t="shared" si="10"/>
        <v>0</v>
      </c>
      <c r="AX15" s="17">
        <f t="shared" si="10"/>
        <v>0</v>
      </c>
      <c r="AY15" s="98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40"/>
      <c r="B16" s="2940"/>
      <c r="C16" s="2942"/>
      <c r="D16" s="2941"/>
      <c r="E16" s="27">
        <f t="shared" si="6"/>
        <v>0</v>
      </c>
      <c r="F16" s="81"/>
      <c r="G16" s="82">
        <f t="shared" si="7"/>
        <v>0</v>
      </c>
      <c r="H16" s="33">
        <f t="shared" si="8"/>
        <v>0</v>
      </c>
      <c r="I16" s="2944"/>
      <c r="J16" s="2944"/>
      <c r="K16" s="2944"/>
      <c r="L16" s="2944"/>
      <c r="M16" s="2944"/>
      <c r="N16" s="83"/>
      <c r="O16" s="83"/>
      <c r="P16" s="83"/>
      <c r="Q16" s="83"/>
      <c r="R16" s="83"/>
      <c r="S16" s="83"/>
      <c r="T16" s="83"/>
      <c r="U16" s="83"/>
      <c r="V16" s="83"/>
      <c r="W16" s="83"/>
      <c r="X16" s="83"/>
      <c r="Y16" s="83"/>
      <c r="Z16" s="83"/>
      <c r="AA16" s="83"/>
      <c r="AB16" s="83"/>
      <c r="AC16" s="27">
        <f t="shared" si="9"/>
        <v>0</v>
      </c>
      <c r="AD16" s="2948"/>
      <c r="AE16" s="2948"/>
      <c r="AF16" s="2948"/>
      <c r="AG16" s="2948"/>
      <c r="AH16" s="2948"/>
      <c r="AI16" s="2948"/>
      <c r="AJ16" s="2948"/>
      <c r="AK16" s="2948"/>
      <c r="AL16" s="2948"/>
      <c r="AM16" s="2948"/>
      <c r="AN16" s="2948"/>
      <c r="AO16" s="2948"/>
      <c r="AP16" s="2948"/>
      <c r="AQ16" s="2948"/>
      <c r="AR16" s="2948"/>
      <c r="AS16" s="2948"/>
      <c r="AT16" s="2949"/>
      <c r="AU16" s="2950"/>
      <c r="AV16" s="17">
        <f t="shared" si="10"/>
        <v>0</v>
      </c>
      <c r="AW16" s="17">
        <f t="shared" si="10"/>
        <v>0</v>
      </c>
      <c r="AX16" s="17">
        <f t="shared" si="10"/>
        <v>0</v>
      </c>
      <c r="AY16" s="98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40"/>
      <c r="B17" s="2940"/>
      <c r="C17" s="2942"/>
      <c r="D17" s="2941"/>
      <c r="E17" s="27">
        <f t="shared" si="6"/>
        <v>0</v>
      </c>
      <c r="F17" s="81"/>
      <c r="G17" s="82">
        <f t="shared" si="7"/>
        <v>0</v>
      </c>
      <c r="H17" s="33">
        <f t="shared" si="8"/>
        <v>0</v>
      </c>
      <c r="I17" s="2944"/>
      <c r="J17" s="2944"/>
      <c r="K17" s="2944"/>
      <c r="L17" s="2944"/>
      <c r="M17" s="2944"/>
      <c r="N17" s="83"/>
      <c r="O17" s="83"/>
      <c r="P17" s="83"/>
      <c r="Q17" s="83"/>
      <c r="R17" s="83"/>
      <c r="S17" s="83"/>
      <c r="T17" s="83"/>
      <c r="U17" s="83"/>
      <c r="V17" s="83"/>
      <c r="W17" s="83"/>
      <c r="X17" s="83"/>
      <c r="Y17" s="83"/>
      <c r="Z17" s="83"/>
      <c r="AA17" s="83"/>
      <c r="AB17" s="83"/>
      <c r="AC17" s="27">
        <f t="shared" si="9"/>
        <v>0</v>
      </c>
      <c r="AD17" s="2948"/>
      <c r="AE17" s="2948"/>
      <c r="AF17" s="2948"/>
      <c r="AG17" s="2948"/>
      <c r="AH17" s="2948"/>
      <c r="AI17" s="2948"/>
      <c r="AJ17" s="2948"/>
      <c r="AK17" s="2948"/>
      <c r="AL17" s="2948"/>
      <c r="AM17" s="2948"/>
      <c r="AN17" s="2948"/>
      <c r="AO17" s="2948"/>
      <c r="AP17" s="2948"/>
      <c r="AQ17" s="2948"/>
      <c r="AR17" s="2948"/>
      <c r="AS17" s="2948"/>
      <c r="AT17" s="2949"/>
      <c r="AU17" s="2950"/>
      <c r="AV17" s="17">
        <f t="shared" si="10"/>
        <v>0</v>
      </c>
      <c r="AW17" s="17">
        <f t="shared" si="10"/>
        <v>0</v>
      </c>
      <c r="AX17" s="17">
        <f t="shared" si="10"/>
        <v>0</v>
      </c>
      <c r="AY17" s="98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43"/>
      <c r="E18" s="87">
        <f t="shared" si="6"/>
        <v>0</v>
      </c>
      <c r="F18" s="88"/>
      <c r="G18" s="89">
        <f t="shared" si="7"/>
        <v>0</v>
      </c>
      <c r="H18" s="90">
        <f t="shared" si="8"/>
        <v>0</v>
      </c>
      <c r="I18" s="1381"/>
      <c r="J18" s="91"/>
      <c r="K18" s="1381"/>
      <c r="L18" s="91"/>
      <c r="M18" s="91"/>
      <c r="N18" s="91"/>
      <c r="O18" s="91"/>
      <c r="P18" s="91"/>
      <c r="Q18" s="91"/>
      <c r="R18" s="91"/>
      <c r="S18" s="91"/>
      <c r="T18" s="91"/>
      <c r="U18" s="91"/>
      <c r="V18" s="91"/>
      <c r="W18" s="91"/>
      <c r="X18" s="91"/>
      <c r="Y18" s="91"/>
      <c r="Z18" s="91"/>
      <c r="AA18" s="91"/>
      <c r="AB18" s="91"/>
      <c r="AC18" s="87">
        <f t="shared" si="9"/>
        <v>0</v>
      </c>
      <c r="AD18" s="92"/>
      <c r="AE18" s="92"/>
      <c r="AF18" s="1381"/>
      <c r="AG18" s="92"/>
      <c r="AH18" s="92"/>
      <c r="AI18" s="92"/>
      <c r="AJ18" s="92"/>
      <c r="AK18" s="92"/>
      <c r="AL18" s="1350"/>
      <c r="AM18" s="92"/>
      <c r="AN18" s="1381"/>
      <c r="AO18" s="92"/>
      <c r="AP18" s="92"/>
      <c r="AQ18" s="92"/>
      <c r="AR18" s="92"/>
      <c r="AS18" s="92"/>
      <c r="AT18" s="93"/>
      <c r="AU18" s="94"/>
      <c r="AV18" s="983">
        <f t="shared" si="10"/>
        <v>0</v>
      </c>
      <c r="AW18" s="983">
        <f t="shared" si="10"/>
        <v>0</v>
      </c>
      <c r="AX18" s="98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5"/>
      <c r="C19" s="1381"/>
      <c r="D19" s="80"/>
      <c r="E19" s="87">
        <f t="shared" si="6"/>
        <v>0</v>
      </c>
      <c r="F19" s="88"/>
      <c r="G19" s="89">
        <f t="shared" si="7"/>
        <v>0</v>
      </c>
      <c r="H19" s="90">
        <f t="shared" si="8"/>
        <v>0</v>
      </c>
      <c r="I19" s="1381"/>
      <c r="J19" s="91"/>
      <c r="K19" s="1381"/>
      <c r="L19" s="91"/>
      <c r="M19" s="91"/>
      <c r="N19" s="91"/>
      <c r="O19" s="91"/>
      <c r="P19" s="91"/>
      <c r="Q19" s="91"/>
      <c r="R19" s="91"/>
      <c r="S19" s="91"/>
      <c r="T19" s="91"/>
      <c r="U19" s="91"/>
      <c r="V19" s="91"/>
      <c r="W19" s="91"/>
      <c r="X19" s="91"/>
      <c r="Y19" s="91"/>
      <c r="Z19" s="91"/>
      <c r="AA19" s="91"/>
      <c r="AB19" s="91"/>
      <c r="AC19" s="87">
        <f t="shared" si="9"/>
        <v>0</v>
      </c>
      <c r="AD19" s="92"/>
      <c r="AE19" s="92"/>
      <c r="AF19" s="1381"/>
      <c r="AG19" s="92"/>
      <c r="AH19" s="92"/>
      <c r="AI19" s="92"/>
      <c r="AJ19" s="92"/>
      <c r="AK19" s="92"/>
      <c r="AL19" s="92"/>
      <c r="AM19" s="92"/>
      <c r="AN19" s="1381"/>
      <c r="AO19" s="92"/>
      <c r="AP19" s="92"/>
      <c r="AQ19" s="92"/>
      <c r="AR19" s="92"/>
      <c r="AS19" s="92"/>
      <c r="AT19" s="93"/>
      <c r="AU19" s="94"/>
      <c r="AV19" s="983">
        <f t="shared" si="10"/>
        <v>0</v>
      </c>
      <c r="AW19" s="983">
        <f t="shared" si="10"/>
        <v>0</v>
      </c>
      <c r="AX19" s="98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5"/>
      <c r="C20" s="1381"/>
      <c r="D20" s="80"/>
      <c r="E20" s="87">
        <f t="shared" si="6"/>
        <v>0</v>
      </c>
      <c r="F20" s="88"/>
      <c r="G20" s="89">
        <f t="shared" si="7"/>
        <v>0</v>
      </c>
      <c r="H20" s="90">
        <f t="shared" si="8"/>
        <v>0</v>
      </c>
      <c r="I20" s="1381"/>
      <c r="J20" s="91"/>
      <c r="K20" s="1381"/>
      <c r="L20" s="91"/>
      <c r="M20" s="91"/>
      <c r="N20" s="91"/>
      <c r="O20" s="91"/>
      <c r="P20" s="91"/>
      <c r="Q20" s="91"/>
      <c r="R20" s="91"/>
      <c r="S20" s="91"/>
      <c r="T20" s="91"/>
      <c r="U20" s="91"/>
      <c r="V20" s="91"/>
      <c r="W20" s="91"/>
      <c r="X20" s="91"/>
      <c r="Y20" s="91"/>
      <c r="Z20" s="91"/>
      <c r="AA20" s="91"/>
      <c r="AB20" s="91"/>
      <c r="AC20" s="87">
        <f t="shared" si="9"/>
        <v>0</v>
      </c>
      <c r="AD20" s="92"/>
      <c r="AE20" s="92"/>
      <c r="AF20" s="1381"/>
      <c r="AG20" s="92"/>
      <c r="AH20" s="92"/>
      <c r="AI20" s="92"/>
      <c r="AJ20" s="92"/>
      <c r="AK20" s="92"/>
      <c r="AL20" s="92"/>
      <c r="AM20" s="92"/>
      <c r="AN20" s="1381"/>
      <c r="AO20" s="92"/>
      <c r="AP20" s="92"/>
      <c r="AQ20" s="92"/>
      <c r="AR20" s="92"/>
      <c r="AS20" s="92"/>
      <c r="AT20" s="93"/>
      <c r="AU20" s="94"/>
      <c r="AV20" s="983">
        <f t="shared" si="10"/>
        <v>0</v>
      </c>
      <c r="AW20" s="983">
        <f t="shared" si="10"/>
        <v>0</v>
      </c>
      <c r="AX20" s="98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0"/>
      <c r="C21" s="1381"/>
      <c r="D21" s="80"/>
      <c r="E21" s="87">
        <f t="shared" ref="E21:E112" si="33">IF($C$3="是",ROUND($A$3*G21/$B$3,2),ROUND($A$3*(G21-AT21)/$B$3,2))</f>
        <v>0</v>
      </c>
      <c r="F21" s="88"/>
      <c r="G21" s="89">
        <f t="shared" ref="G21:G109" si="34">H21+AC21+AT21</f>
        <v>0</v>
      </c>
      <c r="H21" s="90">
        <f t="shared" ref="H21:H109" si="35">SUMIF(I$12:AB$12,"总值",I21:AB21)</f>
        <v>0</v>
      </c>
      <c r="I21" s="1383"/>
      <c r="J21" s="91"/>
      <c r="K21" s="138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4"/>
      <c r="AG21" s="92"/>
      <c r="AH21" s="92"/>
      <c r="AI21" s="92"/>
      <c r="AJ21" s="92"/>
      <c r="AK21" s="92"/>
      <c r="AL21" s="92"/>
      <c r="AM21" s="92"/>
      <c r="AN21" s="1350"/>
      <c r="AO21" s="92"/>
      <c r="AP21" s="92"/>
      <c r="AQ21" s="92"/>
      <c r="AR21" s="92"/>
      <c r="AS21" s="92"/>
      <c r="AT21" s="93"/>
      <c r="AU21" s="94"/>
      <c r="AV21" s="1954">
        <f t="shared" ref="AV21:AV112" si="37">A21</f>
        <v>0</v>
      </c>
      <c r="AW21" s="1954">
        <f t="shared" ref="AW21:AW112" si="38">B21</f>
        <v>0</v>
      </c>
      <c r="AX21" s="195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0"/>
      <c r="C22" s="1381"/>
      <c r="D22" s="80"/>
      <c r="E22" s="87">
        <f t="shared" si="33"/>
        <v>0</v>
      </c>
      <c r="F22" s="88"/>
      <c r="G22" s="89">
        <f t="shared" si="34"/>
        <v>0</v>
      </c>
      <c r="H22" s="90">
        <f t="shared" si="35"/>
        <v>0</v>
      </c>
      <c r="I22" s="1383"/>
      <c r="J22" s="91"/>
      <c r="K22" s="1383"/>
      <c r="L22" s="91"/>
      <c r="M22" s="1350"/>
      <c r="N22" s="91"/>
      <c r="O22" s="91"/>
      <c r="P22" s="91"/>
      <c r="Q22" s="91"/>
      <c r="R22" s="91"/>
      <c r="S22" s="91"/>
      <c r="T22" s="91"/>
      <c r="U22" s="91"/>
      <c r="V22" s="91"/>
      <c r="W22" s="91"/>
      <c r="X22" s="91"/>
      <c r="Y22" s="91"/>
      <c r="Z22" s="91"/>
      <c r="AA22" s="91"/>
      <c r="AB22" s="91"/>
      <c r="AC22" s="87">
        <f t="shared" si="36"/>
        <v>0</v>
      </c>
      <c r="AD22" s="1350"/>
      <c r="AE22" s="92"/>
      <c r="AF22" s="1384"/>
      <c r="AG22" s="92"/>
      <c r="AH22" s="92"/>
      <c r="AI22" s="92"/>
      <c r="AJ22" s="92"/>
      <c r="AK22" s="92"/>
      <c r="AL22" s="1350"/>
      <c r="AM22" s="92"/>
      <c r="AN22" s="1350"/>
      <c r="AO22" s="92"/>
      <c r="AP22" s="92"/>
      <c r="AQ22" s="92"/>
      <c r="AR22" s="92"/>
      <c r="AS22" s="92"/>
      <c r="AT22" s="93"/>
      <c r="AU22" s="94"/>
      <c r="AV22" s="1954">
        <f t="shared" si="37"/>
        <v>0</v>
      </c>
      <c r="AW22" s="1954">
        <f t="shared" si="38"/>
        <v>0</v>
      </c>
      <c r="AX22" s="195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0"/>
      <c r="C23" s="1381"/>
      <c r="D23" s="80"/>
      <c r="E23" s="87">
        <f t="shared" si="33"/>
        <v>0</v>
      </c>
      <c r="F23" s="88"/>
      <c r="G23" s="89">
        <f t="shared" si="34"/>
        <v>0</v>
      </c>
      <c r="H23" s="90">
        <f t="shared" si="35"/>
        <v>0</v>
      </c>
      <c r="I23" s="1383"/>
      <c r="J23" s="91"/>
      <c r="K23" s="1383"/>
      <c r="L23" s="91"/>
      <c r="M23" s="1350"/>
      <c r="N23" s="91"/>
      <c r="O23" s="91"/>
      <c r="P23" s="91"/>
      <c r="Q23" s="91"/>
      <c r="R23" s="91"/>
      <c r="S23" s="91"/>
      <c r="T23" s="91"/>
      <c r="U23" s="91"/>
      <c r="V23" s="91"/>
      <c r="W23" s="91"/>
      <c r="X23" s="91"/>
      <c r="Y23" s="91"/>
      <c r="Z23" s="91"/>
      <c r="AA23" s="91"/>
      <c r="AB23" s="91"/>
      <c r="AC23" s="87">
        <f t="shared" si="36"/>
        <v>0</v>
      </c>
      <c r="AD23" s="92"/>
      <c r="AE23" s="92"/>
      <c r="AF23" s="1384"/>
      <c r="AG23" s="92"/>
      <c r="AH23" s="92"/>
      <c r="AI23" s="92"/>
      <c r="AJ23" s="92"/>
      <c r="AK23" s="92"/>
      <c r="AL23" s="1350"/>
      <c r="AM23" s="92"/>
      <c r="AN23" s="1350"/>
      <c r="AO23" s="92"/>
      <c r="AP23" s="92"/>
      <c r="AQ23" s="92"/>
      <c r="AR23" s="92"/>
      <c r="AS23" s="92"/>
      <c r="AT23" s="93"/>
      <c r="AU23" s="94"/>
      <c r="AV23" s="1954">
        <f t="shared" si="37"/>
        <v>0</v>
      </c>
      <c r="AW23" s="1954">
        <f t="shared" si="38"/>
        <v>0</v>
      </c>
      <c r="AX23" s="195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0"/>
      <c r="C24" s="1381"/>
      <c r="D24" s="80"/>
      <c r="E24" s="87">
        <f t="shared" si="33"/>
        <v>0</v>
      </c>
      <c r="F24" s="88"/>
      <c r="G24" s="89">
        <f t="shared" si="34"/>
        <v>0</v>
      </c>
      <c r="H24" s="90">
        <f t="shared" si="35"/>
        <v>0</v>
      </c>
      <c r="I24" s="1383"/>
      <c r="J24" s="91"/>
      <c r="K24" s="1383"/>
      <c r="L24" s="91"/>
      <c r="M24" s="91"/>
      <c r="N24" s="91"/>
      <c r="O24" s="1350"/>
      <c r="P24" s="91"/>
      <c r="Q24" s="91"/>
      <c r="R24" s="91"/>
      <c r="S24" s="91"/>
      <c r="T24" s="91"/>
      <c r="U24" s="91"/>
      <c r="V24" s="91"/>
      <c r="W24" s="91"/>
      <c r="X24" s="91"/>
      <c r="Y24" s="91"/>
      <c r="Z24" s="91"/>
      <c r="AA24" s="91"/>
      <c r="AB24" s="91"/>
      <c r="AC24" s="87">
        <f t="shared" si="36"/>
        <v>0</v>
      </c>
      <c r="AD24" s="92"/>
      <c r="AE24" s="92"/>
      <c r="AF24" s="1384"/>
      <c r="AG24" s="92"/>
      <c r="AH24" s="92"/>
      <c r="AI24" s="92"/>
      <c r="AJ24" s="92"/>
      <c r="AK24" s="92"/>
      <c r="AL24" s="92"/>
      <c r="AM24" s="92"/>
      <c r="AN24" s="1350"/>
      <c r="AO24" s="92"/>
      <c r="AP24" s="92"/>
      <c r="AQ24" s="92"/>
      <c r="AR24" s="92"/>
      <c r="AS24" s="92"/>
      <c r="AT24" s="93"/>
      <c r="AU24" s="94"/>
      <c r="AV24" s="1954">
        <f t="shared" si="37"/>
        <v>0</v>
      </c>
      <c r="AW24" s="1954">
        <f t="shared" si="38"/>
        <v>0</v>
      </c>
      <c r="AX24" s="195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0"/>
      <c r="C25" s="1381"/>
      <c r="D25" s="80"/>
      <c r="E25" s="87">
        <f t="shared" si="33"/>
        <v>0</v>
      </c>
      <c r="F25" s="88"/>
      <c r="G25" s="89">
        <f t="shared" si="34"/>
        <v>0</v>
      </c>
      <c r="H25" s="90">
        <f t="shared" si="35"/>
        <v>0</v>
      </c>
      <c r="I25" s="1383"/>
      <c r="J25" s="91"/>
      <c r="K25" s="1383"/>
      <c r="L25" s="91"/>
      <c r="M25" s="91"/>
      <c r="N25" s="91"/>
      <c r="O25" s="91"/>
      <c r="P25" s="91"/>
      <c r="Q25" s="91"/>
      <c r="R25" s="91"/>
      <c r="S25" s="91"/>
      <c r="T25" s="91"/>
      <c r="U25" s="91"/>
      <c r="V25" s="91"/>
      <c r="W25" s="91"/>
      <c r="X25" s="91"/>
      <c r="Y25" s="91"/>
      <c r="Z25" s="91"/>
      <c r="AA25" s="91"/>
      <c r="AB25" s="91"/>
      <c r="AC25" s="87">
        <f t="shared" si="36"/>
        <v>0</v>
      </c>
      <c r="AD25" s="92"/>
      <c r="AE25" s="92"/>
      <c r="AF25" s="1384"/>
      <c r="AG25" s="92"/>
      <c r="AH25" s="92"/>
      <c r="AI25" s="92"/>
      <c r="AJ25" s="92"/>
      <c r="AK25" s="92"/>
      <c r="AL25" s="92"/>
      <c r="AM25" s="92"/>
      <c r="AN25" s="92"/>
      <c r="AO25" s="92"/>
      <c r="AP25" s="92"/>
      <c r="AQ25" s="92"/>
      <c r="AR25" s="92"/>
      <c r="AS25" s="92"/>
      <c r="AT25" s="93"/>
      <c r="AU25" s="94"/>
      <c r="AV25" s="1954">
        <f t="shared" si="37"/>
        <v>0</v>
      </c>
      <c r="AW25" s="1954">
        <f t="shared" si="38"/>
        <v>0</v>
      </c>
      <c r="AX25" s="195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0"/>
      <c r="C26" s="1381"/>
      <c r="D26" s="80"/>
      <c r="E26" s="87">
        <f t="shared" si="33"/>
        <v>0</v>
      </c>
      <c r="F26" s="88"/>
      <c r="G26" s="89">
        <f t="shared" si="34"/>
        <v>0</v>
      </c>
      <c r="H26" s="90">
        <f t="shared" si="35"/>
        <v>0</v>
      </c>
      <c r="I26" s="1383"/>
      <c r="J26" s="91"/>
      <c r="K26" s="1383"/>
      <c r="L26" s="91"/>
      <c r="M26" s="91"/>
      <c r="N26" s="91"/>
      <c r="O26" s="91"/>
      <c r="P26" s="91"/>
      <c r="Q26" s="91"/>
      <c r="R26" s="91"/>
      <c r="S26" s="91"/>
      <c r="T26" s="91"/>
      <c r="U26" s="91"/>
      <c r="V26" s="91"/>
      <c r="W26" s="91"/>
      <c r="X26" s="91"/>
      <c r="Y26" s="91"/>
      <c r="Z26" s="91"/>
      <c r="AA26" s="91"/>
      <c r="AB26" s="91"/>
      <c r="AC26" s="87">
        <f t="shared" si="36"/>
        <v>0</v>
      </c>
      <c r="AD26" s="92"/>
      <c r="AE26" s="92"/>
      <c r="AF26" s="1384"/>
      <c r="AG26" s="92"/>
      <c r="AH26" s="92"/>
      <c r="AI26" s="92"/>
      <c r="AJ26" s="92"/>
      <c r="AK26" s="92"/>
      <c r="AL26" s="92"/>
      <c r="AM26" s="92"/>
      <c r="AN26" s="92"/>
      <c r="AO26" s="92"/>
      <c r="AP26" s="92"/>
      <c r="AQ26" s="92"/>
      <c r="AR26" s="92"/>
      <c r="AS26" s="92"/>
      <c r="AT26" s="93"/>
      <c r="AU26" s="94"/>
      <c r="AV26" s="1954">
        <f t="shared" si="37"/>
        <v>0</v>
      </c>
      <c r="AW26" s="1954">
        <f t="shared" si="38"/>
        <v>0</v>
      </c>
      <c r="AX26" s="195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0"/>
      <c r="C27" s="1381"/>
      <c r="D27" s="80"/>
      <c r="E27" s="87">
        <f t="shared" si="33"/>
        <v>0</v>
      </c>
      <c r="F27" s="88"/>
      <c r="G27" s="89">
        <f t="shared" si="34"/>
        <v>0</v>
      </c>
      <c r="H27" s="90">
        <f t="shared" si="35"/>
        <v>0</v>
      </c>
      <c r="I27" s="1383"/>
      <c r="J27" s="91"/>
      <c r="K27" s="1383"/>
      <c r="L27" s="91"/>
      <c r="M27" s="91"/>
      <c r="N27" s="91"/>
      <c r="O27" s="91"/>
      <c r="P27" s="91"/>
      <c r="Q27" s="91"/>
      <c r="R27" s="91"/>
      <c r="S27" s="91"/>
      <c r="T27" s="91"/>
      <c r="U27" s="91"/>
      <c r="V27" s="91"/>
      <c r="W27" s="91"/>
      <c r="X27" s="91"/>
      <c r="Y27" s="91"/>
      <c r="Z27" s="91"/>
      <c r="AA27" s="91"/>
      <c r="AB27" s="91"/>
      <c r="AC27" s="87">
        <f t="shared" si="36"/>
        <v>0</v>
      </c>
      <c r="AD27" s="92"/>
      <c r="AE27" s="92"/>
      <c r="AF27" s="1384"/>
      <c r="AG27" s="92"/>
      <c r="AH27" s="92"/>
      <c r="AI27" s="92"/>
      <c r="AJ27" s="92"/>
      <c r="AK27" s="92"/>
      <c r="AL27" s="92"/>
      <c r="AM27" s="92"/>
      <c r="AN27" s="92"/>
      <c r="AO27" s="92"/>
      <c r="AP27" s="92"/>
      <c r="AQ27" s="92"/>
      <c r="AR27" s="92"/>
      <c r="AS27" s="92"/>
      <c r="AT27" s="93"/>
      <c r="AU27" s="94"/>
      <c r="AV27" s="1954">
        <f t="shared" si="37"/>
        <v>0</v>
      </c>
      <c r="AW27" s="1954">
        <f t="shared" si="38"/>
        <v>0</v>
      </c>
      <c r="AX27" s="195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0"/>
      <c r="C28" s="1381"/>
      <c r="D28" s="80"/>
      <c r="E28" s="87">
        <f t="shared" si="33"/>
        <v>0</v>
      </c>
      <c r="F28" s="88"/>
      <c r="G28" s="89">
        <f t="shared" si="34"/>
        <v>0</v>
      </c>
      <c r="H28" s="90">
        <f t="shared" si="35"/>
        <v>0</v>
      </c>
      <c r="I28" s="1383"/>
      <c r="J28" s="91"/>
      <c r="K28" s="1383"/>
      <c r="L28" s="91"/>
      <c r="M28" s="91"/>
      <c r="N28" s="91"/>
      <c r="O28" s="91"/>
      <c r="P28" s="91"/>
      <c r="Q28" s="91"/>
      <c r="R28" s="91"/>
      <c r="S28" s="91"/>
      <c r="T28" s="91"/>
      <c r="U28" s="91"/>
      <c r="V28" s="91"/>
      <c r="W28" s="91"/>
      <c r="X28" s="91"/>
      <c r="Y28" s="91"/>
      <c r="Z28" s="91"/>
      <c r="AA28" s="91"/>
      <c r="AB28" s="91"/>
      <c r="AC28" s="87">
        <f t="shared" si="36"/>
        <v>0</v>
      </c>
      <c r="AD28" s="92"/>
      <c r="AE28" s="92"/>
      <c r="AF28" s="1383"/>
      <c r="AG28" s="92"/>
      <c r="AH28" s="92"/>
      <c r="AI28" s="92"/>
      <c r="AJ28" s="92"/>
      <c r="AK28" s="92"/>
      <c r="AL28" s="92"/>
      <c r="AM28" s="92"/>
      <c r="AN28" s="92"/>
      <c r="AO28" s="92"/>
      <c r="AP28" s="92"/>
      <c r="AQ28" s="92"/>
      <c r="AR28" s="92"/>
      <c r="AS28" s="92"/>
      <c r="AT28" s="93"/>
      <c r="AU28" s="94"/>
      <c r="AV28" s="1954">
        <f t="shared" si="37"/>
        <v>0</v>
      </c>
      <c r="AW28" s="1954">
        <f t="shared" si="38"/>
        <v>0</v>
      </c>
      <c r="AX28" s="195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2"/>
      <c r="C29" s="1383"/>
      <c r="D29" s="80"/>
      <c r="E29" s="87">
        <f t="shared" si="33"/>
        <v>0</v>
      </c>
      <c r="F29" s="88"/>
      <c r="G29" s="89">
        <f t="shared" si="34"/>
        <v>0</v>
      </c>
      <c r="H29" s="90">
        <f t="shared" si="35"/>
        <v>0</v>
      </c>
      <c r="I29" s="1383"/>
      <c r="J29" s="91"/>
      <c r="K29" s="1383"/>
      <c r="L29" s="91"/>
      <c r="M29" s="91"/>
      <c r="N29" s="91"/>
      <c r="O29" s="91"/>
      <c r="P29" s="91"/>
      <c r="Q29" s="91"/>
      <c r="R29" s="91"/>
      <c r="S29" s="91"/>
      <c r="T29" s="91"/>
      <c r="U29" s="91"/>
      <c r="V29" s="91"/>
      <c r="W29" s="91"/>
      <c r="X29" s="91"/>
      <c r="Y29" s="91"/>
      <c r="Z29" s="91"/>
      <c r="AA29" s="91"/>
      <c r="AB29" s="91"/>
      <c r="AC29" s="87">
        <f t="shared" si="36"/>
        <v>0</v>
      </c>
      <c r="AD29" s="92"/>
      <c r="AE29" s="92"/>
      <c r="AF29" s="1383"/>
      <c r="AG29" s="92"/>
      <c r="AH29" s="92"/>
      <c r="AI29" s="92"/>
      <c r="AJ29" s="92"/>
      <c r="AK29" s="92"/>
      <c r="AL29" s="92"/>
      <c r="AM29" s="92"/>
      <c r="AN29" s="92"/>
      <c r="AO29" s="92"/>
      <c r="AP29" s="92"/>
      <c r="AQ29" s="92"/>
      <c r="AR29" s="92"/>
      <c r="AS29" s="92"/>
      <c r="AT29" s="93"/>
      <c r="AU29" s="94"/>
      <c r="AV29" s="1954">
        <f t="shared" si="37"/>
        <v>0</v>
      </c>
      <c r="AW29" s="1954">
        <f t="shared" si="38"/>
        <v>0</v>
      </c>
      <c r="AX29" s="195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0"/>
      <c r="C30" s="1381"/>
      <c r="D30" s="80"/>
      <c r="E30" s="87">
        <f t="shared" si="33"/>
        <v>0</v>
      </c>
      <c r="F30" s="88"/>
      <c r="G30" s="89">
        <f t="shared" si="34"/>
        <v>0</v>
      </c>
      <c r="H30" s="90">
        <f t="shared" si="35"/>
        <v>0</v>
      </c>
      <c r="I30" s="1383"/>
      <c r="J30" s="91"/>
      <c r="K30" s="1383"/>
      <c r="L30" s="91"/>
      <c r="M30" s="91"/>
      <c r="N30" s="91"/>
      <c r="O30" s="91"/>
      <c r="P30" s="91"/>
      <c r="Q30" s="91"/>
      <c r="R30" s="91"/>
      <c r="S30" s="91"/>
      <c r="T30" s="91"/>
      <c r="U30" s="91"/>
      <c r="V30" s="91"/>
      <c r="W30" s="91"/>
      <c r="X30" s="91"/>
      <c r="Y30" s="91"/>
      <c r="Z30" s="91"/>
      <c r="AA30" s="91"/>
      <c r="AB30" s="91"/>
      <c r="AC30" s="87">
        <f t="shared" si="36"/>
        <v>0</v>
      </c>
      <c r="AD30" s="92"/>
      <c r="AE30" s="92"/>
      <c r="AF30" s="1383"/>
      <c r="AG30" s="92"/>
      <c r="AH30" s="92"/>
      <c r="AI30" s="92"/>
      <c r="AJ30" s="92"/>
      <c r="AK30" s="92"/>
      <c r="AL30" s="92"/>
      <c r="AM30" s="92"/>
      <c r="AN30" s="92"/>
      <c r="AO30" s="92"/>
      <c r="AP30" s="92"/>
      <c r="AQ30" s="92"/>
      <c r="AR30" s="92"/>
      <c r="AS30" s="92"/>
      <c r="AT30" s="93"/>
      <c r="AU30" s="94"/>
      <c r="AV30" s="1954">
        <f t="shared" si="37"/>
        <v>0</v>
      </c>
      <c r="AW30" s="1954">
        <f t="shared" si="38"/>
        <v>0</v>
      </c>
      <c r="AX30" s="195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0"/>
      <c r="C31" s="1381"/>
      <c r="D31" s="80"/>
      <c r="E31" s="87">
        <f t="shared" si="33"/>
        <v>0</v>
      </c>
      <c r="F31" s="88"/>
      <c r="G31" s="89">
        <f t="shared" si="34"/>
        <v>0</v>
      </c>
      <c r="H31" s="90">
        <f t="shared" si="35"/>
        <v>0</v>
      </c>
      <c r="I31" s="1383"/>
      <c r="J31" s="91"/>
      <c r="K31" s="1383"/>
      <c r="L31" s="91"/>
      <c r="M31" s="91"/>
      <c r="N31" s="91"/>
      <c r="O31" s="91"/>
      <c r="P31" s="91"/>
      <c r="Q31" s="91"/>
      <c r="R31" s="91"/>
      <c r="S31" s="91"/>
      <c r="T31" s="91"/>
      <c r="U31" s="91"/>
      <c r="V31" s="91"/>
      <c r="W31" s="91"/>
      <c r="X31" s="91"/>
      <c r="Y31" s="91"/>
      <c r="Z31" s="91"/>
      <c r="AA31" s="91"/>
      <c r="AB31" s="91"/>
      <c r="AC31" s="87">
        <f t="shared" si="36"/>
        <v>0</v>
      </c>
      <c r="AD31" s="92"/>
      <c r="AE31" s="92"/>
      <c r="AF31" s="1383"/>
      <c r="AG31" s="92"/>
      <c r="AH31" s="92"/>
      <c r="AI31" s="92"/>
      <c r="AJ31" s="92"/>
      <c r="AK31" s="92"/>
      <c r="AL31" s="92"/>
      <c r="AM31" s="92"/>
      <c r="AN31" s="92"/>
      <c r="AO31" s="92"/>
      <c r="AP31" s="92"/>
      <c r="AQ31" s="92"/>
      <c r="AR31" s="92"/>
      <c r="AS31" s="92"/>
      <c r="AT31" s="93"/>
      <c r="AU31" s="94"/>
      <c r="AV31" s="1954">
        <f t="shared" si="37"/>
        <v>0</v>
      </c>
      <c r="AW31" s="1954">
        <f t="shared" si="38"/>
        <v>0</v>
      </c>
      <c r="AX31" s="195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0"/>
      <c r="C32" s="1381"/>
      <c r="D32" s="80"/>
      <c r="E32" s="87">
        <f t="shared" si="33"/>
        <v>0</v>
      </c>
      <c r="F32" s="88"/>
      <c r="G32" s="89">
        <f t="shared" si="34"/>
        <v>0</v>
      </c>
      <c r="H32" s="90">
        <f t="shared" si="35"/>
        <v>0</v>
      </c>
      <c r="I32" s="1383"/>
      <c r="J32" s="91"/>
      <c r="K32" s="1383"/>
      <c r="L32" s="91"/>
      <c r="M32" s="91"/>
      <c r="N32" s="91"/>
      <c r="O32" s="91"/>
      <c r="P32" s="91"/>
      <c r="Q32" s="91"/>
      <c r="R32" s="91"/>
      <c r="S32" s="91"/>
      <c r="T32" s="91"/>
      <c r="U32" s="91"/>
      <c r="V32" s="91"/>
      <c r="W32" s="91"/>
      <c r="X32" s="91"/>
      <c r="Y32" s="91"/>
      <c r="Z32" s="91"/>
      <c r="AA32" s="91"/>
      <c r="AB32" s="91"/>
      <c r="AC32" s="87">
        <f t="shared" si="36"/>
        <v>0</v>
      </c>
      <c r="AD32" s="92"/>
      <c r="AE32" s="92"/>
      <c r="AF32" s="1383"/>
      <c r="AG32" s="92"/>
      <c r="AH32" s="92"/>
      <c r="AI32" s="92"/>
      <c r="AJ32" s="92"/>
      <c r="AK32" s="92"/>
      <c r="AL32" s="92"/>
      <c r="AM32" s="92"/>
      <c r="AN32" s="92"/>
      <c r="AO32" s="92"/>
      <c r="AP32" s="92"/>
      <c r="AQ32" s="92"/>
      <c r="AR32" s="92"/>
      <c r="AS32" s="92"/>
      <c r="AT32" s="93"/>
      <c r="AU32" s="94"/>
      <c r="AV32" s="1954">
        <f t="shared" si="37"/>
        <v>0</v>
      </c>
      <c r="AW32" s="1954">
        <f t="shared" si="38"/>
        <v>0</v>
      </c>
      <c r="AX32" s="195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0"/>
      <c r="C33" s="1381"/>
      <c r="D33" s="80"/>
      <c r="E33" s="87">
        <f t="shared" si="33"/>
        <v>0</v>
      </c>
      <c r="F33" s="88"/>
      <c r="G33" s="89">
        <f t="shared" si="34"/>
        <v>0</v>
      </c>
      <c r="H33" s="90">
        <f t="shared" si="35"/>
        <v>0</v>
      </c>
      <c r="I33" s="1383"/>
      <c r="J33" s="91"/>
      <c r="K33" s="1383"/>
      <c r="L33" s="91"/>
      <c r="M33" s="91"/>
      <c r="N33" s="91"/>
      <c r="O33" s="91"/>
      <c r="P33" s="91"/>
      <c r="Q33" s="91"/>
      <c r="R33" s="91"/>
      <c r="S33" s="91"/>
      <c r="T33" s="91"/>
      <c r="U33" s="91"/>
      <c r="V33" s="91"/>
      <c r="W33" s="91"/>
      <c r="X33" s="91"/>
      <c r="Y33" s="91"/>
      <c r="Z33" s="91"/>
      <c r="AA33" s="91"/>
      <c r="AB33" s="91"/>
      <c r="AC33" s="87">
        <f t="shared" si="36"/>
        <v>0</v>
      </c>
      <c r="AD33" s="92"/>
      <c r="AE33" s="92"/>
      <c r="AF33" s="1383"/>
      <c r="AG33" s="92"/>
      <c r="AH33" s="92"/>
      <c r="AI33" s="92"/>
      <c r="AJ33" s="92"/>
      <c r="AK33" s="92"/>
      <c r="AL33" s="92"/>
      <c r="AM33" s="92"/>
      <c r="AN33" s="92"/>
      <c r="AO33" s="92"/>
      <c r="AP33" s="92"/>
      <c r="AQ33" s="92"/>
      <c r="AR33" s="92"/>
      <c r="AS33" s="92"/>
      <c r="AT33" s="93"/>
      <c r="AU33" s="94"/>
      <c r="AV33" s="1954">
        <f t="shared" si="37"/>
        <v>0</v>
      </c>
      <c r="AW33" s="1954">
        <f t="shared" si="38"/>
        <v>0</v>
      </c>
      <c r="AX33" s="195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0"/>
      <c r="C34" s="1381"/>
      <c r="D34" s="80"/>
      <c r="E34" s="87">
        <f t="shared" si="33"/>
        <v>0</v>
      </c>
      <c r="F34" s="88"/>
      <c r="G34" s="89">
        <f t="shared" si="34"/>
        <v>0</v>
      </c>
      <c r="H34" s="90">
        <f t="shared" si="35"/>
        <v>0</v>
      </c>
      <c r="I34" s="1383"/>
      <c r="J34" s="91"/>
      <c r="K34" s="1383"/>
      <c r="L34" s="91"/>
      <c r="M34" s="91"/>
      <c r="N34" s="91"/>
      <c r="O34" s="91"/>
      <c r="P34" s="91"/>
      <c r="Q34" s="91"/>
      <c r="R34" s="91"/>
      <c r="S34" s="91"/>
      <c r="T34" s="91"/>
      <c r="U34" s="91"/>
      <c r="V34" s="91"/>
      <c r="W34" s="91"/>
      <c r="X34" s="91"/>
      <c r="Y34" s="91"/>
      <c r="Z34" s="91"/>
      <c r="AA34" s="91"/>
      <c r="AB34" s="91"/>
      <c r="AC34" s="87">
        <f t="shared" si="36"/>
        <v>0</v>
      </c>
      <c r="AD34" s="92"/>
      <c r="AE34" s="92"/>
      <c r="AF34" s="1383"/>
      <c r="AG34" s="92"/>
      <c r="AH34" s="92"/>
      <c r="AI34" s="92"/>
      <c r="AJ34" s="92"/>
      <c r="AK34" s="92"/>
      <c r="AL34" s="92"/>
      <c r="AM34" s="92"/>
      <c r="AN34" s="92"/>
      <c r="AO34" s="92"/>
      <c r="AP34" s="92"/>
      <c r="AQ34" s="92"/>
      <c r="AR34" s="92"/>
      <c r="AS34" s="92"/>
      <c r="AT34" s="93"/>
      <c r="AU34" s="94"/>
      <c r="AV34" s="1954">
        <f t="shared" si="37"/>
        <v>0</v>
      </c>
      <c r="AW34" s="1954">
        <f t="shared" si="38"/>
        <v>0</v>
      </c>
      <c r="AX34" s="195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0"/>
      <c r="C35" s="1381"/>
      <c r="D35" s="80"/>
      <c r="E35" s="87">
        <f t="shared" si="33"/>
        <v>0</v>
      </c>
      <c r="F35" s="88"/>
      <c r="G35" s="89">
        <f t="shared" si="34"/>
        <v>0</v>
      </c>
      <c r="H35" s="90">
        <f t="shared" si="35"/>
        <v>0</v>
      </c>
      <c r="I35" s="1383"/>
      <c r="J35" s="91"/>
      <c r="K35" s="1383"/>
      <c r="L35" s="91"/>
      <c r="M35" s="91"/>
      <c r="N35" s="91"/>
      <c r="O35" s="91"/>
      <c r="P35" s="91"/>
      <c r="Q35" s="91"/>
      <c r="R35" s="91"/>
      <c r="S35" s="91"/>
      <c r="T35" s="91"/>
      <c r="U35" s="91"/>
      <c r="V35" s="91"/>
      <c r="W35" s="91"/>
      <c r="X35" s="91"/>
      <c r="Y35" s="91"/>
      <c r="Z35" s="91"/>
      <c r="AA35" s="91"/>
      <c r="AB35" s="91"/>
      <c r="AC35" s="87">
        <f t="shared" si="36"/>
        <v>0</v>
      </c>
      <c r="AD35" s="92"/>
      <c r="AE35" s="92"/>
      <c r="AF35" s="1383"/>
      <c r="AG35" s="92"/>
      <c r="AH35" s="92"/>
      <c r="AI35" s="92"/>
      <c r="AJ35" s="92"/>
      <c r="AK35" s="92"/>
      <c r="AL35" s="92"/>
      <c r="AM35" s="92"/>
      <c r="AN35" s="92"/>
      <c r="AO35" s="92"/>
      <c r="AP35" s="92"/>
      <c r="AQ35" s="92"/>
      <c r="AR35" s="92"/>
      <c r="AS35" s="92"/>
      <c r="AT35" s="93"/>
      <c r="AU35" s="94"/>
      <c r="AV35" s="1954">
        <f t="shared" si="37"/>
        <v>0</v>
      </c>
      <c r="AW35" s="1954">
        <f t="shared" si="38"/>
        <v>0</v>
      </c>
      <c r="AX35" s="195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0"/>
      <c r="C36" s="1381"/>
      <c r="D36" s="80"/>
      <c r="E36" s="87">
        <f t="shared" si="33"/>
        <v>0</v>
      </c>
      <c r="F36" s="88"/>
      <c r="G36" s="89">
        <f t="shared" si="34"/>
        <v>0</v>
      </c>
      <c r="H36" s="90">
        <f t="shared" si="35"/>
        <v>0</v>
      </c>
      <c r="I36" s="1383"/>
      <c r="J36" s="91"/>
      <c r="K36" s="1383"/>
      <c r="L36" s="91"/>
      <c r="M36" s="91"/>
      <c r="N36" s="91"/>
      <c r="O36" s="91"/>
      <c r="P36" s="91"/>
      <c r="Q36" s="91"/>
      <c r="R36" s="91"/>
      <c r="S36" s="91"/>
      <c r="T36" s="91"/>
      <c r="U36" s="91"/>
      <c r="V36" s="91"/>
      <c r="W36" s="91"/>
      <c r="X36" s="91"/>
      <c r="Y36" s="91"/>
      <c r="Z36" s="91"/>
      <c r="AA36" s="91"/>
      <c r="AB36" s="91"/>
      <c r="AC36" s="87">
        <f t="shared" si="36"/>
        <v>0</v>
      </c>
      <c r="AD36" s="92"/>
      <c r="AE36" s="92"/>
      <c r="AF36" s="1383"/>
      <c r="AG36" s="92"/>
      <c r="AH36" s="92"/>
      <c r="AI36" s="92"/>
      <c r="AJ36" s="92"/>
      <c r="AK36" s="92"/>
      <c r="AL36" s="92"/>
      <c r="AM36" s="92"/>
      <c r="AN36" s="92"/>
      <c r="AO36" s="92"/>
      <c r="AP36" s="92"/>
      <c r="AQ36" s="92"/>
      <c r="AR36" s="92"/>
      <c r="AS36" s="92"/>
      <c r="AT36" s="93"/>
      <c r="AU36" s="94"/>
      <c r="AV36" s="1954">
        <f t="shared" si="37"/>
        <v>0</v>
      </c>
      <c r="AW36" s="1954">
        <f t="shared" si="38"/>
        <v>0</v>
      </c>
      <c r="AX36" s="195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0"/>
      <c r="C37" s="1381"/>
      <c r="D37" s="80"/>
      <c r="E37" s="87">
        <f t="shared" si="33"/>
        <v>0</v>
      </c>
      <c r="F37" s="88"/>
      <c r="G37" s="89">
        <f t="shared" si="34"/>
        <v>0</v>
      </c>
      <c r="H37" s="90">
        <f t="shared" si="35"/>
        <v>0</v>
      </c>
      <c r="I37" s="1383"/>
      <c r="J37" s="91"/>
      <c r="K37" s="1383"/>
      <c r="L37" s="91"/>
      <c r="M37" s="91"/>
      <c r="N37" s="91"/>
      <c r="O37" s="91"/>
      <c r="P37" s="91"/>
      <c r="Q37" s="91"/>
      <c r="R37" s="91"/>
      <c r="S37" s="91"/>
      <c r="T37" s="91"/>
      <c r="U37" s="91"/>
      <c r="V37" s="91"/>
      <c r="W37" s="91"/>
      <c r="X37" s="91"/>
      <c r="Y37" s="91"/>
      <c r="Z37" s="91"/>
      <c r="AA37" s="91"/>
      <c r="AB37" s="91"/>
      <c r="AC37" s="87">
        <f t="shared" si="36"/>
        <v>0</v>
      </c>
      <c r="AD37" s="92"/>
      <c r="AE37" s="92"/>
      <c r="AF37" s="1383"/>
      <c r="AG37" s="92"/>
      <c r="AH37" s="92"/>
      <c r="AI37" s="92"/>
      <c r="AJ37" s="92"/>
      <c r="AK37" s="92"/>
      <c r="AL37" s="92"/>
      <c r="AM37" s="92"/>
      <c r="AN37" s="92"/>
      <c r="AO37" s="92"/>
      <c r="AP37" s="92"/>
      <c r="AQ37" s="92"/>
      <c r="AR37" s="92"/>
      <c r="AS37" s="92"/>
      <c r="AT37" s="93"/>
      <c r="AU37" s="94"/>
      <c r="AV37" s="1954">
        <f t="shared" si="37"/>
        <v>0</v>
      </c>
      <c r="AW37" s="1954">
        <f t="shared" si="38"/>
        <v>0</v>
      </c>
      <c r="AX37" s="195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0"/>
      <c r="C38" s="1381"/>
      <c r="D38" s="80"/>
      <c r="E38" s="87">
        <f t="shared" si="33"/>
        <v>0</v>
      </c>
      <c r="F38" s="88"/>
      <c r="G38" s="89">
        <f t="shared" si="34"/>
        <v>0</v>
      </c>
      <c r="H38" s="90">
        <f t="shared" si="35"/>
        <v>0</v>
      </c>
      <c r="I38" s="1383"/>
      <c r="J38" s="91"/>
      <c r="K38" s="1383"/>
      <c r="L38" s="91"/>
      <c r="M38" s="91"/>
      <c r="N38" s="91"/>
      <c r="O38" s="91"/>
      <c r="P38" s="91"/>
      <c r="Q38" s="91"/>
      <c r="R38" s="91"/>
      <c r="S38" s="91"/>
      <c r="T38" s="91"/>
      <c r="U38" s="91"/>
      <c r="V38" s="91"/>
      <c r="W38" s="91"/>
      <c r="X38" s="91"/>
      <c r="Y38" s="91"/>
      <c r="Z38" s="91"/>
      <c r="AA38" s="91"/>
      <c r="AB38" s="91"/>
      <c r="AC38" s="87">
        <f t="shared" si="36"/>
        <v>0</v>
      </c>
      <c r="AD38" s="92"/>
      <c r="AE38" s="92"/>
      <c r="AF38" s="1383"/>
      <c r="AG38" s="92"/>
      <c r="AH38" s="92"/>
      <c r="AI38" s="92"/>
      <c r="AJ38" s="92"/>
      <c r="AK38" s="92"/>
      <c r="AL38" s="92"/>
      <c r="AM38" s="92"/>
      <c r="AN38" s="92"/>
      <c r="AO38" s="92"/>
      <c r="AP38" s="92"/>
      <c r="AQ38" s="92"/>
      <c r="AR38" s="92"/>
      <c r="AS38" s="92"/>
      <c r="AT38" s="93"/>
      <c r="AU38" s="94"/>
      <c r="AV38" s="1954">
        <f t="shared" si="37"/>
        <v>0</v>
      </c>
      <c r="AW38" s="1954">
        <f t="shared" si="38"/>
        <v>0</v>
      </c>
      <c r="AX38" s="195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0"/>
      <c r="C39" s="1381"/>
      <c r="D39" s="80"/>
      <c r="E39" s="87">
        <f t="shared" si="33"/>
        <v>0</v>
      </c>
      <c r="F39" s="88"/>
      <c r="G39" s="89">
        <f t="shared" si="34"/>
        <v>0</v>
      </c>
      <c r="H39" s="90">
        <f t="shared" si="35"/>
        <v>0</v>
      </c>
      <c r="I39" s="1383"/>
      <c r="J39" s="91"/>
      <c r="K39" s="1383"/>
      <c r="L39" s="91"/>
      <c r="M39" s="91"/>
      <c r="N39" s="91"/>
      <c r="O39" s="91"/>
      <c r="P39" s="91"/>
      <c r="Q39" s="91"/>
      <c r="R39" s="91"/>
      <c r="S39" s="91"/>
      <c r="T39" s="91"/>
      <c r="U39" s="91"/>
      <c r="V39" s="91"/>
      <c r="W39" s="91"/>
      <c r="X39" s="91"/>
      <c r="Y39" s="91"/>
      <c r="Z39" s="91"/>
      <c r="AA39" s="91"/>
      <c r="AB39" s="91"/>
      <c r="AC39" s="87">
        <f t="shared" si="36"/>
        <v>0</v>
      </c>
      <c r="AD39" s="92"/>
      <c r="AE39" s="92"/>
      <c r="AF39" s="1383"/>
      <c r="AG39" s="92"/>
      <c r="AH39" s="92"/>
      <c r="AI39" s="92"/>
      <c r="AJ39" s="92"/>
      <c r="AK39" s="92"/>
      <c r="AL39" s="92"/>
      <c r="AM39" s="92"/>
      <c r="AN39" s="92"/>
      <c r="AO39" s="92"/>
      <c r="AP39" s="92"/>
      <c r="AQ39" s="92"/>
      <c r="AR39" s="92"/>
      <c r="AS39" s="92"/>
      <c r="AT39" s="93"/>
      <c r="AU39" s="94"/>
      <c r="AV39" s="1954">
        <f t="shared" si="37"/>
        <v>0</v>
      </c>
      <c r="AW39" s="1954">
        <f t="shared" si="38"/>
        <v>0</v>
      </c>
      <c r="AX39" s="195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0"/>
      <c r="C40" s="1381"/>
      <c r="D40" s="80"/>
      <c r="E40" s="87">
        <f t="shared" si="33"/>
        <v>0</v>
      </c>
      <c r="F40" s="88"/>
      <c r="G40" s="89">
        <f t="shared" si="34"/>
        <v>0</v>
      </c>
      <c r="H40" s="90">
        <f t="shared" si="35"/>
        <v>0</v>
      </c>
      <c r="I40" s="1383"/>
      <c r="J40" s="91"/>
      <c r="K40" s="1383"/>
      <c r="L40" s="91"/>
      <c r="M40" s="91"/>
      <c r="N40" s="91"/>
      <c r="O40" s="91"/>
      <c r="P40" s="91"/>
      <c r="Q40" s="91"/>
      <c r="R40" s="91"/>
      <c r="S40" s="91"/>
      <c r="T40" s="91"/>
      <c r="U40" s="91"/>
      <c r="V40" s="91"/>
      <c r="W40" s="91"/>
      <c r="X40" s="91"/>
      <c r="Y40" s="91"/>
      <c r="Z40" s="91"/>
      <c r="AA40" s="91"/>
      <c r="AB40" s="91"/>
      <c r="AC40" s="87">
        <f t="shared" si="36"/>
        <v>0</v>
      </c>
      <c r="AD40" s="92"/>
      <c r="AE40" s="92"/>
      <c r="AF40" s="1383"/>
      <c r="AG40" s="92"/>
      <c r="AH40" s="92"/>
      <c r="AI40" s="92"/>
      <c r="AJ40" s="92"/>
      <c r="AK40" s="92"/>
      <c r="AL40" s="92"/>
      <c r="AM40" s="92"/>
      <c r="AN40" s="92"/>
      <c r="AO40" s="92"/>
      <c r="AP40" s="92"/>
      <c r="AQ40" s="92"/>
      <c r="AR40" s="92"/>
      <c r="AS40" s="92"/>
      <c r="AT40" s="93"/>
      <c r="AU40" s="94"/>
      <c r="AV40" s="1954">
        <f t="shared" si="37"/>
        <v>0</v>
      </c>
      <c r="AW40" s="1954">
        <f t="shared" si="38"/>
        <v>0</v>
      </c>
      <c r="AX40" s="195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0"/>
      <c r="C41" s="1381"/>
      <c r="D41" s="80"/>
      <c r="E41" s="87">
        <f t="shared" si="33"/>
        <v>0</v>
      </c>
      <c r="F41" s="88"/>
      <c r="G41" s="89">
        <f t="shared" si="34"/>
        <v>0</v>
      </c>
      <c r="H41" s="90">
        <f t="shared" si="35"/>
        <v>0</v>
      </c>
      <c r="I41" s="1383"/>
      <c r="J41" s="91"/>
      <c r="K41" s="1383"/>
      <c r="L41" s="91"/>
      <c r="M41" s="91"/>
      <c r="N41" s="91"/>
      <c r="O41" s="91"/>
      <c r="P41" s="91"/>
      <c r="Q41" s="91"/>
      <c r="R41" s="91"/>
      <c r="S41" s="91"/>
      <c r="T41" s="91"/>
      <c r="U41" s="91"/>
      <c r="V41" s="91"/>
      <c r="W41" s="91"/>
      <c r="X41" s="91"/>
      <c r="Y41" s="91"/>
      <c r="Z41" s="91"/>
      <c r="AA41" s="91"/>
      <c r="AB41" s="91"/>
      <c r="AC41" s="87">
        <f t="shared" si="36"/>
        <v>0</v>
      </c>
      <c r="AD41" s="92"/>
      <c r="AE41" s="92"/>
      <c r="AF41" s="1383"/>
      <c r="AG41" s="92"/>
      <c r="AH41" s="92"/>
      <c r="AI41" s="92"/>
      <c r="AJ41" s="92"/>
      <c r="AK41" s="92"/>
      <c r="AL41" s="92"/>
      <c r="AM41" s="92"/>
      <c r="AN41" s="92"/>
      <c r="AO41" s="92"/>
      <c r="AP41" s="92"/>
      <c r="AQ41" s="92"/>
      <c r="AR41" s="92"/>
      <c r="AS41" s="92"/>
      <c r="AT41" s="93"/>
      <c r="AU41" s="94"/>
      <c r="AV41" s="1954">
        <f t="shared" si="37"/>
        <v>0</v>
      </c>
      <c r="AW41" s="1954">
        <f t="shared" si="38"/>
        <v>0</v>
      </c>
      <c r="AX41" s="195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0"/>
      <c r="C42" s="1381"/>
      <c r="D42" s="80"/>
      <c r="E42" s="87">
        <f t="shared" si="33"/>
        <v>0</v>
      </c>
      <c r="F42" s="88"/>
      <c r="G42" s="89">
        <f t="shared" si="34"/>
        <v>0</v>
      </c>
      <c r="H42" s="90">
        <f t="shared" si="35"/>
        <v>0</v>
      </c>
      <c r="I42" s="1383"/>
      <c r="J42" s="91"/>
      <c r="K42" s="1383"/>
      <c r="L42" s="91"/>
      <c r="M42" s="91"/>
      <c r="N42" s="91"/>
      <c r="O42" s="91"/>
      <c r="P42" s="91"/>
      <c r="Q42" s="91"/>
      <c r="R42" s="91"/>
      <c r="S42" s="91"/>
      <c r="T42" s="91"/>
      <c r="U42" s="91"/>
      <c r="V42" s="91"/>
      <c r="W42" s="91"/>
      <c r="X42" s="91"/>
      <c r="Y42" s="91"/>
      <c r="Z42" s="91"/>
      <c r="AA42" s="91"/>
      <c r="AB42" s="91"/>
      <c r="AC42" s="87">
        <f t="shared" si="36"/>
        <v>0</v>
      </c>
      <c r="AD42" s="92"/>
      <c r="AE42" s="92"/>
      <c r="AF42" s="1383"/>
      <c r="AG42" s="92"/>
      <c r="AH42" s="92"/>
      <c r="AI42" s="92"/>
      <c r="AJ42" s="92"/>
      <c r="AK42" s="92"/>
      <c r="AL42" s="92"/>
      <c r="AM42" s="92"/>
      <c r="AN42" s="92"/>
      <c r="AO42" s="92"/>
      <c r="AP42" s="92"/>
      <c r="AQ42" s="92"/>
      <c r="AR42" s="92"/>
      <c r="AS42" s="92"/>
      <c r="AT42" s="93"/>
      <c r="AU42" s="94"/>
      <c r="AV42" s="1954">
        <f t="shared" si="37"/>
        <v>0</v>
      </c>
      <c r="AW42" s="1954">
        <f t="shared" si="38"/>
        <v>0</v>
      </c>
      <c r="AX42" s="195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0"/>
      <c r="C43" s="1381"/>
      <c r="D43" s="80"/>
      <c r="E43" s="87">
        <f t="shared" si="33"/>
        <v>0</v>
      </c>
      <c r="F43" s="88"/>
      <c r="G43" s="89">
        <f t="shared" si="34"/>
        <v>0</v>
      </c>
      <c r="H43" s="90">
        <f t="shared" si="35"/>
        <v>0</v>
      </c>
      <c r="I43" s="1383"/>
      <c r="J43" s="91"/>
      <c r="K43" s="1383"/>
      <c r="L43" s="91"/>
      <c r="M43" s="91"/>
      <c r="N43" s="91"/>
      <c r="O43" s="91"/>
      <c r="P43" s="91"/>
      <c r="Q43" s="91"/>
      <c r="R43" s="91"/>
      <c r="S43" s="91"/>
      <c r="T43" s="91"/>
      <c r="U43" s="91"/>
      <c r="V43" s="91"/>
      <c r="W43" s="91"/>
      <c r="X43" s="91"/>
      <c r="Y43" s="91"/>
      <c r="Z43" s="91"/>
      <c r="AA43" s="91"/>
      <c r="AB43" s="91"/>
      <c r="AC43" s="87">
        <f t="shared" si="36"/>
        <v>0</v>
      </c>
      <c r="AD43" s="92"/>
      <c r="AE43" s="92"/>
      <c r="AF43" s="1383"/>
      <c r="AG43" s="92"/>
      <c r="AH43" s="92"/>
      <c r="AI43" s="92"/>
      <c r="AJ43" s="92"/>
      <c r="AK43" s="92"/>
      <c r="AL43" s="92"/>
      <c r="AM43" s="92"/>
      <c r="AN43" s="92"/>
      <c r="AO43" s="92"/>
      <c r="AP43" s="92"/>
      <c r="AQ43" s="92"/>
      <c r="AR43" s="92"/>
      <c r="AS43" s="92"/>
      <c r="AT43" s="93"/>
      <c r="AU43" s="94"/>
      <c r="AV43" s="1954">
        <f t="shared" si="37"/>
        <v>0</v>
      </c>
      <c r="AW43" s="1954">
        <f t="shared" si="38"/>
        <v>0</v>
      </c>
      <c r="AX43" s="195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0"/>
      <c r="C44" s="1381"/>
      <c r="D44" s="80"/>
      <c r="E44" s="87">
        <f t="shared" si="33"/>
        <v>0</v>
      </c>
      <c r="F44" s="88"/>
      <c r="G44" s="89">
        <f t="shared" si="34"/>
        <v>0</v>
      </c>
      <c r="H44" s="90">
        <f t="shared" si="35"/>
        <v>0</v>
      </c>
      <c r="I44" s="1383"/>
      <c r="J44" s="91"/>
      <c r="K44" s="1383"/>
      <c r="L44" s="91"/>
      <c r="M44" s="91"/>
      <c r="N44" s="91"/>
      <c r="O44" s="91"/>
      <c r="P44" s="91"/>
      <c r="Q44" s="91"/>
      <c r="R44" s="91"/>
      <c r="S44" s="91"/>
      <c r="T44" s="91"/>
      <c r="U44" s="91"/>
      <c r="V44" s="91"/>
      <c r="W44" s="91"/>
      <c r="X44" s="91"/>
      <c r="Y44" s="91"/>
      <c r="Z44" s="91"/>
      <c r="AA44" s="91"/>
      <c r="AB44" s="91"/>
      <c r="AC44" s="87">
        <f t="shared" si="36"/>
        <v>0</v>
      </c>
      <c r="AD44" s="92"/>
      <c r="AE44" s="92"/>
      <c r="AF44" s="1383"/>
      <c r="AG44" s="92"/>
      <c r="AH44" s="92"/>
      <c r="AI44" s="92"/>
      <c r="AJ44" s="92"/>
      <c r="AK44" s="92"/>
      <c r="AL44" s="92"/>
      <c r="AM44" s="92"/>
      <c r="AN44" s="92"/>
      <c r="AO44" s="92"/>
      <c r="AP44" s="92"/>
      <c r="AQ44" s="92"/>
      <c r="AR44" s="92"/>
      <c r="AS44" s="92"/>
      <c r="AT44" s="93"/>
      <c r="AU44" s="94"/>
      <c r="AV44" s="1954">
        <f t="shared" si="37"/>
        <v>0</v>
      </c>
      <c r="AW44" s="1954">
        <f t="shared" si="38"/>
        <v>0</v>
      </c>
      <c r="AX44" s="195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0"/>
      <c r="C45" s="1381"/>
      <c r="D45" s="80"/>
      <c r="E45" s="87">
        <f t="shared" si="33"/>
        <v>0</v>
      </c>
      <c r="F45" s="88"/>
      <c r="G45" s="89">
        <f t="shared" si="34"/>
        <v>0</v>
      </c>
      <c r="H45" s="90">
        <f t="shared" si="35"/>
        <v>0</v>
      </c>
      <c r="I45" s="1383"/>
      <c r="J45" s="91"/>
      <c r="K45" s="1383"/>
      <c r="L45" s="91"/>
      <c r="M45" s="91"/>
      <c r="N45" s="91"/>
      <c r="O45" s="91"/>
      <c r="P45" s="91"/>
      <c r="Q45" s="91"/>
      <c r="R45" s="91"/>
      <c r="S45" s="91"/>
      <c r="T45" s="91"/>
      <c r="U45" s="91"/>
      <c r="V45" s="91"/>
      <c r="W45" s="91"/>
      <c r="X45" s="91"/>
      <c r="Y45" s="91"/>
      <c r="Z45" s="91"/>
      <c r="AA45" s="91"/>
      <c r="AB45" s="91"/>
      <c r="AC45" s="87">
        <f t="shared" si="36"/>
        <v>0</v>
      </c>
      <c r="AD45" s="92"/>
      <c r="AE45" s="92"/>
      <c r="AF45" s="1383"/>
      <c r="AG45" s="92"/>
      <c r="AH45" s="92"/>
      <c r="AI45" s="92"/>
      <c r="AJ45" s="92"/>
      <c r="AK45" s="92"/>
      <c r="AL45" s="92"/>
      <c r="AM45" s="92"/>
      <c r="AN45" s="92"/>
      <c r="AO45" s="92"/>
      <c r="AP45" s="92"/>
      <c r="AQ45" s="92"/>
      <c r="AR45" s="92"/>
      <c r="AS45" s="92"/>
      <c r="AT45" s="93"/>
      <c r="AU45" s="94"/>
      <c r="AV45" s="1954">
        <f t="shared" si="37"/>
        <v>0</v>
      </c>
      <c r="AW45" s="1954">
        <f t="shared" si="38"/>
        <v>0</v>
      </c>
      <c r="AX45" s="195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0"/>
      <c r="C46" s="1381"/>
      <c r="D46" s="80"/>
      <c r="E46" s="87">
        <f t="shared" si="33"/>
        <v>0</v>
      </c>
      <c r="F46" s="88"/>
      <c r="G46" s="89">
        <f t="shared" si="34"/>
        <v>0</v>
      </c>
      <c r="H46" s="90">
        <f t="shared" si="35"/>
        <v>0</v>
      </c>
      <c r="I46" s="1383"/>
      <c r="J46" s="91"/>
      <c r="K46" s="1383"/>
      <c r="L46" s="91"/>
      <c r="M46" s="91"/>
      <c r="N46" s="91"/>
      <c r="O46" s="91"/>
      <c r="P46" s="91"/>
      <c r="Q46" s="91"/>
      <c r="R46" s="91"/>
      <c r="S46" s="91"/>
      <c r="T46" s="91"/>
      <c r="U46" s="91"/>
      <c r="V46" s="91"/>
      <c r="W46" s="91"/>
      <c r="X46" s="91"/>
      <c r="Y46" s="91"/>
      <c r="Z46" s="91"/>
      <c r="AA46" s="91"/>
      <c r="AB46" s="91"/>
      <c r="AC46" s="87">
        <f t="shared" si="36"/>
        <v>0</v>
      </c>
      <c r="AD46" s="92"/>
      <c r="AE46" s="92"/>
      <c r="AF46" s="1383"/>
      <c r="AG46" s="92"/>
      <c r="AH46" s="92"/>
      <c r="AI46" s="92"/>
      <c r="AJ46" s="92"/>
      <c r="AK46" s="92"/>
      <c r="AL46" s="92"/>
      <c r="AM46" s="92"/>
      <c r="AN46" s="92"/>
      <c r="AO46" s="92"/>
      <c r="AP46" s="92"/>
      <c r="AQ46" s="92"/>
      <c r="AR46" s="92"/>
      <c r="AS46" s="92"/>
      <c r="AT46" s="93"/>
      <c r="AU46" s="94"/>
      <c r="AV46" s="1954">
        <f t="shared" si="37"/>
        <v>0</v>
      </c>
      <c r="AW46" s="1954">
        <f t="shared" si="38"/>
        <v>0</v>
      </c>
      <c r="AX46" s="195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0"/>
      <c r="C47" s="1381"/>
      <c r="D47" s="80"/>
      <c r="E47" s="87">
        <f t="shared" si="33"/>
        <v>0</v>
      </c>
      <c r="F47" s="88"/>
      <c r="G47" s="89">
        <f t="shared" si="34"/>
        <v>0</v>
      </c>
      <c r="H47" s="90">
        <f t="shared" si="35"/>
        <v>0</v>
      </c>
      <c r="I47" s="1383"/>
      <c r="J47" s="91"/>
      <c r="K47" s="1383"/>
      <c r="L47" s="91"/>
      <c r="M47" s="91"/>
      <c r="N47" s="91"/>
      <c r="O47" s="91"/>
      <c r="P47" s="91"/>
      <c r="Q47" s="91"/>
      <c r="R47" s="91"/>
      <c r="S47" s="91"/>
      <c r="T47" s="91"/>
      <c r="U47" s="91"/>
      <c r="V47" s="91"/>
      <c r="W47" s="91"/>
      <c r="X47" s="91"/>
      <c r="Y47" s="91"/>
      <c r="Z47" s="91"/>
      <c r="AA47" s="91"/>
      <c r="AB47" s="91"/>
      <c r="AC47" s="87">
        <f t="shared" si="36"/>
        <v>0</v>
      </c>
      <c r="AD47" s="92"/>
      <c r="AE47" s="92"/>
      <c r="AF47" s="1381"/>
      <c r="AG47" s="92"/>
      <c r="AH47" s="92"/>
      <c r="AI47" s="92"/>
      <c r="AJ47" s="92"/>
      <c r="AK47" s="92"/>
      <c r="AL47" s="92"/>
      <c r="AM47" s="92"/>
      <c r="AN47" s="92"/>
      <c r="AO47" s="92"/>
      <c r="AP47" s="92"/>
      <c r="AQ47" s="92"/>
      <c r="AR47" s="92"/>
      <c r="AS47" s="92"/>
      <c r="AT47" s="93"/>
      <c r="AU47" s="94"/>
      <c r="AV47" s="1954">
        <f t="shared" si="37"/>
        <v>0</v>
      </c>
      <c r="AW47" s="1954">
        <f t="shared" si="38"/>
        <v>0</v>
      </c>
      <c r="AX47" s="195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0"/>
      <c r="C48" s="1381"/>
      <c r="D48" s="80"/>
      <c r="E48" s="87">
        <f t="shared" si="33"/>
        <v>0</v>
      </c>
      <c r="F48" s="88"/>
      <c r="G48" s="89">
        <f t="shared" si="34"/>
        <v>0</v>
      </c>
      <c r="H48" s="90">
        <f t="shared" si="35"/>
        <v>0</v>
      </c>
      <c r="I48" s="1381"/>
      <c r="J48" s="91"/>
      <c r="K48" s="1381"/>
      <c r="L48" s="91"/>
      <c r="M48" s="91"/>
      <c r="N48" s="91"/>
      <c r="O48" s="91"/>
      <c r="P48" s="91"/>
      <c r="Q48" s="91"/>
      <c r="R48" s="91"/>
      <c r="S48" s="91"/>
      <c r="T48" s="91"/>
      <c r="U48" s="91"/>
      <c r="V48" s="91"/>
      <c r="W48" s="91"/>
      <c r="X48" s="91"/>
      <c r="Y48" s="91"/>
      <c r="Z48" s="91"/>
      <c r="AA48" s="91"/>
      <c r="AB48" s="91"/>
      <c r="AC48" s="87">
        <f t="shared" si="36"/>
        <v>0</v>
      </c>
      <c r="AD48" s="92"/>
      <c r="AE48" s="92"/>
      <c r="AF48" s="1381"/>
      <c r="AG48" s="92"/>
      <c r="AH48" s="92"/>
      <c r="AI48" s="92"/>
      <c r="AJ48" s="92"/>
      <c r="AK48" s="92"/>
      <c r="AL48" s="92"/>
      <c r="AM48" s="92"/>
      <c r="AN48" s="92"/>
      <c r="AO48" s="92"/>
      <c r="AP48" s="92"/>
      <c r="AQ48" s="92"/>
      <c r="AR48" s="92"/>
      <c r="AS48" s="92"/>
      <c r="AT48" s="93"/>
      <c r="AU48" s="94"/>
      <c r="AV48" s="1954">
        <f t="shared" si="37"/>
        <v>0</v>
      </c>
      <c r="AW48" s="1954">
        <f t="shared" si="38"/>
        <v>0</v>
      </c>
      <c r="AX48" s="195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0"/>
      <c r="C49" s="1381"/>
      <c r="D49" s="80"/>
      <c r="E49" s="87">
        <f t="shared" si="33"/>
        <v>0</v>
      </c>
      <c r="F49" s="88"/>
      <c r="G49" s="89">
        <f t="shared" si="34"/>
        <v>0</v>
      </c>
      <c r="H49" s="90">
        <f t="shared" si="35"/>
        <v>0</v>
      </c>
      <c r="I49" s="1381"/>
      <c r="J49" s="91"/>
      <c r="K49" s="1381"/>
      <c r="L49" s="91"/>
      <c r="M49" s="91"/>
      <c r="N49" s="91"/>
      <c r="O49" s="91"/>
      <c r="P49" s="91"/>
      <c r="Q49" s="91"/>
      <c r="R49" s="91"/>
      <c r="S49" s="91"/>
      <c r="T49" s="91"/>
      <c r="U49" s="91"/>
      <c r="V49" s="91"/>
      <c r="W49" s="91"/>
      <c r="X49" s="91"/>
      <c r="Y49" s="91"/>
      <c r="Z49" s="91"/>
      <c r="AA49" s="91"/>
      <c r="AB49" s="91"/>
      <c r="AC49" s="87">
        <f t="shared" si="36"/>
        <v>0</v>
      </c>
      <c r="AD49" s="92"/>
      <c r="AE49" s="92"/>
      <c r="AF49" s="1381"/>
      <c r="AG49" s="92"/>
      <c r="AH49" s="92"/>
      <c r="AI49" s="92"/>
      <c r="AJ49" s="92"/>
      <c r="AK49" s="92"/>
      <c r="AL49" s="92"/>
      <c r="AM49" s="92"/>
      <c r="AN49" s="92"/>
      <c r="AO49" s="92"/>
      <c r="AP49" s="92"/>
      <c r="AQ49" s="92"/>
      <c r="AR49" s="92"/>
      <c r="AS49" s="92"/>
      <c r="AT49" s="93"/>
      <c r="AU49" s="94"/>
      <c r="AV49" s="1954">
        <f t="shared" si="37"/>
        <v>0</v>
      </c>
      <c r="AW49" s="1954">
        <f t="shared" si="38"/>
        <v>0</v>
      </c>
      <c r="AX49" s="195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0"/>
      <c r="C50" s="1381"/>
      <c r="D50" s="80"/>
      <c r="E50" s="87">
        <f t="shared" si="33"/>
        <v>0</v>
      </c>
      <c r="F50" s="88"/>
      <c r="G50" s="89">
        <f t="shared" si="34"/>
        <v>0</v>
      </c>
      <c r="H50" s="90">
        <f t="shared" si="35"/>
        <v>0</v>
      </c>
      <c r="I50" s="1381"/>
      <c r="J50" s="91"/>
      <c r="K50" s="1381"/>
      <c r="L50" s="91"/>
      <c r="M50" s="91"/>
      <c r="N50" s="91"/>
      <c r="O50" s="91"/>
      <c r="P50" s="91"/>
      <c r="Q50" s="91"/>
      <c r="R50" s="91"/>
      <c r="S50" s="91"/>
      <c r="T50" s="91"/>
      <c r="U50" s="91"/>
      <c r="V50" s="91"/>
      <c r="W50" s="91"/>
      <c r="X50" s="91"/>
      <c r="Y50" s="91"/>
      <c r="Z50" s="91"/>
      <c r="AA50" s="91"/>
      <c r="AB50" s="91"/>
      <c r="AC50" s="87">
        <f t="shared" si="36"/>
        <v>0</v>
      </c>
      <c r="AD50" s="92"/>
      <c r="AE50" s="92"/>
      <c r="AF50" s="1381"/>
      <c r="AG50" s="92"/>
      <c r="AH50" s="92"/>
      <c r="AI50" s="92"/>
      <c r="AJ50" s="92"/>
      <c r="AK50" s="92"/>
      <c r="AL50" s="92"/>
      <c r="AM50" s="92"/>
      <c r="AN50" s="92"/>
      <c r="AO50" s="92"/>
      <c r="AP50" s="92"/>
      <c r="AQ50" s="92"/>
      <c r="AR50" s="92"/>
      <c r="AS50" s="92"/>
      <c r="AT50" s="93"/>
      <c r="AU50" s="94"/>
      <c r="AV50" s="1954">
        <f t="shared" si="37"/>
        <v>0</v>
      </c>
      <c r="AW50" s="1954">
        <f t="shared" si="38"/>
        <v>0</v>
      </c>
      <c r="AX50" s="195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0"/>
      <c r="C51" s="1381"/>
      <c r="D51" s="80"/>
      <c r="E51" s="87">
        <f t="shared" si="33"/>
        <v>0</v>
      </c>
      <c r="F51" s="88"/>
      <c r="G51" s="89">
        <f t="shared" si="34"/>
        <v>0</v>
      </c>
      <c r="H51" s="90">
        <f t="shared" si="35"/>
        <v>0</v>
      </c>
      <c r="I51" s="1381"/>
      <c r="J51" s="91"/>
      <c r="K51" s="1381"/>
      <c r="L51" s="91"/>
      <c r="M51" s="91"/>
      <c r="N51" s="91"/>
      <c r="O51" s="91"/>
      <c r="P51" s="91"/>
      <c r="Q51" s="91"/>
      <c r="R51" s="91"/>
      <c r="S51" s="91"/>
      <c r="T51" s="91"/>
      <c r="U51" s="91"/>
      <c r="V51" s="91"/>
      <c r="W51" s="91"/>
      <c r="X51" s="91"/>
      <c r="Y51" s="91"/>
      <c r="Z51" s="91"/>
      <c r="AA51" s="91"/>
      <c r="AB51" s="91"/>
      <c r="AC51" s="87">
        <f t="shared" si="36"/>
        <v>0</v>
      </c>
      <c r="AD51" s="92"/>
      <c r="AE51" s="92"/>
      <c r="AF51" s="1381"/>
      <c r="AG51" s="92"/>
      <c r="AH51" s="92"/>
      <c r="AI51" s="92"/>
      <c r="AJ51" s="92"/>
      <c r="AK51" s="92"/>
      <c r="AL51" s="92"/>
      <c r="AM51" s="92"/>
      <c r="AN51" s="92"/>
      <c r="AO51" s="92"/>
      <c r="AP51" s="92"/>
      <c r="AQ51" s="92"/>
      <c r="AR51" s="92"/>
      <c r="AS51" s="92"/>
      <c r="AT51" s="93"/>
      <c r="AU51" s="94"/>
      <c r="AV51" s="1954">
        <f t="shared" si="37"/>
        <v>0</v>
      </c>
      <c r="AW51" s="1954">
        <f t="shared" si="38"/>
        <v>0</v>
      </c>
      <c r="AX51" s="195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0"/>
      <c r="C52" s="1381"/>
      <c r="D52" s="80"/>
      <c r="E52" s="87">
        <f t="shared" si="33"/>
        <v>0</v>
      </c>
      <c r="F52" s="88"/>
      <c r="G52" s="89">
        <f t="shared" si="34"/>
        <v>0</v>
      </c>
      <c r="H52" s="90">
        <f t="shared" si="35"/>
        <v>0</v>
      </c>
      <c r="I52" s="1381"/>
      <c r="J52" s="91"/>
      <c r="K52" s="1381"/>
      <c r="L52" s="91"/>
      <c r="M52" s="91"/>
      <c r="N52" s="91"/>
      <c r="O52" s="91"/>
      <c r="P52" s="91"/>
      <c r="Q52" s="91"/>
      <c r="R52" s="91"/>
      <c r="S52" s="91"/>
      <c r="T52" s="91"/>
      <c r="U52" s="91"/>
      <c r="V52" s="91"/>
      <c r="W52" s="91"/>
      <c r="X52" s="91"/>
      <c r="Y52" s="91"/>
      <c r="Z52" s="91"/>
      <c r="AA52" s="91"/>
      <c r="AB52" s="91"/>
      <c r="AC52" s="87">
        <f t="shared" si="36"/>
        <v>0</v>
      </c>
      <c r="AD52" s="92"/>
      <c r="AE52" s="92"/>
      <c r="AF52" s="1381"/>
      <c r="AG52" s="92"/>
      <c r="AH52" s="92"/>
      <c r="AI52" s="92"/>
      <c r="AJ52" s="92"/>
      <c r="AK52" s="92"/>
      <c r="AL52" s="92"/>
      <c r="AM52" s="92"/>
      <c r="AN52" s="92"/>
      <c r="AO52" s="92"/>
      <c r="AP52" s="92"/>
      <c r="AQ52" s="92"/>
      <c r="AR52" s="92"/>
      <c r="AS52" s="92"/>
      <c r="AT52" s="93"/>
      <c r="AU52" s="94"/>
      <c r="AV52" s="1954">
        <f t="shared" si="37"/>
        <v>0</v>
      </c>
      <c r="AW52" s="1954">
        <f t="shared" si="38"/>
        <v>0</v>
      </c>
      <c r="AX52" s="195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0"/>
      <c r="C53" s="1381"/>
      <c r="D53" s="80"/>
      <c r="E53" s="87">
        <f t="shared" si="33"/>
        <v>0</v>
      </c>
      <c r="F53" s="88"/>
      <c r="G53" s="89">
        <f t="shared" si="34"/>
        <v>0</v>
      </c>
      <c r="H53" s="90">
        <f t="shared" si="35"/>
        <v>0</v>
      </c>
      <c r="I53" s="1381"/>
      <c r="J53" s="91"/>
      <c r="K53" s="1381"/>
      <c r="L53" s="91"/>
      <c r="M53" s="91"/>
      <c r="N53" s="91"/>
      <c r="O53" s="91"/>
      <c r="P53" s="91"/>
      <c r="Q53" s="91"/>
      <c r="R53" s="91"/>
      <c r="S53" s="91"/>
      <c r="T53" s="91"/>
      <c r="U53" s="91"/>
      <c r="V53" s="91"/>
      <c r="W53" s="91"/>
      <c r="X53" s="91"/>
      <c r="Y53" s="91"/>
      <c r="Z53" s="91"/>
      <c r="AA53" s="91"/>
      <c r="AB53" s="91"/>
      <c r="AC53" s="87">
        <f t="shared" si="36"/>
        <v>0</v>
      </c>
      <c r="AD53" s="92"/>
      <c r="AE53" s="92"/>
      <c r="AF53" s="1381"/>
      <c r="AG53" s="92"/>
      <c r="AH53" s="92"/>
      <c r="AI53" s="92"/>
      <c r="AJ53" s="92"/>
      <c r="AK53" s="92"/>
      <c r="AL53" s="92"/>
      <c r="AM53" s="92"/>
      <c r="AN53" s="92"/>
      <c r="AO53" s="92"/>
      <c r="AP53" s="92"/>
      <c r="AQ53" s="92"/>
      <c r="AR53" s="92"/>
      <c r="AS53" s="92"/>
      <c r="AT53" s="93"/>
      <c r="AU53" s="94"/>
      <c r="AV53" s="1954">
        <f t="shared" si="37"/>
        <v>0</v>
      </c>
      <c r="AW53" s="1954">
        <f t="shared" si="38"/>
        <v>0</v>
      </c>
      <c r="AX53" s="195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0"/>
      <c r="C54" s="1381"/>
      <c r="D54" s="80"/>
      <c r="E54" s="87">
        <f t="shared" si="33"/>
        <v>0</v>
      </c>
      <c r="F54" s="88"/>
      <c r="G54" s="89">
        <f t="shared" si="34"/>
        <v>0</v>
      </c>
      <c r="H54" s="90">
        <f t="shared" si="35"/>
        <v>0</v>
      </c>
      <c r="I54" s="1381"/>
      <c r="J54" s="91"/>
      <c r="K54" s="1381"/>
      <c r="L54" s="91"/>
      <c r="M54" s="91"/>
      <c r="N54" s="91"/>
      <c r="O54" s="91"/>
      <c r="P54" s="91"/>
      <c r="Q54" s="91"/>
      <c r="R54" s="91"/>
      <c r="S54" s="91"/>
      <c r="T54" s="91"/>
      <c r="U54" s="91"/>
      <c r="V54" s="91"/>
      <c r="W54" s="91"/>
      <c r="X54" s="91"/>
      <c r="Y54" s="91"/>
      <c r="Z54" s="91"/>
      <c r="AA54" s="91"/>
      <c r="AB54" s="91"/>
      <c r="AC54" s="87">
        <f t="shared" si="36"/>
        <v>0</v>
      </c>
      <c r="AD54" s="92"/>
      <c r="AE54" s="92"/>
      <c r="AF54" s="1381"/>
      <c r="AG54" s="92"/>
      <c r="AH54" s="92"/>
      <c r="AI54" s="92"/>
      <c r="AJ54" s="92"/>
      <c r="AK54" s="92"/>
      <c r="AL54" s="92"/>
      <c r="AM54" s="92"/>
      <c r="AN54" s="92"/>
      <c r="AO54" s="92"/>
      <c r="AP54" s="92"/>
      <c r="AQ54" s="92"/>
      <c r="AR54" s="92"/>
      <c r="AS54" s="92"/>
      <c r="AT54" s="93"/>
      <c r="AU54" s="94"/>
      <c r="AV54" s="1954">
        <f t="shared" si="37"/>
        <v>0</v>
      </c>
      <c r="AW54" s="1954">
        <f t="shared" si="38"/>
        <v>0</v>
      </c>
      <c r="AX54" s="195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2"/>
      <c r="C55" s="1383"/>
      <c r="D55" s="80"/>
      <c r="E55" s="87">
        <f t="shared" si="33"/>
        <v>0</v>
      </c>
      <c r="F55" s="88"/>
      <c r="G55" s="89">
        <f t="shared" si="34"/>
        <v>0</v>
      </c>
      <c r="H55" s="90">
        <f t="shared" si="35"/>
        <v>0</v>
      </c>
      <c r="I55" s="1381"/>
      <c r="J55" s="91"/>
      <c r="K55" s="1381"/>
      <c r="L55" s="91"/>
      <c r="M55" s="1381"/>
      <c r="N55" s="91"/>
      <c r="O55" s="91"/>
      <c r="P55" s="91"/>
      <c r="Q55" s="91"/>
      <c r="R55" s="91"/>
      <c r="S55" s="91"/>
      <c r="T55" s="91"/>
      <c r="U55" s="91"/>
      <c r="V55" s="91"/>
      <c r="W55" s="91"/>
      <c r="X55" s="91"/>
      <c r="Y55" s="91"/>
      <c r="Z55" s="91"/>
      <c r="AA55" s="91"/>
      <c r="AB55" s="91"/>
      <c r="AC55" s="87">
        <f t="shared" si="36"/>
        <v>0</v>
      </c>
      <c r="AD55" s="92"/>
      <c r="AE55" s="92"/>
      <c r="AF55" s="1381"/>
      <c r="AG55" s="92"/>
      <c r="AH55" s="92"/>
      <c r="AI55" s="92"/>
      <c r="AJ55" s="92"/>
      <c r="AK55" s="92"/>
      <c r="AL55" s="92"/>
      <c r="AM55" s="92"/>
      <c r="AN55" s="92"/>
      <c r="AO55" s="92"/>
      <c r="AP55" s="92"/>
      <c r="AQ55" s="92"/>
      <c r="AR55" s="92"/>
      <c r="AS55" s="92"/>
      <c r="AT55" s="93"/>
      <c r="AU55" s="94"/>
      <c r="AV55" s="1954">
        <f t="shared" si="37"/>
        <v>0</v>
      </c>
      <c r="AW55" s="1954">
        <f t="shared" si="38"/>
        <v>0</v>
      </c>
      <c r="AX55" s="195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4">
        <f t="shared" si="37"/>
        <v>0</v>
      </c>
      <c r="AW56" s="1954">
        <f t="shared" si="38"/>
        <v>0</v>
      </c>
      <c r="AX56" s="195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4">
        <f t="shared" si="37"/>
        <v>0</v>
      </c>
      <c r="AW57" s="1954">
        <f t="shared" si="38"/>
        <v>0</v>
      </c>
      <c r="AX57" s="195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4">
        <f t="shared" si="37"/>
        <v>0</v>
      </c>
      <c r="AW58" s="1954">
        <f t="shared" si="38"/>
        <v>0</v>
      </c>
      <c r="AX58" s="195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4">
        <f t="shared" si="37"/>
        <v>0</v>
      </c>
      <c r="AW59" s="1954">
        <f t="shared" si="38"/>
        <v>0</v>
      </c>
      <c r="AX59" s="195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4">
        <f t="shared" si="37"/>
        <v>0</v>
      </c>
      <c r="AW60" s="1954">
        <f t="shared" si="38"/>
        <v>0</v>
      </c>
      <c r="AX60" s="195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4">
        <f t="shared" si="37"/>
        <v>0</v>
      </c>
      <c r="AW61" s="1954">
        <f t="shared" si="38"/>
        <v>0</v>
      </c>
      <c r="AX61" s="195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4">
        <f t="shared" si="37"/>
        <v>0</v>
      </c>
      <c r="AW62" s="1954">
        <f t="shared" si="38"/>
        <v>0</v>
      </c>
      <c r="AX62" s="195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4">
        <f t="shared" si="37"/>
        <v>0</v>
      </c>
      <c r="AW63" s="1954">
        <f t="shared" si="38"/>
        <v>0</v>
      </c>
      <c r="AX63" s="195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4">
        <f t="shared" si="37"/>
        <v>0</v>
      </c>
      <c r="AW64" s="1954">
        <f t="shared" si="38"/>
        <v>0</v>
      </c>
      <c r="AX64" s="195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4">
        <f t="shared" si="37"/>
        <v>0</v>
      </c>
      <c r="AW65" s="1954">
        <f t="shared" si="38"/>
        <v>0</v>
      </c>
      <c r="AX65" s="195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4">
        <f t="shared" si="37"/>
        <v>0</v>
      </c>
      <c r="AW66" s="1954">
        <f t="shared" si="38"/>
        <v>0</v>
      </c>
      <c r="AX66" s="195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4">
        <f t="shared" si="37"/>
        <v>0</v>
      </c>
      <c r="AW67" s="1954">
        <f t="shared" si="38"/>
        <v>0</v>
      </c>
      <c r="AX67" s="195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4">
        <f t="shared" si="37"/>
        <v>0</v>
      </c>
      <c r="AW68" s="1954">
        <f t="shared" si="38"/>
        <v>0</v>
      </c>
      <c r="AX68" s="195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4">
        <f t="shared" si="37"/>
        <v>0</v>
      </c>
      <c r="AW69" s="1954">
        <f t="shared" si="38"/>
        <v>0</v>
      </c>
      <c r="AX69" s="195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4">
        <f t="shared" si="37"/>
        <v>0</v>
      </c>
      <c r="AW70" s="1954">
        <f t="shared" si="38"/>
        <v>0</v>
      </c>
      <c r="AX70" s="195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4">
        <f t="shared" si="37"/>
        <v>0</v>
      </c>
      <c r="AW71" s="1954">
        <f t="shared" si="38"/>
        <v>0</v>
      </c>
      <c r="AX71" s="195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4">
        <f t="shared" si="37"/>
        <v>0</v>
      </c>
      <c r="AW72" s="1954">
        <f t="shared" si="38"/>
        <v>0</v>
      </c>
      <c r="AX72" s="195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4">
        <f t="shared" si="37"/>
        <v>0</v>
      </c>
      <c r="AW73" s="1954">
        <f t="shared" si="38"/>
        <v>0</v>
      </c>
      <c r="AX73" s="195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4">
        <f t="shared" si="37"/>
        <v>0</v>
      </c>
      <c r="AW74" s="1954">
        <f t="shared" si="38"/>
        <v>0</v>
      </c>
      <c r="AX74" s="195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4">
        <f t="shared" si="37"/>
        <v>0</v>
      </c>
      <c r="AW75" s="1954">
        <f t="shared" si="38"/>
        <v>0</v>
      </c>
      <c r="AX75" s="195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4">
        <f t="shared" si="37"/>
        <v>0</v>
      </c>
      <c r="AW76" s="1954">
        <f t="shared" si="38"/>
        <v>0</v>
      </c>
      <c r="AX76" s="195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4">
        <f t="shared" si="37"/>
        <v>0</v>
      </c>
      <c r="AW77" s="1954">
        <f t="shared" si="38"/>
        <v>0</v>
      </c>
      <c r="AX77" s="195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4">
        <f t="shared" si="37"/>
        <v>0</v>
      </c>
      <c r="AW78" s="1954">
        <f t="shared" si="38"/>
        <v>0</v>
      </c>
      <c r="AX78" s="195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4">
        <f t="shared" si="37"/>
        <v>0</v>
      </c>
      <c r="AW79" s="1954">
        <f t="shared" si="38"/>
        <v>0</v>
      </c>
      <c r="AX79" s="195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4">
        <f t="shared" si="37"/>
        <v>0</v>
      </c>
      <c r="AW80" s="1954">
        <f t="shared" si="38"/>
        <v>0</v>
      </c>
      <c r="AX80" s="195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4">
        <f t="shared" si="37"/>
        <v>0</v>
      </c>
      <c r="AW81" s="1954">
        <f t="shared" si="38"/>
        <v>0</v>
      </c>
      <c r="AX81" s="195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4">
        <f t="shared" si="37"/>
        <v>0</v>
      </c>
      <c r="AW82" s="1954">
        <f t="shared" si="38"/>
        <v>0</v>
      </c>
      <c r="AX82" s="195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4">
        <f t="shared" si="37"/>
        <v>0</v>
      </c>
      <c r="AW83" s="1954">
        <f t="shared" si="38"/>
        <v>0</v>
      </c>
      <c r="AX83" s="195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4">
        <f t="shared" si="37"/>
        <v>0</v>
      </c>
      <c r="AW84" s="1954">
        <f t="shared" si="38"/>
        <v>0</v>
      </c>
      <c r="AX84" s="195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4">
        <f t="shared" si="37"/>
        <v>0</v>
      </c>
      <c r="AW85" s="1954">
        <f t="shared" si="38"/>
        <v>0</v>
      </c>
      <c r="AX85" s="195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4">
        <f t="shared" si="37"/>
        <v>0</v>
      </c>
      <c r="AW86" s="1954">
        <f t="shared" si="38"/>
        <v>0</v>
      </c>
      <c r="AX86" s="195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4">
        <f t="shared" si="37"/>
        <v>0</v>
      </c>
      <c r="AW87" s="1954">
        <f t="shared" si="38"/>
        <v>0</v>
      </c>
      <c r="AX87" s="195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4">
        <f t="shared" si="37"/>
        <v>0</v>
      </c>
      <c r="AW88" s="1954">
        <f t="shared" si="38"/>
        <v>0</v>
      </c>
      <c r="AX88" s="195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4">
        <f t="shared" si="37"/>
        <v>0</v>
      </c>
      <c r="AW89" s="1954">
        <f t="shared" si="38"/>
        <v>0</v>
      </c>
      <c r="AX89" s="195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4">
        <f t="shared" si="37"/>
        <v>0</v>
      </c>
      <c r="AW90" s="1954">
        <f t="shared" si="38"/>
        <v>0</v>
      </c>
      <c r="AX90" s="195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4">
        <f t="shared" si="37"/>
        <v>0</v>
      </c>
      <c r="AW91" s="1954">
        <f t="shared" si="38"/>
        <v>0</v>
      </c>
      <c r="AX91" s="195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4">
        <f t="shared" si="37"/>
        <v>0</v>
      </c>
      <c r="AW92" s="1954">
        <f t="shared" si="38"/>
        <v>0</v>
      </c>
      <c r="AX92" s="195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4">
        <f t="shared" si="37"/>
        <v>0</v>
      </c>
      <c r="AW93" s="1954">
        <f t="shared" si="38"/>
        <v>0</v>
      </c>
      <c r="AX93" s="195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4">
        <f t="shared" si="37"/>
        <v>0</v>
      </c>
      <c r="AW94" s="1954">
        <f t="shared" si="38"/>
        <v>0</v>
      </c>
      <c r="AX94" s="195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4">
        <f t="shared" si="37"/>
        <v>0</v>
      </c>
      <c r="AW95" s="1954">
        <f t="shared" si="38"/>
        <v>0</v>
      </c>
      <c r="AX95" s="195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4">
        <f t="shared" si="37"/>
        <v>0</v>
      </c>
      <c r="AW96" s="1954">
        <f t="shared" si="38"/>
        <v>0</v>
      </c>
      <c r="AX96" s="195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4">
        <f t="shared" si="37"/>
        <v>0</v>
      </c>
      <c r="AW97" s="1954">
        <f t="shared" si="38"/>
        <v>0</v>
      </c>
      <c r="AX97" s="195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4">
        <f t="shared" si="37"/>
        <v>0</v>
      </c>
      <c r="AW98" s="1954">
        <f t="shared" si="38"/>
        <v>0</v>
      </c>
      <c r="AX98" s="195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4">
        <f t="shared" si="37"/>
        <v>0</v>
      </c>
      <c r="AW99" s="1954">
        <f t="shared" si="38"/>
        <v>0</v>
      </c>
      <c r="AX99" s="195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4">
        <f t="shared" si="37"/>
        <v>0</v>
      </c>
      <c r="AW100" s="1954">
        <f t="shared" si="38"/>
        <v>0</v>
      </c>
      <c r="AX100" s="195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4">
        <f t="shared" si="37"/>
        <v>0</v>
      </c>
      <c r="AW101" s="1954">
        <f t="shared" si="38"/>
        <v>0</v>
      </c>
      <c r="AX101" s="195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4">
        <f t="shared" si="37"/>
        <v>0</v>
      </c>
      <c r="AW102" s="1954">
        <f t="shared" si="38"/>
        <v>0</v>
      </c>
      <c r="AX102" s="195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4">
        <f t="shared" si="37"/>
        <v>0</v>
      </c>
      <c r="AW103" s="1954">
        <f t="shared" si="38"/>
        <v>0</v>
      </c>
      <c r="AX103" s="195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4">
        <f t="shared" si="37"/>
        <v>0</v>
      </c>
      <c r="AW104" s="1954">
        <f t="shared" si="38"/>
        <v>0</v>
      </c>
      <c r="AX104" s="195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4">
        <f t="shared" si="37"/>
        <v>0</v>
      </c>
      <c r="AW105" s="1954">
        <f t="shared" si="38"/>
        <v>0</v>
      </c>
      <c r="AX105" s="195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4">
        <f t="shared" si="37"/>
        <v>0</v>
      </c>
      <c r="AW106" s="1954">
        <f t="shared" si="38"/>
        <v>0</v>
      </c>
      <c r="AX106" s="195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4">
        <f t="shared" si="37"/>
        <v>0</v>
      </c>
      <c r="AW107" s="1954">
        <f t="shared" si="38"/>
        <v>0</v>
      </c>
      <c r="AX107" s="195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4">
        <f t="shared" si="37"/>
        <v>0</v>
      </c>
      <c r="AW108" s="1954">
        <f t="shared" si="38"/>
        <v>0</v>
      </c>
      <c r="AX108" s="195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4">
        <f t="shared" si="37"/>
        <v>0</v>
      </c>
      <c r="AW109" s="1954">
        <f t="shared" si="38"/>
        <v>0</v>
      </c>
      <c r="AX109" s="195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4">
        <f t="shared" si="37"/>
        <v>0</v>
      </c>
      <c r="AW110" s="1954">
        <f t="shared" si="38"/>
        <v>0</v>
      </c>
      <c r="AX110" s="195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4">
        <f t="shared" si="37"/>
        <v>0</v>
      </c>
      <c r="AW111" s="1954">
        <f t="shared" si="38"/>
        <v>0</v>
      </c>
      <c r="AX111" s="195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4">
        <f t="shared" si="37"/>
        <v>0</v>
      </c>
      <c r="AW112" s="1954">
        <f t="shared" si="38"/>
        <v>0</v>
      </c>
      <c r="AX112" s="195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0"/>
      <c r="C113" s="1381"/>
      <c r="D113" s="80"/>
      <c r="E113" s="87">
        <f t="shared" ref="E113:E144" si="87">IF($C$3="是",ROUND($A$3*G113/$B$3,2),ROUND($A$3*(G113-AT113)/$B$3,2))</f>
        <v>0</v>
      </c>
      <c r="F113" s="88"/>
      <c r="G113" s="89">
        <f t="shared" si="62"/>
        <v>0</v>
      </c>
      <c r="H113" s="90">
        <f t="shared" si="63"/>
        <v>0</v>
      </c>
      <c r="I113" s="1383"/>
      <c r="J113" s="91"/>
      <c r="K113" s="138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4"/>
      <c r="AG113" s="92"/>
      <c r="AH113" s="92"/>
      <c r="AI113" s="92"/>
      <c r="AJ113" s="92"/>
      <c r="AK113" s="92"/>
      <c r="AL113" s="92"/>
      <c r="AM113" s="92"/>
      <c r="AN113" s="1350"/>
      <c r="AO113" s="92"/>
      <c r="AP113" s="92"/>
      <c r="AQ113" s="92"/>
      <c r="AR113" s="92"/>
      <c r="AS113" s="92"/>
      <c r="AT113" s="93"/>
      <c r="AU113" s="94"/>
      <c r="AV113" s="1954">
        <f t="shared" ref="AV113:AV144" si="88">A113</f>
        <v>0</v>
      </c>
      <c r="AW113" s="1954">
        <f t="shared" ref="AW113:AW144" si="89">B113</f>
        <v>0</v>
      </c>
      <c r="AX113" s="195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0"/>
      <c r="C114" s="1381"/>
      <c r="D114" s="80"/>
      <c r="E114" s="87">
        <f t="shared" si="87"/>
        <v>0</v>
      </c>
      <c r="F114" s="88"/>
      <c r="G114" s="89">
        <f t="shared" si="62"/>
        <v>0</v>
      </c>
      <c r="H114" s="90">
        <f t="shared" si="63"/>
        <v>0</v>
      </c>
      <c r="I114" s="1383"/>
      <c r="J114" s="91"/>
      <c r="K114" s="1383"/>
      <c r="L114" s="91"/>
      <c r="M114" s="1350"/>
      <c r="N114" s="91"/>
      <c r="O114" s="91"/>
      <c r="P114" s="91"/>
      <c r="Q114" s="91"/>
      <c r="R114" s="91"/>
      <c r="S114" s="91"/>
      <c r="T114" s="91"/>
      <c r="U114" s="91"/>
      <c r="V114" s="91"/>
      <c r="W114" s="91"/>
      <c r="X114" s="91"/>
      <c r="Y114" s="91"/>
      <c r="Z114" s="91"/>
      <c r="AA114" s="91"/>
      <c r="AB114" s="91"/>
      <c r="AC114" s="87">
        <f t="shared" si="64"/>
        <v>0</v>
      </c>
      <c r="AD114" s="1350"/>
      <c r="AE114" s="92"/>
      <c r="AF114" s="1384"/>
      <c r="AG114" s="92"/>
      <c r="AH114" s="92"/>
      <c r="AI114" s="92"/>
      <c r="AJ114" s="92"/>
      <c r="AK114" s="92"/>
      <c r="AL114" s="1350"/>
      <c r="AM114" s="92"/>
      <c r="AN114" s="1350"/>
      <c r="AO114" s="92"/>
      <c r="AP114" s="92"/>
      <c r="AQ114" s="92"/>
      <c r="AR114" s="92"/>
      <c r="AS114" s="92"/>
      <c r="AT114" s="93"/>
      <c r="AU114" s="94"/>
      <c r="AV114" s="1954">
        <f t="shared" si="88"/>
        <v>0</v>
      </c>
      <c r="AW114" s="1954">
        <f t="shared" si="89"/>
        <v>0</v>
      </c>
      <c r="AX114" s="195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0"/>
      <c r="C115" s="1381"/>
      <c r="D115" s="80"/>
      <c r="E115" s="87">
        <f t="shared" si="87"/>
        <v>0</v>
      </c>
      <c r="F115" s="88"/>
      <c r="G115" s="89">
        <f t="shared" si="62"/>
        <v>0</v>
      </c>
      <c r="H115" s="90">
        <f t="shared" si="63"/>
        <v>0</v>
      </c>
      <c r="I115" s="1383"/>
      <c r="J115" s="91"/>
      <c r="K115" s="1383"/>
      <c r="L115" s="91"/>
      <c r="M115" s="1350"/>
      <c r="N115" s="91"/>
      <c r="O115" s="91"/>
      <c r="P115" s="91"/>
      <c r="Q115" s="91"/>
      <c r="R115" s="91"/>
      <c r="S115" s="91"/>
      <c r="T115" s="91"/>
      <c r="U115" s="91"/>
      <c r="V115" s="91"/>
      <c r="W115" s="91"/>
      <c r="X115" s="91"/>
      <c r="Y115" s="91"/>
      <c r="Z115" s="91"/>
      <c r="AA115" s="91"/>
      <c r="AB115" s="91"/>
      <c r="AC115" s="87">
        <f t="shared" si="64"/>
        <v>0</v>
      </c>
      <c r="AD115" s="92"/>
      <c r="AE115" s="92"/>
      <c r="AF115" s="1384"/>
      <c r="AG115" s="92"/>
      <c r="AH115" s="92"/>
      <c r="AI115" s="92"/>
      <c r="AJ115" s="92"/>
      <c r="AK115" s="92"/>
      <c r="AL115" s="1350"/>
      <c r="AM115" s="92"/>
      <c r="AN115" s="1350"/>
      <c r="AO115" s="92"/>
      <c r="AP115" s="92"/>
      <c r="AQ115" s="92"/>
      <c r="AR115" s="92"/>
      <c r="AS115" s="92"/>
      <c r="AT115" s="93"/>
      <c r="AU115" s="94"/>
      <c r="AV115" s="1954">
        <f t="shared" si="88"/>
        <v>0</v>
      </c>
      <c r="AW115" s="1954">
        <f t="shared" si="89"/>
        <v>0</v>
      </c>
      <c r="AX115" s="195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0"/>
      <c r="C116" s="1381"/>
      <c r="D116" s="80"/>
      <c r="E116" s="87">
        <f t="shared" si="87"/>
        <v>0</v>
      </c>
      <c r="F116" s="88"/>
      <c r="G116" s="89">
        <f t="shared" si="62"/>
        <v>0</v>
      </c>
      <c r="H116" s="90">
        <f t="shared" si="63"/>
        <v>0</v>
      </c>
      <c r="I116" s="1383"/>
      <c r="J116" s="91"/>
      <c r="K116" s="1383"/>
      <c r="L116" s="91"/>
      <c r="M116" s="91"/>
      <c r="N116" s="91"/>
      <c r="O116" s="1350"/>
      <c r="P116" s="91"/>
      <c r="Q116" s="91"/>
      <c r="R116" s="91"/>
      <c r="S116" s="91"/>
      <c r="T116" s="91"/>
      <c r="U116" s="91"/>
      <c r="V116" s="91"/>
      <c r="W116" s="91"/>
      <c r="X116" s="91"/>
      <c r="Y116" s="91"/>
      <c r="Z116" s="91"/>
      <c r="AA116" s="91"/>
      <c r="AB116" s="91"/>
      <c r="AC116" s="87">
        <f t="shared" si="64"/>
        <v>0</v>
      </c>
      <c r="AD116" s="92"/>
      <c r="AE116" s="92"/>
      <c r="AF116" s="1384"/>
      <c r="AG116" s="92"/>
      <c r="AH116" s="92"/>
      <c r="AI116" s="92"/>
      <c r="AJ116" s="92"/>
      <c r="AK116" s="92"/>
      <c r="AL116" s="92"/>
      <c r="AM116" s="92"/>
      <c r="AN116" s="1350"/>
      <c r="AO116" s="92"/>
      <c r="AP116" s="92"/>
      <c r="AQ116" s="92"/>
      <c r="AR116" s="92"/>
      <c r="AS116" s="92"/>
      <c r="AT116" s="93"/>
      <c r="AU116" s="94"/>
      <c r="AV116" s="1954">
        <f t="shared" si="88"/>
        <v>0</v>
      </c>
      <c r="AW116" s="1954">
        <f t="shared" si="89"/>
        <v>0</v>
      </c>
      <c r="AX116" s="195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0"/>
      <c r="C117" s="1381"/>
      <c r="D117" s="80"/>
      <c r="E117" s="87">
        <f t="shared" si="87"/>
        <v>0</v>
      </c>
      <c r="F117" s="88"/>
      <c r="G117" s="89">
        <f t="shared" si="62"/>
        <v>0</v>
      </c>
      <c r="H117" s="90">
        <f t="shared" si="63"/>
        <v>0</v>
      </c>
      <c r="I117" s="1383"/>
      <c r="J117" s="91"/>
      <c r="K117" s="138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4"/>
      <c r="AG117" s="92"/>
      <c r="AH117" s="92"/>
      <c r="AI117" s="92"/>
      <c r="AJ117" s="92"/>
      <c r="AK117" s="92"/>
      <c r="AL117" s="92"/>
      <c r="AM117" s="92"/>
      <c r="AN117" s="92"/>
      <c r="AO117" s="92"/>
      <c r="AP117" s="92"/>
      <c r="AQ117" s="92"/>
      <c r="AR117" s="92"/>
      <c r="AS117" s="92"/>
      <c r="AT117" s="93"/>
      <c r="AU117" s="94"/>
      <c r="AV117" s="1954">
        <f t="shared" si="88"/>
        <v>0</v>
      </c>
      <c r="AW117" s="1954">
        <f t="shared" si="89"/>
        <v>0</v>
      </c>
      <c r="AX117" s="195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0"/>
      <c r="C118" s="1381"/>
      <c r="D118" s="80"/>
      <c r="E118" s="87">
        <f t="shared" si="87"/>
        <v>0</v>
      </c>
      <c r="F118" s="88"/>
      <c r="G118" s="89">
        <f t="shared" si="62"/>
        <v>0</v>
      </c>
      <c r="H118" s="90">
        <f t="shared" si="63"/>
        <v>0</v>
      </c>
      <c r="I118" s="1383"/>
      <c r="J118" s="91"/>
      <c r="K118" s="138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4"/>
      <c r="AG118" s="92"/>
      <c r="AH118" s="92"/>
      <c r="AI118" s="92"/>
      <c r="AJ118" s="92"/>
      <c r="AK118" s="92"/>
      <c r="AL118" s="92"/>
      <c r="AM118" s="92"/>
      <c r="AN118" s="92"/>
      <c r="AO118" s="92"/>
      <c r="AP118" s="92"/>
      <c r="AQ118" s="92"/>
      <c r="AR118" s="92"/>
      <c r="AS118" s="92"/>
      <c r="AT118" s="93"/>
      <c r="AU118" s="94"/>
      <c r="AV118" s="1954">
        <f t="shared" si="88"/>
        <v>0</v>
      </c>
      <c r="AW118" s="1954">
        <f t="shared" si="89"/>
        <v>0</v>
      </c>
      <c r="AX118" s="195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0"/>
      <c r="C119" s="1381"/>
      <c r="D119" s="80"/>
      <c r="E119" s="87">
        <f t="shared" si="87"/>
        <v>0</v>
      </c>
      <c r="F119" s="88"/>
      <c r="G119" s="89">
        <f t="shared" si="62"/>
        <v>0</v>
      </c>
      <c r="H119" s="90">
        <f t="shared" si="63"/>
        <v>0</v>
      </c>
      <c r="I119" s="1383"/>
      <c r="J119" s="91"/>
      <c r="K119" s="138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4"/>
      <c r="AG119" s="92"/>
      <c r="AH119" s="92"/>
      <c r="AI119" s="92"/>
      <c r="AJ119" s="92"/>
      <c r="AK119" s="92"/>
      <c r="AL119" s="92"/>
      <c r="AM119" s="92"/>
      <c r="AN119" s="92"/>
      <c r="AO119" s="92"/>
      <c r="AP119" s="92"/>
      <c r="AQ119" s="92"/>
      <c r="AR119" s="92"/>
      <c r="AS119" s="92"/>
      <c r="AT119" s="93"/>
      <c r="AU119" s="94"/>
      <c r="AV119" s="1954">
        <f t="shared" si="88"/>
        <v>0</v>
      </c>
      <c r="AW119" s="1954">
        <f t="shared" si="89"/>
        <v>0</v>
      </c>
      <c r="AX119" s="195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0"/>
      <c r="C120" s="1381"/>
      <c r="D120" s="80"/>
      <c r="E120" s="87">
        <f t="shared" si="87"/>
        <v>0</v>
      </c>
      <c r="F120" s="88"/>
      <c r="G120" s="89">
        <f t="shared" si="62"/>
        <v>0</v>
      </c>
      <c r="H120" s="90">
        <f t="shared" si="63"/>
        <v>0</v>
      </c>
      <c r="I120" s="1383"/>
      <c r="J120" s="91"/>
      <c r="K120" s="138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3"/>
      <c r="AG120" s="92"/>
      <c r="AH120" s="92"/>
      <c r="AI120" s="92"/>
      <c r="AJ120" s="92"/>
      <c r="AK120" s="92"/>
      <c r="AL120" s="92"/>
      <c r="AM120" s="92"/>
      <c r="AN120" s="92"/>
      <c r="AO120" s="92"/>
      <c r="AP120" s="92"/>
      <c r="AQ120" s="92"/>
      <c r="AR120" s="92"/>
      <c r="AS120" s="92"/>
      <c r="AT120" s="93"/>
      <c r="AU120" s="94"/>
      <c r="AV120" s="1954">
        <f t="shared" si="88"/>
        <v>0</v>
      </c>
      <c r="AW120" s="1954">
        <f t="shared" si="89"/>
        <v>0</v>
      </c>
      <c r="AX120" s="195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2"/>
      <c r="C121" s="1383"/>
      <c r="D121" s="80"/>
      <c r="E121" s="87">
        <f t="shared" si="87"/>
        <v>0</v>
      </c>
      <c r="F121" s="88"/>
      <c r="G121" s="89">
        <f t="shared" si="62"/>
        <v>0</v>
      </c>
      <c r="H121" s="90">
        <f t="shared" si="63"/>
        <v>0</v>
      </c>
      <c r="I121" s="1383"/>
      <c r="J121" s="91"/>
      <c r="K121" s="138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3"/>
      <c r="AG121" s="92"/>
      <c r="AH121" s="92"/>
      <c r="AI121" s="92"/>
      <c r="AJ121" s="92"/>
      <c r="AK121" s="92"/>
      <c r="AL121" s="92"/>
      <c r="AM121" s="92"/>
      <c r="AN121" s="92"/>
      <c r="AO121" s="92"/>
      <c r="AP121" s="92"/>
      <c r="AQ121" s="92"/>
      <c r="AR121" s="92"/>
      <c r="AS121" s="92"/>
      <c r="AT121" s="93"/>
      <c r="AU121" s="94"/>
      <c r="AV121" s="1954">
        <f t="shared" si="88"/>
        <v>0</v>
      </c>
      <c r="AW121" s="1954">
        <f t="shared" si="89"/>
        <v>0</v>
      </c>
      <c r="AX121" s="195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0"/>
      <c r="C122" s="1381"/>
      <c r="D122" s="80"/>
      <c r="E122" s="87">
        <f t="shared" si="87"/>
        <v>0</v>
      </c>
      <c r="F122" s="88"/>
      <c r="G122" s="89">
        <f t="shared" si="62"/>
        <v>0</v>
      </c>
      <c r="H122" s="90">
        <f t="shared" si="63"/>
        <v>0</v>
      </c>
      <c r="I122" s="1383"/>
      <c r="J122" s="91"/>
      <c r="K122" s="138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3"/>
      <c r="AG122" s="92"/>
      <c r="AH122" s="92"/>
      <c r="AI122" s="92"/>
      <c r="AJ122" s="92"/>
      <c r="AK122" s="92"/>
      <c r="AL122" s="92"/>
      <c r="AM122" s="92"/>
      <c r="AN122" s="92"/>
      <c r="AO122" s="92"/>
      <c r="AP122" s="92"/>
      <c r="AQ122" s="92"/>
      <c r="AR122" s="92"/>
      <c r="AS122" s="92"/>
      <c r="AT122" s="93"/>
      <c r="AU122" s="94"/>
      <c r="AV122" s="1954">
        <f t="shared" si="88"/>
        <v>0</v>
      </c>
      <c r="AW122" s="1954">
        <f t="shared" si="89"/>
        <v>0</v>
      </c>
      <c r="AX122" s="195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0"/>
      <c r="C123" s="1381"/>
      <c r="D123" s="80"/>
      <c r="E123" s="87">
        <f t="shared" si="87"/>
        <v>0</v>
      </c>
      <c r="F123" s="88"/>
      <c r="G123" s="89">
        <f t="shared" si="62"/>
        <v>0</v>
      </c>
      <c r="H123" s="90">
        <f t="shared" si="63"/>
        <v>0</v>
      </c>
      <c r="I123" s="1383"/>
      <c r="J123" s="91"/>
      <c r="K123" s="138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3"/>
      <c r="AG123" s="92"/>
      <c r="AH123" s="92"/>
      <c r="AI123" s="92"/>
      <c r="AJ123" s="92"/>
      <c r="AK123" s="92"/>
      <c r="AL123" s="92"/>
      <c r="AM123" s="92"/>
      <c r="AN123" s="92"/>
      <c r="AO123" s="92"/>
      <c r="AP123" s="92"/>
      <c r="AQ123" s="92"/>
      <c r="AR123" s="92"/>
      <c r="AS123" s="92"/>
      <c r="AT123" s="93"/>
      <c r="AU123" s="94"/>
      <c r="AV123" s="1954">
        <f t="shared" si="88"/>
        <v>0</v>
      </c>
      <c r="AW123" s="1954">
        <f t="shared" si="89"/>
        <v>0</v>
      </c>
      <c r="AX123" s="195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0"/>
      <c r="C124" s="1381"/>
      <c r="D124" s="80"/>
      <c r="E124" s="87">
        <f t="shared" si="87"/>
        <v>0</v>
      </c>
      <c r="F124" s="88"/>
      <c r="G124" s="89">
        <f t="shared" si="62"/>
        <v>0</v>
      </c>
      <c r="H124" s="90">
        <f t="shared" si="63"/>
        <v>0</v>
      </c>
      <c r="I124" s="1383"/>
      <c r="J124" s="91"/>
      <c r="K124" s="138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3"/>
      <c r="AG124" s="92"/>
      <c r="AH124" s="92"/>
      <c r="AI124" s="92"/>
      <c r="AJ124" s="92"/>
      <c r="AK124" s="92"/>
      <c r="AL124" s="92"/>
      <c r="AM124" s="92"/>
      <c r="AN124" s="92"/>
      <c r="AO124" s="92"/>
      <c r="AP124" s="92"/>
      <c r="AQ124" s="92"/>
      <c r="AR124" s="92"/>
      <c r="AS124" s="92"/>
      <c r="AT124" s="93"/>
      <c r="AU124" s="94"/>
      <c r="AV124" s="1954">
        <f t="shared" si="88"/>
        <v>0</v>
      </c>
      <c r="AW124" s="1954">
        <f t="shared" si="89"/>
        <v>0</v>
      </c>
      <c r="AX124" s="195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0"/>
      <c r="C125" s="1381"/>
      <c r="D125" s="80"/>
      <c r="E125" s="87">
        <f t="shared" si="87"/>
        <v>0</v>
      </c>
      <c r="F125" s="88"/>
      <c r="G125" s="89">
        <f t="shared" si="62"/>
        <v>0</v>
      </c>
      <c r="H125" s="90">
        <f t="shared" si="63"/>
        <v>0</v>
      </c>
      <c r="I125" s="1383"/>
      <c r="J125" s="91"/>
      <c r="K125" s="138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3"/>
      <c r="AG125" s="92"/>
      <c r="AH125" s="92"/>
      <c r="AI125" s="92"/>
      <c r="AJ125" s="92"/>
      <c r="AK125" s="92"/>
      <c r="AL125" s="92"/>
      <c r="AM125" s="92"/>
      <c r="AN125" s="92"/>
      <c r="AO125" s="92"/>
      <c r="AP125" s="92"/>
      <c r="AQ125" s="92"/>
      <c r="AR125" s="92"/>
      <c r="AS125" s="92"/>
      <c r="AT125" s="93"/>
      <c r="AU125" s="94"/>
      <c r="AV125" s="1954">
        <f t="shared" si="88"/>
        <v>0</v>
      </c>
      <c r="AW125" s="1954">
        <f t="shared" si="89"/>
        <v>0</v>
      </c>
      <c r="AX125" s="195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0"/>
      <c r="C126" s="1381"/>
      <c r="D126" s="80"/>
      <c r="E126" s="87">
        <f t="shared" si="87"/>
        <v>0</v>
      </c>
      <c r="F126" s="88"/>
      <c r="G126" s="89">
        <f t="shared" si="62"/>
        <v>0</v>
      </c>
      <c r="H126" s="90">
        <f t="shared" si="63"/>
        <v>0</v>
      </c>
      <c r="I126" s="1383"/>
      <c r="J126" s="91"/>
      <c r="K126" s="138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3"/>
      <c r="AG126" s="92"/>
      <c r="AH126" s="92"/>
      <c r="AI126" s="92"/>
      <c r="AJ126" s="92"/>
      <c r="AK126" s="92"/>
      <c r="AL126" s="92"/>
      <c r="AM126" s="92"/>
      <c r="AN126" s="92"/>
      <c r="AO126" s="92"/>
      <c r="AP126" s="92"/>
      <c r="AQ126" s="92"/>
      <c r="AR126" s="92"/>
      <c r="AS126" s="92"/>
      <c r="AT126" s="93"/>
      <c r="AU126" s="94"/>
      <c r="AV126" s="1954">
        <f t="shared" si="88"/>
        <v>0</v>
      </c>
      <c r="AW126" s="1954">
        <f t="shared" si="89"/>
        <v>0</v>
      </c>
      <c r="AX126" s="195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0"/>
      <c r="C127" s="1381"/>
      <c r="D127" s="80"/>
      <c r="E127" s="87">
        <f t="shared" si="87"/>
        <v>0</v>
      </c>
      <c r="F127" s="88"/>
      <c r="G127" s="89">
        <f t="shared" si="62"/>
        <v>0</v>
      </c>
      <c r="H127" s="90">
        <f t="shared" si="63"/>
        <v>0</v>
      </c>
      <c r="I127" s="1383"/>
      <c r="J127" s="91"/>
      <c r="K127" s="138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3"/>
      <c r="AG127" s="92"/>
      <c r="AH127" s="92"/>
      <c r="AI127" s="92"/>
      <c r="AJ127" s="92"/>
      <c r="AK127" s="92"/>
      <c r="AL127" s="92"/>
      <c r="AM127" s="92"/>
      <c r="AN127" s="92"/>
      <c r="AO127" s="92"/>
      <c r="AP127" s="92"/>
      <c r="AQ127" s="92"/>
      <c r="AR127" s="92"/>
      <c r="AS127" s="92"/>
      <c r="AT127" s="93"/>
      <c r="AU127" s="94"/>
      <c r="AV127" s="1954">
        <f t="shared" si="88"/>
        <v>0</v>
      </c>
      <c r="AW127" s="1954">
        <f t="shared" si="89"/>
        <v>0</v>
      </c>
      <c r="AX127" s="195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0"/>
      <c r="C128" s="1381"/>
      <c r="D128" s="80"/>
      <c r="E128" s="87">
        <f t="shared" si="87"/>
        <v>0</v>
      </c>
      <c r="F128" s="88"/>
      <c r="G128" s="89">
        <f t="shared" si="62"/>
        <v>0</v>
      </c>
      <c r="H128" s="90">
        <f t="shared" si="63"/>
        <v>0</v>
      </c>
      <c r="I128" s="1383"/>
      <c r="J128" s="91"/>
      <c r="K128" s="138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3"/>
      <c r="AG128" s="92"/>
      <c r="AH128" s="92"/>
      <c r="AI128" s="92"/>
      <c r="AJ128" s="92"/>
      <c r="AK128" s="92"/>
      <c r="AL128" s="92"/>
      <c r="AM128" s="92"/>
      <c r="AN128" s="92"/>
      <c r="AO128" s="92"/>
      <c r="AP128" s="92"/>
      <c r="AQ128" s="92"/>
      <c r="AR128" s="92"/>
      <c r="AS128" s="92"/>
      <c r="AT128" s="93"/>
      <c r="AU128" s="94"/>
      <c r="AV128" s="1954">
        <f t="shared" si="88"/>
        <v>0</v>
      </c>
      <c r="AW128" s="1954">
        <f t="shared" si="89"/>
        <v>0</v>
      </c>
      <c r="AX128" s="195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0"/>
      <c r="C129" s="1381"/>
      <c r="D129" s="80"/>
      <c r="E129" s="87">
        <f t="shared" si="87"/>
        <v>0</v>
      </c>
      <c r="F129" s="88"/>
      <c r="G129" s="89">
        <f t="shared" si="62"/>
        <v>0</v>
      </c>
      <c r="H129" s="90">
        <f t="shared" si="63"/>
        <v>0</v>
      </c>
      <c r="I129" s="1383"/>
      <c r="J129" s="91"/>
      <c r="K129" s="138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3"/>
      <c r="AG129" s="92"/>
      <c r="AH129" s="92"/>
      <c r="AI129" s="92"/>
      <c r="AJ129" s="92"/>
      <c r="AK129" s="92"/>
      <c r="AL129" s="92"/>
      <c r="AM129" s="92"/>
      <c r="AN129" s="92"/>
      <c r="AO129" s="92"/>
      <c r="AP129" s="92"/>
      <c r="AQ129" s="92"/>
      <c r="AR129" s="92"/>
      <c r="AS129" s="92"/>
      <c r="AT129" s="93"/>
      <c r="AU129" s="94"/>
      <c r="AV129" s="1954">
        <f t="shared" si="88"/>
        <v>0</v>
      </c>
      <c r="AW129" s="1954">
        <f t="shared" si="89"/>
        <v>0</v>
      </c>
      <c r="AX129" s="195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0"/>
      <c r="C130" s="1381"/>
      <c r="D130" s="80"/>
      <c r="E130" s="87">
        <f t="shared" si="87"/>
        <v>0</v>
      </c>
      <c r="F130" s="88"/>
      <c r="G130" s="89">
        <f t="shared" si="62"/>
        <v>0</v>
      </c>
      <c r="H130" s="90">
        <f t="shared" si="63"/>
        <v>0</v>
      </c>
      <c r="I130" s="1383"/>
      <c r="J130" s="91"/>
      <c r="K130" s="138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3"/>
      <c r="AG130" s="92"/>
      <c r="AH130" s="92"/>
      <c r="AI130" s="92"/>
      <c r="AJ130" s="92"/>
      <c r="AK130" s="92"/>
      <c r="AL130" s="92"/>
      <c r="AM130" s="92"/>
      <c r="AN130" s="92"/>
      <c r="AO130" s="92"/>
      <c r="AP130" s="92"/>
      <c r="AQ130" s="92"/>
      <c r="AR130" s="92"/>
      <c r="AS130" s="92"/>
      <c r="AT130" s="93"/>
      <c r="AU130" s="94"/>
      <c r="AV130" s="1954">
        <f t="shared" si="88"/>
        <v>0</v>
      </c>
      <c r="AW130" s="1954">
        <f t="shared" si="89"/>
        <v>0</v>
      </c>
      <c r="AX130" s="195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0"/>
      <c r="C131" s="1381"/>
      <c r="D131" s="80"/>
      <c r="E131" s="87">
        <f t="shared" si="87"/>
        <v>0</v>
      </c>
      <c r="F131" s="88"/>
      <c r="G131" s="89">
        <f t="shared" si="62"/>
        <v>0</v>
      </c>
      <c r="H131" s="90">
        <f t="shared" si="63"/>
        <v>0</v>
      </c>
      <c r="I131" s="1383"/>
      <c r="J131" s="91"/>
      <c r="K131" s="138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3"/>
      <c r="AG131" s="92"/>
      <c r="AH131" s="92"/>
      <c r="AI131" s="92"/>
      <c r="AJ131" s="92"/>
      <c r="AK131" s="92"/>
      <c r="AL131" s="92"/>
      <c r="AM131" s="92"/>
      <c r="AN131" s="92"/>
      <c r="AO131" s="92"/>
      <c r="AP131" s="92"/>
      <c r="AQ131" s="92"/>
      <c r="AR131" s="92"/>
      <c r="AS131" s="92"/>
      <c r="AT131" s="93"/>
      <c r="AU131" s="94"/>
      <c r="AV131" s="1954">
        <f t="shared" si="88"/>
        <v>0</v>
      </c>
      <c r="AW131" s="1954">
        <f t="shared" si="89"/>
        <v>0</v>
      </c>
      <c r="AX131" s="195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0"/>
      <c r="C132" s="1381"/>
      <c r="D132" s="80"/>
      <c r="E132" s="87">
        <f t="shared" si="87"/>
        <v>0</v>
      </c>
      <c r="F132" s="88"/>
      <c r="G132" s="89">
        <f t="shared" si="62"/>
        <v>0</v>
      </c>
      <c r="H132" s="90">
        <f t="shared" si="63"/>
        <v>0</v>
      </c>
      <c r="I132" s="1383"/>
      <c r="J132" s="91"/>
      <c r="K132" s="138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3"/>
      <c r="AG132" s="92"/>
      <c r="AH132" s="92"/>
      <c r="AI132" s="92"/>
      <c r="AJ132" s="92"/>
      <c r="AK132" s="92"/>
      <c r="AL132" s="92"/>
      <c r="AM132" s="92"/>
      <c r="AN132" s="92"/>
      <c r="AO132" s="92"/>
      <c r="AP132" s="92"/>
      <c r="AQ132" s="92"/>
      <c r="AR132" s="92"/>
      <c r="AS132" s="92"/>
      <c r="AT132" s="93"/>
      <c r="AU132" s="94"/>
      <c r="AV132" s="1954">
        <f t="shared" si="88"/>
        <v>0</v>
      </c>
      <c r="AW132" s="1954">
        <f t="shared" si="89"/>
        <v>0</v>
      </c>
      <c r="AX132" s="195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0"/>
      <c r="C133" s="1381"/>
      <c r="D133" s="80"/>
      <c r="E133" s="87">
        <f t="shared" si="87"/>
        <v>0</v>
      </c>
      <c r="F133" s="88"/>
      <c r="G133" s="89">
        <f t="shared" si="62"/>
        <v>0</v>
      </c>
      <c r="H133" s="90">
        <f t="shared" si="63"/>
        <v>0</v>
      </c>
      <c r="I133" s="1383"/>
      <c r="J133" s="91"/>
      <c r="K133" s="138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3"/>
      <c r="AG133" s="92"/>
      <c r="AH133" s="92"/>
      <c r="AI133" s="92"/>
      <c r="AJ133" s="92"/>
      <c r="AK133" s="92"/>
      <c r="AL133" s="92"/>
      <c r="AM133" s="92"/>
      <c r="AN133" s="92"/>
      <c r="AO133" s="92"/>
      <c r="AP133" s="92"/>
      <c r="AQ133" s="92"/>
      <c r="AR133" s="92"/>
      <c r="AS133" s="92"/>
      <c r="AT133" s="93"/>
      <c r="AU133" s="94"/>
      <c r="AV133" s="1954">
        <f t="shared" si="88"/>
        <v>0</v>
      </c>
      <c r="AW133" s="1954">
        <f t="shared" si="89"/>
        <v>0</v>
      </c>
      <c r="AX133" s="195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0"/>
      <c r="C134" s="1381"/>
      <c r="D134" s="80"/>
      <c r="E134" s="87">
        <f t="shared" si="87"/>
        <v>0</v>
      </c>
      <c r="F134" s="88"/>
      <c r="G134" s="89">
        <f t="shared" si="62"/>
        <v>0</v>
      </c>
      <c r="H134" s="90">
        <f t="shared" si="63"/>
        <v>0</v>
      </c>
      <c r="I134" s="1383"/>
      <c r="J134" s="91"/>
      <c r="K134" s="138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3"/>
      <c r="AG134" s="92"/>
      <c r="AH134" s="92"/>
      <c r="AI134" s="92"/>
      <c r="AJ134" s="92"/>
      <c r="AK134" s="92"/>
      <c r="AL134" s="92"/>
      <c r="AM134" s="92"/>
      <c r="AN134" s="92"/>
      <c r="AO134" s="92"/>
      <c r="AP134" s="92"/>
      <c r="AQ134" s="92"/>
      <c r="AR134" s="92"/>
      <c r="AS134" s="92"/>
      <c r="AT134" s="93"/>
      <c r="AU134" s="94"/>
      <c r="AV134" s="1954">
        <f t="shared" si="88"/>
        <v>0</v>
      </c>
      <c r="AW134" s="1954">
        <f t="shared" si="89"/>
        <v>0</v>
      </c>
      <c r="AX134" s="195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0"/>
      <c r="C135" s="1381"/>
      <c r="D135" s="80"/>
      <c r="E135" s="87">
        <f t="shared" si="87"/>
        <v>0</v>
      </c>
      <c r="F135" s="88"/>
      <c r="G135" s="89">
        <f t="shared" si="62"/>
        <v>0</v>
      </c>
      <c r="H135" s="90">
        <f t="shared" si="63"/>
        <v>0</v>
      </c>
      <c r="I135" s="1383"/>
      <c r="J135" s="91"/>
      <c r="K135" s="138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3"/>
      <c r="AG135" s="92"/>
      <c r="AH135" s="92"/>
      <c r="AI135" s="92"/>
      <c r="AJ135" s="92"/>
      <c r="AK135" s="92"/>
      <c r="AL135" s="92"/>
      <c r="AM135" s="92"/>
      <c r="AN135" s="92"/>
      <c r="AO135" s="92"/>
      <c r="AP135" s="92"/>
      <c r="AQ135" s="92"/>
      <c r="AR135" s="92"/>
      <c r="AS135" s="92"/>
      <c r="AT135" s="93"/>
      <c r="AU135" s="94"/>
      <c r="AV135" s="1954">
        <f t="shared" si="88"/>
        <v>0</v>
      </c>
      <c r="AW135" s="1954">
        <f t="shared" si="89"/>
        <v>0</v>
      </c>
      <c r="AX135" s="195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0"/>
      <c r="C136" s="1381"/>
      <c r="D136" s="80"/>
      <c r="E136" s="87">
        <f t="shared" si="87"/>
        <v>0</v>
      </c>
      <c r="F136" s="88"/>
      <c r="G136" s="89">
        <f t="shared" si="62"/>
        <v>0</v>
      </c>
      <c r="H136" s="90">
        <f t="shared" si="63"/>
        <v>0</v>
      </c>
      <c r="I136" s="1383"/>
      <c r="J136" s="91"/>
      <c r="K136" s="138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3"/>
      <c r="AG136" s="92"/>
      <c r="AH136" s="92"/>
      <c r="AI136" s="92"/>
      <c r="AJ136" s="92"/>
      <c r="AK136" s="92"/>
      <c r="AL136" s="92"/>
      <c r="AM136" s="92"/>
      <c r="AN136" s="92"/>
      <c r="AO136" s="92"/>
      <c r="AP136" s="92"/>
      <c r="AQ136" s="92"/>
      <c r="AR136" s="92"/>
      <c r="AS136" s="92"/>
      <c r="AT136" s="93"/>
      <c r="AU136" s="94"/>
      <c r="AV136" s="1954">
        <f t="shared" si="88"/>
        <v>0</v>
      </c>
      <c r="AW136" s="1954">
        <f t="shared" si="89"/>
        <v>0</v>
      </c>
      <c r="AX136" s="195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0"/>
      <c r="C137" s="1381"/>
      <c r="D137" s="80"/>
      <c r="E137" s="87">
        <f t="shared" si="87"/>
        <v>0</v>
      </c>
      <c r="F137" s="88"/>
      <c r="G137" s="89">
        <f t="shared" si="62"/>
        <v>0</v>
      </c>
      <c r="H137" s="90">
        <f t="shared" si="63"/>
        <v>0</v>
      </c>
      <c r="I137" s="1383"/>
      <c r="J137" s="91"/>
      <c r="K137" s="138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3"/>
      <c r="AG137" s="92"/>
      <c r="AH137" s="92"/>
      <c r="AI137" s="92"/>
      <c r="AJ137" s="92"/>
      <c r="AK137" s="92"/>
      <c r="AL137" s="92"/>
      <c r="AM137" s="92"/>
      <c r="AN137" s="92"/>
      <c r="AO137" s="92"/>
      <c r="AP137" s="92"/>
      <c r="AQ137" s="92"/>
      <c r="AR137" s="92"/>
      <c r="AS137" s="92"/>
      <c r="AT137" s="93"/>
      <c r="AU137" s="94"/>
      <c r="AV137" s="1954">
        <f t="shared" si="88"/>
        <v>0</v>
      </c>
      <c r="AW137" s="1954">
        <f t="shared" si="89"/>
        <v>0</v>
      </c>
      <c r="AX137" s="195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0"/>
      <c r="C138" s="1381"/>
      <c r="D138" s="80"/>
      <c r="E138" s="87">
        <f t="shared" si="87"/>
        <v>0</v>
      </c>
      <c r="F138" s="88"/>
      <c r="G138" s="89">
        <f t="shared" si="62"/>
        <v>0</v>
      </c>
      <c r="H138" s="90">
        <f t="shared" si="63"/>
        <v>0</v>
      </c>
      <c r="I138" s="1383"/>
      <c r="J138" s="91"/>
      <c r="K138" s="138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3"/>
      <c r="AG138" s="92"/>
      <c r="AH138" s="92"/>
      <c r="AI138" s="92"/>
      <c r="AJ138" s="92"/>
      <c r="AK138" s="92"/>
      <c r="AL138" s="92"/>
      <c r="AM138" s="92"/>
      <c r="AN138" s="92"/>
      <c r="AO138" s="92"/>
      <c r="AP138" s="92"/>
      <c r="AQ138" s="92"/>
      <c r="AR138" s="92"/>
      <c r="AS138" s="92"/>
      <c r="AT138" s="93"/>
      <c r="AU138" s="94"/>
      <c r="AV138" s="1954">
        <f t="shared" si="88"/>
        <v>0</v>
      </c>
      <c r="AW138" s="1954">
        <f t="shared" si="89"/>
        <v>0</v>
      </c>
      <c r="AX138" s="195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0"/>
      <c r="C139" s="1381"/>
      <c r="D139" s="80"/>
      <c r="E139" s="87">
        <f t="shared" si="87"/>
        <v>0</v>
      </c>
      <c r="F139" s="88"/>
      <c r="G139" s="89">
        <f t="shared" si="62"/>
        <v>0</v>
      </c>
      <c r="H139" s="90">
        <f t="shared" si="63"/>
        <v>0</v>
      </c>
      <c r="I139" s="1383"/>
      <c r="J139" s="91"/>
      <c r="K139" s="138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1"/>
      <c r="AG139" s="92"/>
      <c r="AH139" s="92"/>
      <c r="AI139" s="92"/>
      <c r="AJ139" s="92"/>
      <c r="AK139" s="92"/>
      <c r="AL139" s="92"/>
      <c r="AM139" s="92"/>
      <c r="AN139" s="92"/>
      <c r="AO139" s="92"/>
      <c r="AP139" s="92"/>
      <c r="AQ139" s="92"/>
      <c r="AR139" s="92"/>
      <c r="AS139" s="92"/>
      <c r="AT139" s="93"/>
      <c r="AU139" s="94"/>
      <c r="AV139" s="1954">
        <f t="shared" si="88"/>
        <v>0</v>
      </c>
      <c r="AW139" s="1954">
        <f t="shared" si="89"/>
        <v>0</v>
      </c>
      <c r="AX139" s="195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0"/>
      <c r="C140" s="1381"/>
      <c r="D140" s="80"/>
      <c r="E140" s="87">
        <f t="shared" si="87"/>
        <v>0</v>
      </c>
      <c r="F140" s="88"/>
      <c r="G140" s="89">
        <f t="shared" si="62"/>
        <v>0</v>
      </c>
      <c r="H140" s="90">
        <f t="shared" si="63"/>
        <v>0</v>
      </c>
      <c r="I140" s="1381"/>
      <c r="J140" s="91"/>
      <c r="K140" s="138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1"/>
      <c r="AG140" s="92"/>
      <c r="AH140" s="92"/>
      <c r="AI140" s="92"/>
      <c r="AJ140" s="92"/>
      <c r="AK140" s="92"/>
      <c r="AL140" s="92"/>
      <c r="AM140" s="92"/>
      <c r="AN140" s="92"/>
      <c r="AO140" s="92"/>
      <c r="AP140" s="92"/>
      <c r="AQ140" s="92"/>
      <c r="AR140" s="92"/>
      <c r="AS140" s="92"/>
      <c r="AT140" s="93"/>
      <c r="AU140" s="94"/>
      <c r="AV140" s="1954">
        <f t="shared" si="88"/>
        <v>0</v>
      </c>
      <c r="AW140" s="1954">
        <f t="shared" si="89"/>
        <v>0</v>
      </c>
      <c r="AX140" s="195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0"/>
      <c r="C141" s="1381"/>
      <c r="D141" s="80"/>
      <c r="E141" s="87">
        <f t="shared" si="87"/>
        <v>0</v>
      </c>
      <c r="F141" s="88"/>
      <c r="G141" s="89">
        <f t="shared" si="62"/>
        <v>0</v>
      </c>
      <c r="H141" s="90">
        <f t="shared" si="63"/>
        <v>0</v>
      </c>
      <c r="I141" s="1381"/>
      <c r="J141" s="91"/>
      <c r="K141" s="138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1"/>
      <c r="AG141" s="92"/>
      <c r="AH141" s="92"/>
      <c r="AI141" s="92"/>
      <c r="AJ141" s="92"/>
      <c r="AK141" s="92"/>
      <c r="AL141" s="92"/>
      <c r="AM141" s="92"/>
      <c r="AN141" s="92"/>
      <c r="AO141" s="92"/>
      <c r="AP141" s="92"/>
      <c r="AQ141" s="92"/>
      <c r="AR141" s="92"/>
      <c r="AS141" s="92"/>
      <c r="AT141" s="93"/>
      <c r="AU141" s="94"/>
      <c r="AV141" s="1954">
        <f t="shared" si="88"/>
        <v>0</v>
      </c>
      <c r="AW141" s="1954">
        <f t="shared" si="89"/>
        <v>0</v>
      </c>
      <c r="AX141" s="195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0"/>
      <c r="C142" s="1381"/>
      <c r="D142" s="80"/>
      <c r="E142" s="87">
        <f t="shared" si="87"/>
        <v>0</v>
      </c>
      <c r="F142" s="88"/>
      <c r="G142" s="89">
        <f t="shared" ref="G142:G173" si="91">H142+AC142+AT142</f>
        <v>0</v>
      </c>
      <c r="H142" s="90">
        <f t="shared" ref="H142:H173" si="92">SUMIF(I$12:AB$12,"总值",I142:AB142)</f>
        <v>0</v>
      </c>
      <c r="I142" s="1381"/>
      <c r="J142" s="91"/>
      <c r="K142" s="138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1"/>
      <c r="AG142" s="92"/>
      <c r="AH142" s="92"/>
      <c r="AI142" s="92"/>
      <c r="AJ142" s="92"/>
      <c r="AK142" s="92"/>
      <c r="AL142" s="92"/>
      <c r="AM142" s="92"/>
      <c r="AN142" s="92"/>
      <c r="AO142" s="92"/>
      <c r="AP142" s="92"/>
      <c r="AQ142" s="92"/>
      <c r="AR142" s="92"/>
      <c r="AS142" s="92"/>
      <c r="AT142" s="93"/>
      <c r="AU142" s="94"/>
      <c r="AV142" s="1954">
        <f t="shared" si="88"/>
        <v>0</v>
      </c>
      <c r="AW142" s="1954">
        <f t="shared" si="89"/>
        <v>0</v>
      </c>
      <c r="AX142" s="195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0"/>
      <c r="C143" s="1381"/>
      <c r="D143" s="80"/>
      <c r="E143" s="87">
        <f t="shared" si="87"/>
        <v>0</v>
      </c>
      <c r="F143" s="88"/>
      <c r="G143" s="89">
        <f t="shared" si="91"/>
        <v>0</v>
      </c>
      <c r="H143" s="90">
        <f t="shared" si="92"/>
        <v>0</v>
      </c>
      <c r="I143" s="1381"/>
      <c r="J143" s="91"/>
      <c r="K143" s="138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1"/>
      <c r="AG143" s="92"/>
      <c r="AH143" s="92"/>
      <c r="AI143" s="92"/>
      <c r="AJ143" s="92"/>
      <c r="AK143" s="92"/>
      <c r="AL143" s="92"/>
      <c r="AM143" s="92"/>
      <c r="AN143" s="92"/>
      <c r="AO143" s="92"/>
      <c r="AP143" s="92"/>
      <c r="AQ143" s="92"/>
      <c r="AR143" s="92"/>
      <c r="AS143" s="92"/>
      <c r="AT143" s="93"/>
      <c r="AU143" s="94"/>
      <c r="AV143" s="1954">
        <f t="shared" si="88"/>
        <v>0</v>
      </c>
      <c r="AW143" s="1954">
        <f t="shared" si="89"/>
        <v>0</v>
      </c>
      <c r="AX143" s="195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0"/>
      <c r="C144" s="1381"/>
      <c r="D144" s="80"/>
      <c r="E144" s="87">
        <f t="shared" si="87"/>
        <v>0</v>
      </c>
      <c r="F144" s="88"/>
      <c r="G144" s="89">
        <f t="shared" si="91"/>
        <v>0</v>
      </c>
      <c r="H144" s="90">
        <f t="shared" si="92"/>
        <v>0</v>
      </c>
      <c r="I144" s="1381"/>
      <c r="J144" s="91"/>
      <c r="K144" s="138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1"/>
      <c r="AG144" s="92"/>
      <c r="AH144" s="92"/>
      <c r="AI144" s="92"/>
      <c r="AJ144" s="92"/>
      <c r="AK144" s="92"/>
      <c r="AL144" s="92"/>
      <c r="AM144" s="92"/>
      <c r="AN144" s="92"/>
      <c r="AO144" s="92"/>
      <c r="AP144" s="92"/>
      <c r="AQ144" s="92"/>
      <c r="AR144" s="92"/>
      <c r="AS144" s="92"/>
      <c r="AT144" s="93"/>
      <c r="AU144" s="94"/>
      <c r="AV144" s="1954">
        <f t="shared" si="88"/>
        <v>0</v>
      </c>
      <c r="AW144" s="1954">
        <f t="shared" si="89"/>
        <v>0</v>
      </c>
      <c r="AX144" s="195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0"/>
      <c r="C145" s="1381"/>
      <c r="D145" s="80"/>
      <c r="E145" s="87">
        <f t="shared" ref="E145:E176" si="116">IF($C$3="是",ROUND($A$3*G145/$B$3,2),ROUND($A$3*(G145-AT145)/$B$3,2))</f>
        <v>0</v>
      </c>
      <c r="F145" s="88"/>
      <c r="G145" s="89">
        <f t="shared" si="91"/>
        <v>0</v>
      </c>
      <c r="H145" s="90">
        <f t="shared" si="92"/>
        <v>0</v>
      </c>
      <c r="I145" s="1381"/>
      <c r="J145" s="91"/>
      <c r="K145" s="138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1"/>
      <c r="AG145" s="92"/>
      <c r="AH145" s="92"/>
      <c r="AI145" s="92"/>
      <c r="AJ145" s="92"/>
      <c r="AK145" s="92"/>
      <c r="AL145" s="92"/>
      <c r="AM145" s="92"/>
      <c r="AN145" s="92"/>
      <c r="AO145" s="92"/>
      <c r="AP145" s="92"/>
      <c r="AQ145" s="92"/>
      <c r="AR145" s="92"/>
      <c r="AS145" s="92"/>
      <c r="AT145" s="93"/>
      <c r="AU145" s="94"/>
      <c r="AV145" s="1954">
        <f t="shared" ref="AV145:AV176" si="117">A145</f>
        <v>0</v>
      </c>
      <c r="AW145" s="1954">
        <f t="shared" ref="AW145:AW176" si="118">B145</f>
        <v>0</v>
      </c>
      <c r="AX145" s="195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0"/>
      <c r="C146" s="1381"/>
      <c r="D146" s="80"/>
      <c r="E146" s="87">
        <f t="shared" si="116"/>
        <v>0</v>
      </c>
      <c r="F146" s="88"/>
      <c r="G146" s="89">
        <f t="shared" si="91"/>
        <v>0</v>
      </c>
      <c r="H146" s="90">
        <f t="shared" si="92"/>
        <v>0</v>
      </c>
      <c r="I146" s="1381"/>
      <c r="J146" s="91"/>
      <c r="K146" s="138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1"/>
      <c r="AG146" s="92"/>
      <c r="AH146" s="92"/>
      <c r="AI146" s="92"/>
      <c r="AJ146" s="92"/>
      <c r="AK146" s="92"/>
      <c r="AL146" s="92"/>
      <c r="AM146" s="92"/>
      <c r="AN146" s="92"/>
      <c r="AO146" s="92"/>
      <c r="AP146" s="92"/>
      <c r="AQ146" s="92"/>
      <c r="AR146" s="92"/>
      <c r="AS146" s="92"/>
      <c r="AT146" s="93"/>
      <c r="AU146" s="94"/>
      <c r="AV146" s="1954">
        <f t="shared" si="117"/>
        <v>0</v>
      </c>
      <c r="AW146" s="1954">
        <f t="shared" si="118"/>
        <v>0</v>
      </c>
      <c r="AX146" s="195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2"/>
      <c r="C147" s="1383"/>
      <c r="D147" s="80"/>
      <c r="E147" s="87">
        <f t="shared" si="116"/>
        <v>0</v>
      </c>
      <c r="F147" s="88"/>
      <c r="G147" s="89">
        <f t="shared" si="91"/>
        <v>0</v>
      </c>
      <c r="H147" s="90">
        <f t="shared" si="92"/>
        <v>0</v>
      </c>
      <c r="I147" s="1381"/>
      <c r="J147" s="91"/>
      <c r="K147" s="1381"/>
      <c r="L147" s="91"/>
      <c r="M147" s="1381"/>
      <c r="N147" s="91"/>
      <c r="O147" s="91"/>
      <c r="P147" s="91"/>
      <c r="Q147" s="91"/>
      <c r="R147" s="91"/>
      <c r="S147" s="91"/>
      <c r="T147" s="91"/>
      <c r="U147" s="91"/>
      <c r="V147" s="91"/>
      <c r="W147" s="91"/>
      <c r="X147" s="91"/>
      <c r="Y147" s="91"/>
      <c r="Z147" s="91"/>
      <c r="AA147" s="91"/>
      <c r="AB147" s="91"/>
      <c r="AC147" s="87">
        <f t="shared" si="93"/>
        <v>0</v>
      </c>
      <c r="AD147" s="92"/>
      <c r="AE147" s="92"/>
      <c r="AF147" s="1381"/>
      <c r="AG147" s="92"/>
      <c r="AH147" s="92"/>
      <c r="AI147" s="92"/>
      <c r="AJ147" s="92"/>
      <c r="AK147" s="92"/>
      <c r="AL147" s="92"/>
      <c r="AM147" s="92"/>
      <c r="AN147" s="92"/>
      <c r="AO147" s="92"/>
      <c r="AP147" s="92"/>
      <c r="AQ147" s="92"/>
      <c r="AR147" s="92"/>
      <c r="AS147" s="92"/>
      <c r="AT147" s="93"/>
      <c r="AU147" s="94"/>
      <c r="AV147" s="1954">
        <f t="shared" si="117"/>
        <v>0</v>
      </c>
      <c r="AW147" s="1954">
        <f t="shared" si="118"/>
        <v>0</v>
      </c>
      <c r="AX147" s="195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4">
        <f t="shared" si="117"/>
        <v>0</v>
      </c>
      <c r="AW148" s="1954">
        <f t="shared" si="118"/>
        <v>0</v>
      </c>
      <c r="AX148" s="195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4">
        <f t="shared" si="117"/>
        <v>0</v>
      </c>
      <c r="AW149" s="1954">
        <f t="shared" si="118"/>
        <v>0</v>
      </c>
      <c r="AX149" s="195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4">
        <f t="shared" si="117"/>
        <v>0</v>
      </c>
      <c r="AW150" s="1954">
        <f t="shared" si="118"/>
        <v>0</v>
      </c>
      <c r="AX150" s="195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4">
        <f t="shared" si="117"/>
        <v>0</v>
      </c>
      <c r="AW151" s="1954">
        <f t="shared" si="118"/>
        <v>0</v>
      </c>
      <c r="AX151" s="195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4">
        <f t="shared" si="117"/>
        <v>0</v>
      </c>
      <c r="AW152" s="1954">
        <f t="shared" si="118"/>
        <v>0</v>
      </c>
      <c r="AX152" s="195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4">
        <f t="shared" si="117"/>
        <v>0</v>
      </c>
      <c r="AW153" s="1954">
        <f t="shared" si="118"/>
        <v>0</v>
      </c>
      <c r="AX153" s="195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4">
        <f t="shared" si="117"/>
        <v>0</v>
      </c>
      <c r="AW154" s="1954">
        <f t="shared" si="118"/>
        <v>0</v>
      </c>
      <c r="AX154" s="195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4">
        <f t="shared" si="117"/>
        <v>0</v>
      </c>
      <c r="AW155" s="1954">
        <f t="shared" si="118"/>
        <v>0</v>
      </c>
      <c r="AX155" s="195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4">
        <f t="shared" si="117"/>
        <v>0</v>
      </c>
      <c r="AW156" s="1954">
        <f t="shared" si="118"/>
        <v>0</v>
      </c>
      <c r="AX156" s="195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4">
        <f t="shared" si="117"/>
        <v>0</v>
      </c>
      <c r="AW157" s="1954">
        <f t="shared" si="118"/>
        <v>0</v>
      </c>
      <c r="AX157" s="195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4">
        <f t="shared" si="117"/>
        <v>0</v>
      </c>
      <c r="AW158" s="1954">
        <f t="shared" si="118"/>
        <v>0</v>
      </c>
      <c r="AX158" s="195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4">
        <f t="shared" si="117"/>
        <v>0</v>
      </c>
      <c r="AW159" s="1954">
        <f t="shared" si="118"/>
        <v>0</v>
      </c>
      <c r="AX159" s="195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4">
        <f t="shared" si="117"/>
        <v>0</v>
      </c>
      <c r="AW160" s="1954">
        <f t="shared" si="118"/>
        <v>0</v>
      </c>
      <c r="AX160" s="195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4">
        <f t="shared" si="117"/>
        <v>0</v>
      </c>
      <c r="AW161" s="1954">
        <f t="shared" si="118"/>
        <v>0</v>
      </c>
      <c r="AX161" s="195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4">
        <f t="shared" si="117"/>
        <v>0</v>
      </c>
      <c r="AW162" s="1954">
        <f t="shared" si="118"/>
        <v>0</v>
      </c>
      <c r="AX162" s="195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4">
        <f t="shared" si="117"/>
        <v>0</v>
      </c>
      <c r="AW163" s="1954">
        <f t="shared" si="118"/>
        <v>0</v>
      </c>
      <c r="AX163" s="195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4">
        <f t="shared" si="117"/>
        <v>0</v>
      </c>
      <c r="AW164" s="1954">
        <f t="shared" si="118"/>
        <v>0</v>
      </c>
      <c r="AX164" s="195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4">
        <f t="shared" si="117"/>
        <v>0</v>
      </c>
      <c r="AW165" s="1954">
        <f t="shared" si="118"/>
        <v>0</v>
      </c>
      <c r="AX165" s="195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4">
        <f t="shared" si="117"/>
        <v>0</v>
      </c>
      <c r="AW166" s="1954">
        <f t="shared" si="118"/>
        <v>0</v>
      </c>
      <c r="AX166" s="195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4">
        <f t="shared" si="117"/>
        <v>0</v>
      </c>
      <c r="AW167" s="1954">
        <f t="shared" si="118"/>
        <v>0</v>
      </c>
      <c r="AX167" s="195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4">
        <f t="shared" si="117"/>
        <v>0</v>
      </c>
      <c r="AW168" s="1954">
        <f t="shared" si="118"/>
        <v>0</v>
      </c>
      <c r="AX168" s="195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4">
        <f t="shared" si="117"/>
        <v>0</v>
      </c>
      <c r="AW169" s="1954">
        <f t="shared" si="118"/>
        <v>0</v>
      </c>
      <c r="AX169" s="195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4">
        <f t="shared" si="117"/>
        <v>0</v>
      </c>
      <c r="AW170" s="1954">
        <f t="shared" si="118"/>
        <v>0</v>
      </c>
      <c r="AX170" s="195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4">
        <f t="shared" si="117"/>
        <v>0</v>
      </c>
      <c r="AW171" s="1954">
        <f t="shared" si="118"/>
        <v>0</v>
      </c>
      <c r="AX171" s="195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4">
        <f t="shared" si="117"/>
        <v>0</v>
      </c>
      <c r="AW172" s="1954">
        <f t="shared" si="118"/>
        <v>0</v>
      </c>
      <c r="AX172" s="195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4">
        <f t="shared" si="117"/>
        <v>0</v>
      </c>
      <c r="AW173" s="1954">
        <f t="shared" si="118"/>
        <v>0</v>
      </c>
      <c r="AX173" s="195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4">
        <f t="shared" si="117"/>
        <v>0</v>
      </c>
      <c r="AW174" s="1954">
        <f t="shared" si="118"/>
        <v>0</v>
      </c>
      <c r="AX174" s="195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4">
        <f t="shared" si="117"/>
        <v>0</v>
      </c>
      <c r="AW175" s="1954">
        <f t="shared" si="118"/>
        <v>0</v>
      </c>
      <c r="AX175" s="195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4">
        <f t="shared" si="117"/>
        <v>0</v>
      </c>
      <c r="AW176" s="1954">
        <f t="shared" si="118"/>
        <v>0</v>
      </c>
      <c r="AX176" s="195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4">
        <f t="shared" ref="AV177:AV204" si="146">A177</f>
        <v>0</v>
      </c>
      <c r="AW177" s="1954">
        <f t="shared" ref="AW177:AW204" si="147">B177</f>
        <v>0</v>
      </c>
      <c r="AX177" s="195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4">
        <f t="shared" si="146"/>
        <v>0</v>
      </c>
      <c r="AW178" s="1954">
        <f t="shared" si="147"/>
        <v>0</v>
      </c>
      <c r="AX178" s="195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4">
        <f t="shared" si="146"/>
        <v>0</v>
      </c>
      <c r="AW179" s="1954">
        <f t="shared" si="147"/>
        <v>0</v>
      </c>
      <c r="AX179" s="195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4">
        <f t="shared" si="146"/>
        <v>0</v>
      </c>
      <c r="AW180" s="1954">
        <f t="shared" si="147"/>
        <v>0</v>
      </c>
      <c r="AX180" s="195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4">
        <f t="shared" si="146"/>
        <v>0</v>
      </c>
      <c r="AW181" s="1954">
        <f t="shared" si="147"/>
        <v>0</v>
      </c>
      <c r="AX181" s="195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4">
        <f t="shared" si="146"/>
        <v>0</v>
      </c>
      <c r="AW182" s="1954">
        <f t="shared" si="147"/>
        <v>0</v>
      </c>
      <c r="AX182" s="195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4">
        <f t="shared" si="146"/>
        <v>0</v>
      </c>
      <c r="AW183" s="1954">
        <f t="shared" si="147"/>
        <v>0</v>
      </c>
      <c r="AX183" s="195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4">
        <f t="shared" si="146"/>
        <v>0</v>
      </c>
      <c r="AW184" s="1954">
        <f t="shared" si="147"/>
        <v>0</v>
      </c>
      <c r="AX184" s="195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4">
        <f t="shared" si="146"/>
        <v>0</v>
      </c>
      <c r="AW185" s="1954">
        <f t="shared" si="147"/>
        <v>0</v>
      </c>
      <c r="AX185" s="195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4">
        <f t="shared" si="146"/>
        <v>0</v>
      </c>
      <c r="AW186" s="1954">
        <f t="shared" si="147"/>
        <v>0</v>
      </c>
      <c r="AX186" s="195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4">
        <f t="shared" si="146"/>
        <v>0</v>
      </c>
      <c r="AW187" s="1954">
        <f t="shared" si="147"/>
        <v>0</v>
      </c>
      <c r="AX187" s="195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4">
        <f t="shared" si="146"/>
        <v>0</v>
      </c>
      <c r="AW188" s="1954">
        <f t="shared" si="147"/>
        <v>0</v>
      </c>
      <c r="AX188" s="195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4">
        <f t="shared" si="146"/>
        <v>0</v>
      </c>
      <c r="AW189" s="1954">
        <f t="shared" si="147"/>
        <v>0</v>
      </c>
      <c r="AX189" s="195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4">
        <f t="shared" si="146"/>
        <v>0</v>
      </c>
      <c r="AW190" s="1954">
        <f t="shared" si="147"/>
        <v>0</v>
      </c>
      <c r="AX190" s="195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4">
        <f t="shared" si="146"/>
        <v>0</v>
      </c>
      <c r="AW191" s="1954">
        <f t="shared" si="147"/>
        <v>0</v>
      </c>
      <c r="AX191" s="195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4">
        <f t="shared" si="146"/>
        <v>0</v>
      </c>
      <c r="AW192" s="1954">
        <f t="shared" si="147"/>
        <v>0</v>
      </c>
      <c r="AX192" s="195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4">
        <f t="shared" si="146"/>
        <v>0</v>
      </c>
      <c r="AW193" s="1954">
        <f t="shared" si="147"/>
        <v>0</v>
      </c>
      <c r="AX193" s="195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4">
        <f t="shared" si="146"/>
        <v>0</v>
      </c>
      <c r="AW194" s="1954">
        <f t="shared" si="147"/>
        <v>0</v>
      </c>
      <c r="AX194" s="195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4">
        <f t="shared" si="146"/>
        <v>0</v>
      </c>
      <c r="AW195" s="1954">
        <f t="shared" si="147"/>
        <v>0</v>
      </c>
      <c r="AX195" s="195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4">
        <f t="shared" si="146"/>
        <v>0</v>
      </c>
      <c r="AW196" s="1954">
        <f t="shared" si="147"/>
        <v>0</v>
      </c>
      <c r="AX196" s="195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4">
        <f t="shared" si="146"/>
        <v>0</v>
      </c>
      <c r="AW197" s="1954">
        <f t="shared" si="147"/>
        <v>0</v>
      </c>
      <c r="AX197" s="195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4">
        <f t="shared" si="146"/>
        <v>0</v>
      </c>
      <c r="AW198" s="1954">
        <f t="shared" si="147"/>
        <v>0</v>
      </c>
      <c r="AX198" s="195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4">
        <f t="shared" si="146"/>
        <v>0</v>
      </c>
      <c r="AW199" s="1954">
        <f t="shared" si="147"/>
        <v>0</v>
      </c>
      <c r="AX199" s="195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4">
        <f t="shared" si="146"/>
        <v>0</v>
      </c>
      <c r="AW200" s="1954">
        <f t="shared" si="147"/>
        <v>0</v>
      </c>
      <c r="AX200" s="195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4">
        <f t="shared" si="146"/>
        <v>0</v>
      </c>
      <c r="AW201" s="1954">
        <f t="shared" si="147"/>
        <v>0</v>
      </c>
      <c r="AX201" s="195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4">
        <f t="shared" si="146"/>
        <v>0</v>
      </c>
      <c r="AW202" s="1954">
        <f t="shared" si="147"/>
        <v>0</v>
      </c>
      <c r="AX202" s="195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4">
        <f t="shared" si="146"/>
        <v>0</v>
      </c>
      <c r="AW203" s="1954">
        <f t="shared" si="147"/>
        <v>0</v>
      </c>
      <c r="AX203" s="195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4">
        <f t="shared" si="146"/>
        <v>0</v>
      </c>
      <c r="AW204" s="1954">
        <f t="shared" si="147"/>
        <v>0</v>
      </c>
      <c r="AX204" s="195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0"/>
      <c r="C205" s="1381"/>
      <c r="D205" s="80"/>
      <c r="E205" s="87">
        <f t="shared" ref="E205:E296" si="149">IF($C$3="是",ROUND($A$3*G205/$B$3,2),ROUND($A$3*(G205-AT205)/$B$3,2))</f>
        <v>0</v>
      </c>
      <c r="F205" s="88"/>
      <c r="G205" s="89">
        <f t="shared" ref="G205:G293" si="150">H205+AC205+AT205</f>
        <v>0</v>
      </c>
      <c r="H205" s="90">
        <f t="shared" ref="H205:H293" si="151">SUMIF(I$12:AB$12,"总值",I205:AB205)</f>
        <v>0</v>
      </c>
      <c r="I205" s="1383"/>
      <c r="J205" s="91"/>
      <c r="K205" s="138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4"/>
      <c r="AG205" s="92"/>
      <c r="AH205" s="92"/>
      <c r="AI205" s="92"/>
      <c r="AJ205" s="92"/>
      <c r="AK205" s="92"/>
      <c r="AL205" s="92"/>
      <c r="AM205" s="92"/>
      <c r="AN205" s="1350"/>
      <c r="AO205" s="92"/>
      <c r="AP205" s="92"/>
      <c r="AQ205" s="92"/>
      <c r="AR205" s="92"/>
      <c r="AS205" s="92"/>
      <c r="AT205" s="93"/>
      <c r="AU205" s="94"/>
      <c r="AV205" s="1954">
        <f t="shared" ref="AV205:AV296" si="153">A205</f>
        <v>0</v>
      </c>
      <c r="AW205" s="1954">
        <f t="shared" ref="AW205:AW296" si="154">B205</f>
        <v>0</v>
      </c>
      <c r="AX205" s="195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0"/>
      <c r="C206" s="1381"/>
      <c r="D206" s="80"/>
      <c r="E206" s="87">
        <f t="shared" si="149"/>
        <v>0</v>
      </c>
      <c r="F206" s="88"/>
      <c r="G206" s="89">
        <f t="shared" si="150"/>
        <v>0</v>
      </c>
      <c r="H206" s="90">
        <f t="shared" si="151"/>
        <v>0</v>
      </c>
      <c r="I206" s="1383"/>
      <c r="J206" s="91"/>
      <c r="K206" s="1383"/>
      <c r="L206" s="91"/>
      <c r="M206" s="1350"/>
      <c r="N206" s="91"/>
      <c r="O206" s="91"/>
      <c r="P206" s="91"/>
      <c r="Q206" s="91"/>
      <c r="R206" s="91"/>
      <c r="S206" s="91"/>
      <c r="T206" s="91"/>
      <c r="U206" s="91"/>
      <c r="V206" s="91"/>
      <c r="W206" s="91"/>
      <c r="X206" s="91"/>
      <c r="Y206" s="91"/>
      <c r="Z206" s="91"/>
      <c r="AA206" s="91"/>
      <c r="AB206" s="91"/>
      <c r="AC206" s="87">
        <f t="shared" si="152"/>
        <v>0</v>
      </c>
      <c r="AD206" s="1350"/>
      <c r="AE206" s="92"/>
      <c r="AF206" s="1384"/>
      <c r="AG206" s="92"/>
      <c r="AH206" s="92"/>
      <c r="AI206" s="92"/>
      <c r="AJ206" s="92"/>
      <c r="AK206" s="92"/>
      <c r="AL206" s="1350"/>
      <c r="AM206" s="92"/>
      <c r="AN206" s="1350"/>
      <c r="AO206" s="92"/>
      <c r="AP206" s="92"/>
      <c r="AQ206" s="92"/>
      <c r="AR206" s="92"/>
      <c r="AS206" s="92"/>
      <c r="AT206" s="93"/>
      <c r="AU206" s="94"/>
      <c r="AV206" s="1954">
        <f t="shared" si="153"/>
        <v>0</v>
      </c>
      <c r="AW206" s="1954">
        <f t="shared" si="154"/>
        <v>0</v>
      </c>
      <c r="AX206" s="195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0"/>
      <c r="C207" s="1381"/>
      <c r="D207" s="80"/>
      <c r="E207" s="87">
        <f t="shared" si="149"/>
        <v>0</v>
      </c>
      <c r="F207" s="88"/>
      <c r="G207" s="89">
        <f t="shared" si="150"/>
        <v>0</v>
      </c>
      <c r="H207" s="90">
        <f t="shared" si="151"/>
        <v>0</v>
      </c>
      <c r="I207" s="1383"/>
      <c r="J207" s="91"/>
      <c r="K207" s="1383"/>
      <c r="L207" s="91"/>
      <c r="M207" s="1350"/>
      <c r="N207" s="91"/>
      <c r="O207" s="91"/>
      <c r="P207" s="91"/>
      <c r="Q207" s="91"/>
      <c r="R207" s="91"/>
      <c r="S207" s="91"/>
      <c r="T207" s="91"/>
      <c r="U207" s="91"/>
      <c r="V207" s="91"/>
      <c r="W207" s="91"/>
      <c r="X207" s="91"/>
      <c r="Y207" s="91"/>
      <c r="Z207" s="91"/>
      <c r="AA207" s="91"/>
      <c r="AB207" s="91"/>
      <c r="AC207" s="87">
        <f t="shared" si="152"/>
        <v>0</v>
      </c>
      <c r="AD207" s="92"/>
      <c r="AE207" s="92"/>
      <c r="AF207" s="1384"/>
      <c r="AG207" s="92"/>
      <c r="AH207" s="92"/>
      <c r="AI207" s="92"/>
      <c r="AJ207" s="92"/>
      <c r="AK207" s="92"/>
      <c r="AL207" s="1350"/>
      <c r="AM207" s="92"/>
      <c r="AN207" s="1350"/>
      <c r="AO207" s="92"/>
      <c r="AP207" s="92"/>
      <c r="AQ207" s="92"/>
      <c r="AR207" s="92"/>
      <c r="AS207" s="92"/>
      <c r="AT207" s="93"/>
      <c r="AU207" s="94"/>
      <c r="AV207" s="1954">
        <f t="shared" si="153"/>
        <v>0</v>
      </c>
      <c r="AW207" s="1954">
        <f t="shared" si="154"/>
        <v>0</v>
      </c>
      <c r="AX207" s="195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0"/>
      <c r="C208" s="1381"/>
      <c r="D208" s="80"/>
      <c r="E208" s="87">
        <f t="shared" si="149"/>
        <v>0</v>
      </c>
      <c r="F208" s="88"/>
      <c r="G208" s="89">
        <f t="shared" si="150"/>
        <v>0</v>
      </c>
      <c r="H208" s="90">
        <f t="shared" si="151"/>
        <v>0</v>
      </c>
      <c r="I208" s="1383"/>
      <c r="J208" s="91"/>
      <c r="K208" s="1383"/>
      <c r="L208" s="91"/>
      <c r="M208" s="91"/>
      <c r="N208" s="91"/>
      <c r="O208" s="1350"/>
      <c r="P208" s="91"/>
      <c r="Q208" s="91"/>
      <c r="R208" s="91"/>
      <c r="S208" s="91"/>
      <c r="T208" s="91"/>
      <c r="U208" s="91"/>
      <c r="V208" s="91"/>
      <c r="W208" s="91"/>
      <c r="X208" s="91"/>
      <c r="Y208" s="91"/>
      <c r="Z208" s="91"/>
      <c r="AA208" s="91"/>
      <c r="AB208" s="91"/>
      <c r="AC208" s="87">
        <f t="shared" si="152"/>
        <v>0</v>
      </c>
      <c r="AD208" s="92"/>
      <c r="AE208" s="92"/>
      <c r="AF208" s="1384"/>
      <c r="AG208" s="92"/>
      <c r="AH208" s="92"/>
      <c r="AI208" s="92"/>
      <c r="AJ208" s="92"/>
      <c r="AK208" s="92"/>
      <c r="AL208" s="92"/>
      <c r="AM208" s="92"/>
      <c r="AN208" s="1350"/>
      <c r="AO208" s="92"/>
      <c r="AP208" s="92"/>
      <c r="AQ208" s="92"/>
      <c r="AR208" s="92"/>
      <c r="AS208" s="92"/>
      <c r="AT208" s="93"/>
      <c r="AU208" s="94"/>
      <c r="AV208" s="1954">
        <f t="shared" si="153"/>
        <v>0</v>
      </c>
      <c r="AW208" s="1954">
        <f t="shared" si="154"/>
        <v>0</v>
      </c>
      <c r="AX208" s="195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0"/>
      <c r="C209" s="1381"/>
      <c r="D209" s="80"/>
      <c r="E209" s="87">
        <f t="shared" si="149"/>
        <v>0</v>
      </c>
      <c r="F209" s="88"/>
      <c r="G209" s="89">
        <f t="shared" si="150"/>
        <v>0</v>
      </c>
      <c r="H209" s="90">
        <f t="shared" si="151"/>
        <v>0</v>
      </c>
      <c r="I209" s="1383"/>
      <c r="J209" s="91"/>
      <c r="K209" s="138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4"/>
      <c r="AG209" s="92"/>
      <c r="AH209" s="92"/>
      <c r="AI209" s="92"/>
      <c r="AJ209" s="92"/>
      <c r="AK209" s="92"/>
      <c r="AL209" s="92"/>
      <c r="AM209" s="92"/>
      <c r="AN209" s="92"/>
      <c r="AO209" s="92"/>
      <c r="AP209" s="92"/>
      <c r="AQ209" s="92"/>
      <c r="AR209" s="92"/>
      <c r="AS209" s="92"/>
      <c r="AT209" s="93"/>
      <c r="AU209" s="94"/>
      <c r="AV209" s="1954">
        <f t="shared" si="153"/>
        <v>0</v>
      </c>
      <c r="AW209" s="1954">
        <f t="shared" si="154"/>
        <v>0</v>
      </c>
      <c r="AX209" s="195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0"/>
      <c r="C210" s="1381"/>
      <c r="D210" s="80"/>
      <c r="E210" s="87">
        <f t="shared" si="149"/>
        <v>0</v>
      </c>
      <c r="F210" s="88"/>
      <c r="G210" s="89">
        <f t="shared" si="150"/>
        <v>0</v>
      </c>
      <c r="H210" s="90">
        <f t="shared" si="151"/>
        <v>0</v>
      </c>
      <c r="I210" s="1383"/>
      <c r="J210" s="91"/>
      <c r="K210" s="138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4"/>
      <c r="AG210" s="92"/>
      <c r="AH210" s="92"/>
      <c r="AI210" s="92"/>
      <c r="AJ210" s="92"/>
      <c r="AK210" s="92"/>
      <c r="AL210" s="92"/>
      <c r="AM210" s="92"/>
      <c r="AN210" s="92"/>
      <c r="AO210" s="92"/>
      <c r="AP210" s="92"/>
      <c r="AQ210" s="92"/>
      <c r="AR210" s="92"/>
      <c r="AS210" s="92"/>
      <c r="AT210" s="93"/>
      <c r="AU210" s="94"/>
      <c r="AV210" s="1954">
        <f t="shared" si="153"/>
        <v>0</v>
      </c>
      <c r="AW210" s="1954">
        <f t="shared" si="154"/>
        <v>0</v>
      </c>
      <c r="AX210" s="195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0"/>
      <c r="C211" s="1381"/>
      <c r="D211" s="80"/>
      <c r="E211" s="87">
        <f t="shared" si="149"/>
        <v>0</v>
      </c>
      <c r="F211" s="88"/>
      <c r="G211" s="89">
        <f t="shared" si="150"/>
        <v>0</v>
      </c>
      <c r="H211" s="90">
        <f t="shared" si="151"/>
        <v>0</v>
      </c>
      <c r="I211" s="1383"/>
      <c r="J211" s="91"/>
      <c r="K211" s="138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4"/>
      <c r="AG211" s="92"/>
      <c r="AH211" s="92"/>
      <c r="AI211" s="92"/>
      <c r="AJ211" s="92"/>
      <c r="AK211" s="92"/>
      <c r="AL211" s="92"/>
      <c r="AM211" s="92"/>
      <c r="AN211" s="92"/>
      <c r="AO211" s="92"/>
      <c r="AP211" s="92"/>
      <c r="AQ211" s="92"/>
      <c r="AR211" s="92"/>
      <c r="AS211" s="92"/>
      <c r="AT211" s="93"/>
      <c r="AU211" s="94"/>
      <c r="AV211" s="1954">
        <f t="shared" si="153"/>
        <v>0</v>
      </c>
      <c r="AW211" s="1954">
        <f t="shared" si="154"/>
        <v>0</v>
      </c>
      <c r="AX211" s="195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0"/>
      <c r="C212" s="1381"/>
      <c r="D212" s="80"/>
      <c r="E212" s="87">
        <f t="shared" si="149"/>
        <v>0</v>
      </c>
      <c r="F212" s="88"/>
      <c r="G212" s="89">
        <f t="shared" si="150"/>
        <v>0</v>
      </c>
      <c r="H212" s="90">
        <f t="shared" si="151"/>
        <v>0</v>
      </c>
      <c r="I212" s="1383"/>
      <c r="J212" s="91"/>
      <c r="K212" s="138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3"/>
      <c r="AG212" s="92"/>
      <c r="AH212" s="92"/>
      <c r="AI212" s="92"/>
      <c r="AJ212" s="92"/>
      <c r="AK212" s="92"/>
      <c r="AL212" s="92"/>
      <c r="AM212" s="92"/>
      <c r="AN212" s="92"/>
      <c r="AO212" s="92"/>
      <c r="AP212" s="92"/>
      <c r="AQ212" s="92"/>
      <c r="AR212" s="92"/>
      <c r="AS212" s="92"/>
      <c r="AT212" s="93"/>
      <c r="AU212" s="94"/>
      <c r="AV212" s="1954">
        <f t="shared" si="153"/>
        <v>0</v>
      </c>
      <c r="AW212" s="1954">
        <f t="shared" si="154"/>
        <v>0</v>
      </c>
      <c r="AX212" s="195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2"/>
      <c r="C213" s="1383"/>
      <c r="D213" s="80"/>
      <c r="E213" s="87">
        <f t="shared" si="149"/>
        <v>0</v>
      </c>
      <c r="F213" s="88"/>
      <c r="G213" s="89">
        <f t="shared" si="150"/>
        <v>0</v>
      </c>
      <c r="H213" s="90">
        <f t="shared" si="151"/>
        <v>0</v>
      </c>
      <c r="I213" s="1383"/>
      <c r="J213" s="91"/>
      <c r="K213" s="138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3"/>
      <c r="AG213" s="92"/>
      <c r="AH213" s="92"/>
      <c r="AI213" s="92"/>
      <c r="AJ213" s="92"/>
      <c r="AK213" s="92"/>
      <c r="AL213" s="92"/>
      <c r="AM213" s="92"/>
      <c r="AN213" s="92"/>
      <c r="AO213" s="92"/>
      <c r="AP213" s="92"/>
      <c r="AQ213" s="92"/>
      <c r="AR213" s="92"/>
      <c r="AS213" s="92"/>
      <c r="AT213" s="93"/>
      <c r="AU213" s="94"/>
      <c r="AV213" s="1954">
        <f t="shared" si="153"/>
        <v>0</v>
      </c>
      <c r="AW213" s="1954">
        <f t="shared" si="154"/>
        <v>0</v>
      </c>
      <c r="AX213" s="195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0"/>
      <c r="C214" s="1381"/>
      <c r="D214" s="80"/>
      <c r="E214" s="87">
        <f t="shared" si="149"/>
        <v>0</v>
      </c>
      <c r="F214" s="88"/>
      <c r="G214" s="89">
        <f t="shared" si="150"/>
        <v>0</v>
      </c>
      <c r="H214" s="90">
        <f t="shared" si="151"/>
        <v>0</v>
      </c>
      <c r="I214" s="1383"/>
      <c r="J214" s="91"/>
      <c r="K214" s="138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3"/>
      <c r="AG214" s="92"/>
      <c r="AH214" s="92"/>
      <c r="AI214" s="92"/>
      <c r="AJ214" s="92"/>
      <c r="AK214" s="92"/>
      <c r="AL214" s="92"/>
      <c r="AM214" s="92"/>
      <c r="AN214" s="92"/>
      <c r="AO214" s="92"/>
      <c r="AP214" s="92"/>
      <c r="AQ214" s="92"/>
      <c r="AR214" s="92"/>
      <c r="AS214" s="92"/>
      <c r="AT214" s="93"/>
      <c r="AU214" s="94"/>
      <c r="AV214" s="1954">
        <f t="shared" si="153"/>
        <v>0</v>
      </c>
      <c r="AW214" s="1954">
        <f t="shared" si="154"/>
        <v>0</v>
      </c>
      <c r="AX214" s="195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0"/>
      <c r="C215" s="1381"/>
      <c r="D215" s="80"/>
      <c r="E215" s="87">
        <f t="shared" si="149"/>
        <v>0</v>
      </c>
      <c r="F215" s="88"/>
      <c r="G215" s="89">
        <f t="shared" si="150"/>
        <v>0</v>
      </c>
      <c r="H215" s="90">
        <f t="shared" si="151"/>
        <v>0</v>
      </c>
      <c r="I215" s="1383"/>
      <c r="J215" s="91"/>
      <c r="K215" s="138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3"/>
      <c r="AG215" s="92"/>
      <c r="AH215" s="92"/>
      <c r="AI215" s="92"/>
      <c r="AJ215" s="92"/>
      <c r="AK215" s="92"/>
      <c r="AL215" s="92"/>
      <c r="AM215" s="92"/>
      <c r="AN215" s="92"/>
      <c r="AO215" s="92"/>
      <c r="AP215" s="92"/>
      <c r="AQ215" s="92"/>
      <c r="AR215" s="92"/>
      <c r="AS215" s="92"/>
      <c r="AT215" s="93"/>
      <c r="AU215" s="94"/>
      <c r="AV215" s="1954">
        <f t="shared" si="153"/>
        <v>0</v>
      </c>
      <c r="AW215" s="1954">
        <f t="shared" si="154"/>
        <v>0</v>
      </c>
      <c r="AX215" s="195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0"/>
      <c r="C216" s="1381"/>
      <c r="D216" s="80"/>
      <c r="E216" s="87">
        <f t="shared" si="149"/>
        <v>0</v>
      </c>
      <c r="F216" s="88"/>
      <c r="G216" s="89">
        <f t="shared" si="150"/>
        <v>0</v>
      </c>
      <c r="H216" s="90">
        <f t="shared" si="151"/>
        <v>0</v>
      </c>
      <c r="I216" s="1383"/>
      <c r="J216" s="91"/>
      <c r="K216" s="138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3"/>
      <c r="AG216" s="92"/>
      <c r="AH216" s="92"/>
      <c r="AI216" s="92"/>
      <c r="AJ216" s="92"/>
      <c r="AK216" s="92"/>
      <c r="AL216" s="92"/>
      <c r="AM216" s="92"/>
      <c r="AN216" s="92"/>
      <c r="AO216" s="92"/>
      <c r="AP216" s="92"/>
      <c r="AQ216" s="92"/>
      <c r="AR216" s="92"/>
      <c r="AS216" s="92"/>
      <c r="AT216" s="93"/>
      <c r="AU216" s="94"/>
      <c r="AV216" s="1954">
        <f t="shared" si="153"/>
        <v>0</v>
      </c>
      <c r="AW216" s="1954">
        <f t="shared" si="154"/>
        <v>0</v>
      </c>
      <c r="AX216" s="195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0"/>
      <c r="C217" s="1381"/>
      <c r="D217" s="80"/>
      <c r="E217" s="87">
        <f t="shared" si="149"/>
        <v>0</v>
      </c>
      <c r="F217" s="88"/>
      <c r="G217" s="89">
        <f t="shared" si="150"/>
        <v>0</v>
      </c>
      <c r="H217" s="90">
        <f t="shared" si="151"/>
        <v>0</v>
      </c>
      <c r="I217" s="1383"/>
      <c r="J217" s="91"/>
      <c r="K217" s="138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3"/>
      <c r="AG217" s="92"/>
      <c r="AH217" s="92"/>
      <c r="AI217" s="92"/>
      <c r="AJ217" s="92"/>
      <c r="AK217" s="92"/>
      <c r="AL217" s="92"/>
      <c r="AM217" s="92"/>
      <c r="AN217" s="92"/>
      <c r="AO217" s="92"/>
      <c r="AP217" s="92"/>
      <c r="AQ217" s="92"/>
      <c r="AR217" s="92"/>
      <c r="AS217" s="92"/>
      <c r="AT217" s="93"/>
      <c r="AU217" s="94"/>
      <c r="AV217" s="1954">
        <f t="shared" si="153"/>
        <v>0</v>
      </c>
      <c r="AW217" s="1954">
        <f t="shared" si="154"/>
        <v>0</v>
      </c>
      <c r="AX217" s="195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0"/>
      <c r="C218" s="1381"/>
      <c r="D218" s="80"/>
      <c r="E218" s="87">
        <f t="shared" si="149"/>
        <v>0</v>
      </c>
      <c r="F218" s="88"/>
      <c r="G218" s="89">
        <f t="shared" si="150"/>
        <v>0</v>
      </c>
      <c r="H218" s="90">
        <f t="shared" si="151"/>
        <v>0</v>
      </c>
      <c r="I218" s="1383"/>
      <c r="J218" s="91"/>
      <c r="K218" s="138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3"/>
      <c r="AG218" s="92"/>
      <c r="AH218" s="92"/>
      <c r="AI218" s="92"/>
      <c r="AJ218" s="92"/>
      <c r="AK218" s="92"/>
      <c r="AL218" s="92"/>
      <c r="AM218" s="92"/>
      <c r="AN218" s="92"/>
      <c r="AO218" s="92"/>
      <c r="AP218" s="92"/>
      <c r="AQ218" s="92"/>
      <c r="AR218" s="92"/>
      <c r="AS218" s="92"/>
      <c r="AT218" s="93"/>
      <c r="AU218" s="94"/>
      <c r="AV218" s="1954">
        <f t="shared" si="153"/>
        <v>0</v>
      </c>
      <c r="AW218" s="1954">
        <f t="shared" si="154"/>
        <v>0</v>
      </c>
      <c r="AX218" s="195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0"/>
      <c r="C219" s="1381"/>
      <c r="D219" s="80"/>
      <c r="E219" s="87">
        <f t="shared" si="149"/>
        <v>0</v>
      </c>
      <c r="F219" s="88"/>
      <c r="G219" s="89">
        <f t="shared" si="150"/>
        <v>0</v>
      </c>
      <c r="H219" s="90">
        <f t="shared" si="151"/>
        <v>0</v>
      </c>
      <c r="I219" s="1383"/>
      <c r="J219" s="91"/>
      <c r="K219" s="138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3"/>
      <c r="AG219" s="92"/>
      <c r="AH219" s="92"/>
      <c r="AI219" s="92"/>
      <c r="AJ219" s="92"/>
      <c r="AK219" s="92"/>
      <c r="AL219" s="92"/>
      <c r="AM219" s="92"/>
      <c r="AN219" s="92"/>
      <c r="AO219" s="92"/>
      <c r="AP219" s="92"/>
      <c r="AQ219" s="92"/>
      <c r="AR219" s="92"/>
      <c r="AS219" s="92"/>
      <c r="AT219" s="93"/>
      <c r="AU219" s="94"/>
      <c r="AV219" s="1954">
        <f t="shared" si="153"/>
        <v>0</v>
      </c>
      <c r="AW219" s="1954">
        <f t="shared" si="154"/>
        <v>0</v>
      </c>
      <c r="AX219" s="195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0"/>
      <c r="C220" s="1381"/>
      <c r="D220" s="80"/>
      <c r="E220" s="87">
        <f t="shared" si="149"/>
        <v>0</v>
      </c>
      <c r="F220" s="88"/>
      <c r="G220" s="89">
        <f t="shared" si="150"/>
        <v>0</v>
      </c>
      <c r="H220" s="90">
        <f t="shared" si="151"/>
        <v>0</v>
      </c>
      <c r="I220" s="1383"/>
      <c r="J220" s="91"/>
      <c r="K220" s="138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3"/>
      <c r="AG220" s="92"/>
      <c r="AH220" s="92"/>
      <c r="AI220" s="92"/>
      <c r="AJ220" s="92"/>
      <c r="AK220" s="92"/>
      <c r="AL220" s="92"/>
      <c r="AM220" s="92"/>
      <c r="AN220" s="92"/>
      <c r="AO220" s="92"/>
      <c r="AP220" s="92"/>
      <c r="AQ220" s="92"/>
      <c r="AR220" s="92"/>
      <c r="AS220" s="92"/>
      <c r="AT220" s="93"/>
      <c r="AU220" s="94"/>
      <c r="AV220" s="1954">
        <f t="shared" si="153"/>
        <v>0</v>
      </c>
      <c r="AW220" s="1954">
        <f t="shared" si="154"/>
        <v>0</v>
      </c>
      <c r="AX220" s="195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0"/>
      <c r="C221" s="1381"/>
      <c r="D221" s="80"/>
      <c r="E221" s="87">
        <f t="shared" si="149"/>
        <v>0</v>
      </c>
      <c r="F221" s="88"/>
      <c r="G221" s="89">
        <f t="shared" si="150"/>
        <v>0</v>
      </c>
      <c r="H221" s="90">
        <f t="shared" si="151"/>
        <v>0</v>
      </c>
      <c r="I221" s="1383"/>
      <c r="J221" s="91"/>
      <c r="K221" s="138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3"/>
      <c r="AG221" s="92"/>
      <c r="AH221" s="92"/>
      <c r="AI221" s="92"/>
      <c r="AJ221" s="92"/>
      <c r="AK221" s="92"/>
      <c r="AL221" s="92"/>
      <c r="AM221" s="92"/>
      <c r="AN221" s="92"/>
      <c r="AO221" s="92"/>
      <c r="AP221" s="92"/>
      <c r="AQ221" s="92"/>
      <c r="AR221" s="92"/>
      <c r="AS221" s="92"/>
      <c r="AT221" s="93"/>
      <c r="AU221" s="94"/>
      <c r="AV221" s="1954">
        <f t="shared" si="153"/>
        <v>0</v>
      </c>
      <c r="AW221" s="1954">
        <f t="shared" si="154"/>
        <v>0</v>
      </c>
      <c r="AX221" s="195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0"/>
      <c r="C222" s="1381"/>
      <c r="D222" s="80"/>
      <c r="E222" s="87">
        <f t="shared" si="149"/>
        <v>0</v>
      </c>
      <c r="F222" s="88"/>
      <c r="G222" s="89">
        <f t="shared" si="150"/>
        <v>0</v>
      </c>
      <c r="H222" s="90">
        <f t="shared" si="151"/>
        <v>0</v>
      </c>
      <c r="I222" s="1383"/>
      <c r="J222" s="91"/>
      <c r="K222" s="138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3"/>
      <c r="AG222" s="92"/>
      <c r="AH222" s="92"/>
      <c r="AI222" s="92"/>
      <c r="AJ222" s="92"/>
      <c r="AK222" s="92"/>
      <c r="AL222" s="92"/>
      <c r="AM222" s="92"/>
      <c r="AN222" s="92"/>
      <c r="AO222" s="92"/>
      <c r="AP222" s="92"/>
      <c r="AQ222" s="92"/>
      <c r="AR222" s="92"/>
      <c r="AS222" s="92"/>
      <c r="AT222" s="93"/>
      <c r="AU222" s="94"/>
      <c r="AV222" s="1954">
        <f t="shared" si="153"/>
        <v>0</v>
      </c>
      <c r="AW222" s="1954">
        <f t="shared" si="154"/>
        <v>0</v>
      </c>
      <c r="AX222" s="195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0"/>
      <c r="C223" s="1381"/>
      <c r="D223" s="80"/>
      <c r="E223" s="87">
        <f t="shared" si="149"/>
        <v>0</v>
      </c>
      <c r="F223" s="88"/>
      <c r="G223" s="89">
        <f t="shared" si="150"/>
        <v>0</v>
      </c>
      <c r="H223" s="90">
        <f t="shared" si="151"/>
        <v>0</v>
      </c>
      <c r="I223" s="1383"/>
      <c r="J223" s="91"/>
      <c r="K223" s="138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3"/>
      <c r="AG223" s="92"/>
      <c r="AH223" s="92"/>
      <c r="AI223" s="92"/>
      <c r="AJ223" s="92"/>
      <c r="AK223" s="92"/>
      <c r="AL223" s="92"/>
      <c r="AM223" s="92"/>
      <c r="AN223" s="92"/>
      <c r="AO223" s="92"/>
      <c r="AP223" s="92"/>
      <c r="AQ223" s="92"/>
      <c r="AR223" s="92"/>
      <c r="AS223" s="92"/>
      <c r="AT223" s="93"/>
      <c r="AU223" s="94"/>
      <c r="AV223" s="1954">
        <f t="shared" si="153"/>
        <v>0</v>
      </c>
      <c r="AW223" s="1954">
        <f t="shared" si="154"/>
        <v>0</v>
      </c>
      <c r="AX223" s="195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0"/>
      <c r="C224" s="1381"/>
      <c r="D224" s="80"/>
      <c r="E224" s="87">
        <f t="shared" si="149"/>
        <v>0</v>
      </c>
      <c r="F224" s="88"/>
      <c r="G224" s="89">
        <f t="shared" si="150"/>
        <v>0</v>
      </c>
      <c r="H224" s="90">
        <f t="shared" si="151"/>
        <v>0</v>
      </c>
      <c r="I224" s="1383"/>
      <c r="J224" s="91"/>
      <c r="K224" s="138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3"/>
      <c r="AG224" s="92"/>
      <c r="AH224" s="92"/>
      <c r="AI224" s="92"/>
      <c r="AJ224" s="92"/>
      <c r="AK224" s="92"/>
      <c r="AL224" s="92"/>
      <c r="AM224" s="92"/>
      <c r="AN224" s="92"/>
      <c r="AO224" s="92"/>
      <c r="AP224" s="92"/>
      <c r="AQ224" s="92"/>
      <c r="AR224" s="92"/>
      <c r="AS224" s="92"/>
      <c r="AT224" s="93"/>
      <c r="AU224" s="94"/>
      <c r="AV224" s="1954">
        <f t="shared" si="153"/>
        <v>0</v>
      </c>
      <c r="AW224" s="1954">
        <f t="shared" si="154"/>
        <v>0</v>
      </c>
      <c r="AX224" s="195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0"/>
      <c r="C225" s="1381"/>
      <c r="D225" s="80"/>
      <c r="E225" s="87">
        <f t="shared" si="149"/>
        <v>0</v>
      </c>
      <c r="F225" s="88"/>
      <c r="G225" s="89">
        <f t="shared" si="150"/>
        <v>0</v>
      </c>
      <c r="H225" s="90">
        <f t="shared" si="151"/>
        <v>0</v>
      </c>
      <c r="I225" s="1383"/>
      <c r="J225" s="91"/>
      <c r="K225" s="138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3"/>
      <c r="AG225" s="92"/>
      <c r="AH225" s="92"/>
      <c r="AI225" s="92"/>
      <c r="AJ225" s="92"/>
      <c r="AK225" s="92"/>
      <c r="AL225" s="92"/>
      <c r="AM225" s="92"/>
      <c r="AN225" s="92"/>
      <c r="AO225" s="92"/>
      <c r="AP225" s="92"/>
      <c r="AQ225" s="92"/>
      <c r="AR225" s="92"/>
      <c r="AS225" s="92"/>
      <c r="AT225" s="93"/>
      <c r="AU225" s="94"/>
      <c r="AV225" s="1954">
        <f t="shared" si="153"/>
        <v>0</v>
      </c>
      <c r="AW225" s="1954">
        <f t="shared" si="154"/>
        <v>0</v>
      </c>
      <c r="AX225" s="195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0"/>
      <c r="C226" s="1381"/>
      <c r="D226" s="80"/>
      <c r="E226" s="87">
        <f t="shared" si="149"/>
        <v>0</v>
      </c>
      <c r="F226" s="88"/>
      <c r="G226" s="89">
        <f t="shared" si="150"/>
        <v>0</v>
      </c>
      <c r="H226" s="90">
        <f t="shared" si="151"/>
        <v>0</v>
      </c>
      <c r="I226" s="1383"/>
      <c r="J226" s="91"/>
      <c r="K226" s="138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3"/>
      <c r="AG226" s="92"/>
      <c r="AH226" s="92"/>
      <c r="AI226" s="92"/>
      <c r="AJ226" s="92"/>
      <c r="AK226" s="92"/>
      <c r="AL226" s="92"/>
      <c r="AM226" s="92"/>
      <c r="AN226" s="92"/>
      <c r="AO226" s="92"/>
      <c r="AP226" s="92"/>
      <c r="AQ226" s="92"/>
      <c r="AR226" s="92"/>
      <c r="AS226" s="92"/>
      <c r="AT226" s="93"/>
      <c r="AU226" s="94"/>
      <c r="AV226" s="1954">
        <f t="shared" si="153"/>
        <v>0</v>
      </c>
      <c r="AW226" s="1954">
        <f t="shared" si="154"/>
        <v>0</v>
      </c>
      <c r="AX226" s="195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0"/>
      <c r="C227" s="1381"/>
      <c r="D227" s="80"/>
      <c r="E227" s="87">
        <f t="shared" si="149"/>
        <v>0</v>
      </c>
      <c r="F227" s="88"/>
      <c r="G227" s="89">
        <f t="shared" si="150"/>
        <v>0</v>
      </c>
      <c r="H227" s="90">
        <f t="shared" si="151"/>
        <v>0</v>
      </c>
      <c r="I227" s="1383"/>
      <c r="J227" s="91"/>
      <c r="K227" s="138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3"/>
      <c r="AG227" s="92"/>
      <c r="AH227" s="92"/>
      <c r="AI227" s="92"/>
      <c r="AJ227" s="92"/>
      <c r="AK227" s="92"/>
      <c r="AL227" s="92"/>
      <c r="AM227" s="92"/>
      <c r="AN227" s="92"/>
      <c r="AO227" s="92"/>
      <c r="AP227" s="92"/>
      <c r="AQ227" s="92"/>
      <c r="AR227" s="92"/>
      <c r="AS227" s="92"/>
      <c r="AT227" s="93"/>
      <c r="AU227" s="94"/>
      <c r="AV227" s="1954">
        <f t="shared" si="153"/>
        <v>0</v>
      </c>
      <c r="AW227" s="1954">
        <f t="shared" si="154"/>
        <v>0</v>
      </c>
      <c r="AX227" s="195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0"/>
      <c r="C228" s="1381"/>
      <c r="D228" s="80"/>
      <c r="E228" s="87">
        <f t="shared" si="149"/>
        <v>0</v>
      </c>
      <c r="F228" s="88"/>
      <c r="G228" s="89">
        <f t="shared" si="150"/>
        <v>0</v>
      </c>
      <c r="H228" s="90">
        <f t="shared" si="151"/>
        <v>0</v>
      </c>
      <c r="I228" s="1383"/>
      <c r="J228" s="91"/>
      <c r="K228" s="138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3"/>
      <c r="AG228" s="92"/>
      <c r="AH228" s="92"/>
      <c r="AI228" s="92"/>
      <c r="AJ228" s="92"/>
      <c r="AK228" s="92"/>
      <c r="AL228" s="92"/>
      <c r="AM228" s="92"/>
      <c r="AN228" s="92"/>
      <c r="AO228" s="92"/>
      <c r="AP228" s="92"/>
      <c r="AQ228" s="92"/>
      <c r="AR228" s="92"/>
      <c r="AS228" s="92"/>
      <c r="AT228" s="93"/>
      <c r="AU228" s="94"/>
      <c r="AV228" s="1954">
        <f t="shared" si="153"/>
        <v>0</v>
      </c>
      <c r="AW228" s="1954">
        <f t="shared" si="154"/>
        <v>0</v>
      </c>
      <c r="AX228" s="195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0"/>
      <c r="C229" s="1381"/>
      <c r="D229" s="80"/>
      <c r="E229" s="87">
        <f t="shared" si="149"/>
        <v>0</v>
      </c>
      <c r="F229" s="88"/>
      <c r="G229" s="89">
        <f t="shared" si="150"/>
        <v>0</v>
      </c>
      <c r="H229" s="90">
        <f t="shared" si="151"/>
        <v>0</v>
      </c>
      <c r="I229" s="1383"/>
      <c r="J229" s="91"/>
      <c r="K229" s="138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3"/>
      <c r="AG229" s="92"/>
      <c r="AH229" s="92"/>
      <c r="AI229" s="92"/>
      <c r="AJ229" s="92"/>
      <c r="AK229" s="92"/>
      <c r="AL229" s="92"/>
      <c r="AM229" s="92"/>
      <c r="AN229" s="92"/>
      <c r="AO229" s="92"/>
      <c r="AP229" s="92"/>
      <c r="AQ229" s="92"/>
      <c r="AR229" s="92"/>
      <c r="AS229" s="92"/>
      <c r="AT229" s="93"/>
      <c r="AU229" s="94"/>
      <c r="AV229" s="1954">
        <f t="shared" si="153"/>
        <v>0</v>
      </c>
      <c r="AW229" s="1954">
        <f t="shared" si="154"/>
        <v>0</v>
      </c>
      <c r="AX229" s="195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0"/>
      <c r="C230" s="1381"/>
      <c r="D230" s="80"/>
      <c r="E230" s="87">
        <f t="shared" si="149"/>
        <v>0</v>
      </c>
      <c r="F230" s="88"/>
      <c r="G230" s="89">
        <f t="shared" si="150"/>
        <v>0</v>
      </c>
      <c r="H230" s="90">
        <f t="shared" si="151"/>
        <v>0</v>
      </c>
      <c r="I230" s="1383"/>
      <c r="J230" s="91"/>
      <c r="K230" s="138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3"/>
      <c r="AG230" s="92"/>
      <c r="AH230" s="92"/>
      <c r="AI230" s="92"/>
      <c r="AJ230" s="92"/>
      <c r="AK230" s="92"/>
      <c r="AL230" s="92"/>
      <c r="AM230" s="92"/>
      <c r="AN230" s="92"/>
      <c r="AO230" s="92"/>
      <c r="AP230" s="92"/>
      <c r="AQ230" s="92"/>
      <c r="AR230" s="92"/>
      <c r="AS230" s="92"/>
      <c r="AT230" s="93"/>
      <c r="AU230" s="94"/>
      <c r="AV230" s="1954">
        <f t="shared" si="153"/>
        <v>0</v>
      </c>
      <c r="AW230" s="1954">
        <f t="shared" si="154"/>
        <v>0</v>
      </c>
      <c r="AX230" s="195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0"/>
      <c r="C231" s="1381"/>
      <c r="D231" s="80"/>
      <c r="E231" s="87">
        <f t="shared" si="149"/>
        <v>0</v>
      </c>
      <c r="F231" s="88"/>
      <c r="G231" s="89">
        <f t="shared" si="150"/>
        <v>0</v>
      </c>
      <c r="H231" s="90">
        <f t="shared" si="151"/>
        <v>0</v>
      </c>
      <c r="I231" s="1383"/>
      <c r="J231" s="91"/>
      <c r="K231" s="138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1"/>
      <c r="AG231" s="92"/>
      <c r="AH231" s="92"/>
      <c r="AI231" s="92"/>
      <c r="AJ231" s="92"/>
      <c r="AK231" s="92"/>
      <c r="AL231" s="92"/>
      <c r="AM231" s="92"/>
      <c r="AN231" s="92"/>
      <c r="AO231" s="92"/>
      <c r="AP231" s="92"/>
      <c r="AQ231" s="92"/>
      <c r="AR231" s="92"/>
      <c r="AS231" s="92"/>
      <c r="AT231" s="93"/>
      <c r="AU231" s="94"/>
      <c r="AV231" s="1954">
        <f t="shared" si="153"/>
        <v>0</v>
      </c>
      <c r="AW231" s="1954">
        <f t="shared" si="154"/>
        <v>0</v>
      </c>
      <c r="AX231" s="195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0"/>
      <c r="C232" s="1381"/>
      <c r="D232" s="80"/>
      <c r="E232" s="87">
        <f t="shared" si="149"/>
        <v>0</v>
      </c>
      <c r="F232" s="88"/>
      <c r="G232" s="89">
        <f t="shared" si="150"/>
        <v>0</v>
      </c>
      <c r="H232" s="90">
        <f t="shared" si="151"/>
        <v>0</v>
      </c>
      <c r="I232" s="1381"/>
      <c r="J232" s="91"/>
      <c r="K232" s="138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1"/>
      <c r="AG232" s="92"/>
      <c r="AH232" s="92"/>
      <c r="AI232" s="92"/>
      <c r="AJ232" s="92"/>
      <c r="AK232" s="92"/>
      <c r="AL232" s="92"/>
      <c r="AM232" s="92"/>
      <c r="AN232" s="92"/>
      <c r="AO232" s="92"/>
      <c r="AP232" s="92"/>
      <c r="AQ232" s="92"/>
      <c r="AR232" s="92"/>
      <c r="AS232" s="92"/>
      <c r="AT232" s="93"/>
      <c r="AU232" s="94"/>
      <c r="AV232" s="1954">
        <f t="shared" si="153"/>
        <v>0</v>
      </c>
      <c r="AW232" s="1954">
        <f t="shared" si="154"/>
        <v>0</v>
      </c>
      <c r="AX232" s="195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0"/>
      <c r="C233" s="1381"/>
      <c r="D233" s="80"/>
      <c r="E233" s="87">
        <f t="shared" si="149"/>
        <v>0</v>
      </c>
      <c r="F233" s="88"/>
      <c r="G233" s="89">
        <f t="shared" si="150"/>
        <v>0</v>
      </c>
      <c r="H233" s="90">
        <f t="shared" si="151"/>
        <v>0</v>
      </c>
      <c r="I233" s="1381"/>
      <c r="J233" s="91"/>
      <c r="K233" s="138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1"/>
      <c r="AG233" s="92"/>
      <c r="AH233" s="92"/>
      <c r="AI233" s="92"/>
      <c r="AJ233" s="92"/>
      <c r="AK233" s="92"/>
      <c r="AL233" s="92"/>
      <c r="AM233" s="92"/>
      <c r="AN233" s="92"/>
      <c r="AO233" s="92"/>
      <c r="AP233" s="92"/>
      <c r="AQ233" s="92"/>
      <c r="AR233" s="92"/>
      <c r="AS233" s="92"/>
      <c r="AT233" s="93"/>
      <c r="AU233" s="94"/>
      <c r="AV233" s="1954">
        <f t="shared" si="153"/>
        <v>0</v>
      </c>
      <c r="AW233" s="1954">
        <f t="shared" si="154"/>
        <v>0</v>
      </c>
      <c r="AX233" s="195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0"/>
      <c r="C234" s="1381"/>
      <c r="D234" s="80"/>
      <c r="E234" s="87">
        <f t="shared" si="149"/>
        <v>0</v>
      </c>
      <c r="F234" s="88"/>
      <c r="G234" s="89">
        <f t="shared" si="150"/>
        <v>0</v>
      </c>
      <c r="H234" s="90">
        <f t="shared" si="151"/>
        <v>0</v>
      </c>
      <c r="I234" s="1381"/>
      <c r="J234" s="91"/>
      <c r="K234" s="138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1"/>
      <c r="AG234" s="92"/>
      <c r="AH234" s="92"/>
      <c r="AI234" s="92"/>
      <c r="AJ234" s="92"/>
      <c r="AK234" s="92"/>
      <c r="AL234" s="92"/>
      <c r="AM234" s="92"/>
      <c r="AN234" s="92"/>
      <c r="AO234" s="92"/>
      <c r="AP234" s="92"/>
      <c r="AQ234" s="92"/>
      <c r="AR234" s="92"/>
      <c r="AS234" s="92"/>
      <c r="AT234" s="93"/>
      <c r="AU234" s="94"/>
      <c r="AV234" s="1954">
        <f t="shared" si="153"/>
        <v>0</v>
      </c>
      <c r="AW234" s="1954">
        <f t="shared" si="154"/>
        <v>0</v>
      </c>
      <c r="AX234" s="195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0"/>
      <c r="C235" s="1381"/>
      <c r="D235" s="80"/>
      <c r="E235" s="87">
        <f t="shared" si="149"/>
        <v>0</v>
      </c>
      <c r="F235" s="88"/>
      <c r="G235" s="89">
        <f t="shared" si="150"/>
        <v>0</v>
      </c>
      <c r="H235" s="90">
        <f t="shared" si="151"/>
        <v>0</v>
      </c>
      <c r="I235" s="1381"/>
      <c r="J235" s="91"/>
      <c r="K235" s="138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1"/>
      <c r="AG235" s="92"/>
      <c r="AH235" s="92"/>
      <c r="AI235" s="92"/>
      <c r="AJ235" s="92"/>
      <c r="AK235" s="92"/>
      <c r="AL235" s="92"/>
      <c r="AM235" s="92"/>
      <c r="AN235" s="92"/>
      <c r="AO235" s="92"/>
      <c r="AP235" s="92"/>
      <c r="AQ235" s="92"/>
      <c r="AR235" s="92"/>
      <c r="AS235" s="92"/>
      <c r="AT235" s="93"/>
      <c r="AU235" s="94"/>
      <c r="AV235" s="1954">
        <f t="shared" si="153"/>
        <v>0</v>
      </c>
      <c r="AW235" s="1954">
        <f t="shared" si="154"/>
        <v>0</v>
      </c>
      <c r="AX235" s="195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0"/>
      <c r="C236" s="1381"/>
      <c r="D236" s="80"/>
      <c r="E236" s="87">
        <f t="shared" si="149"/>
        <v>0</v>
      </c>
      <c r="F236" s="88"/>
      <c r="G236" s="89">
        <f t="shared" si="150"/>
        <v>0</v>
      </c>
      <c r="H236" s="90">
        <f t="shared" si="151"/>
        <v>0</v>
      </c>
      <c r="I236" s="1381"/>
      <c r="J236" s="91"/>
      <c r="K236" s="138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1"/>
      <c r="AG236" s="92"/>
      <c r="AH236" s="92"/>
      <c r="AI236" s="92"/>
      <c r="AJ236" s="92"/>
      <c r="AK236" s="92"/>
      <c r="AL236" s="92"/>
      <c r="AM236" s="92"/>
      <c r="AN236" s="92"/>
      <c r="AO236" s="92"/>
      <c r="AP236" s="92"/>
      <c r="AQ236" s="92"/>
      <c r="AR236" s="92"/>
      <c r="AS236" s="92"/>
      <c r="AT236" s="93"/>
      <c r="AU236" s="94"/>
      <c r="AV236" s="1954">
        <f t="shared" si="153"/>
        <v>0</v>
      </c>
      <c r="AW236" s="1954">
        <f t="shared" si="154"/>
        <v>0</v>
      </c>
      <c r="AX236" s="195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0"/>
      <c r="C237" s="1381"/>
      <c r="D237" s="80"/>
      <c r="E237" s="87">
        <f t="shared" si="149"/>
        <v>0</v>
      </c>
      <c r="F237" s="88"/>
      <c r="G237" s="89">
        <f t="shared" si="150"/>
        <v>0</v>
      </c>
      <c r="H237" s="90">
        <f t="shared" si="151"/>
        <v>0</v>
      </c>
      <c r="I237" s="1381"/>
      <c r="J237" s="91"/>
      <c r="K237" s="138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1"/>
      <c r="AG237" s="92"/>
      <c r="AH237" s="92"/>
      <c r="AI237" s="92"/>
      <c r="AJ237" s="92"/>
      <c r="AK237" s="92"/>
      <c r="AL237" s="92"/>
      <c r="AM237" s="92"/>
      <c r="AN237" s="92"/>
      <c r="AO237" s="92"/>
      <c r="AP237" s="92"/>
      <c r="AQ237" s="92"/>
      <c r="AR237" s="92"/>
      <c r="AS237" s="92"/>
      <c r="AT237" s="93"/>
      <c r="AU237" s="94"/>
      <c r="AV237" s="1954">
        <f t="shared" si="153"/>
        <v>0</v>
      </c>
      <c r="AW237" s="1954">
        <f t="shared" si="154"/>
        <v>0</v>
      </c>
      <c r="AX237" s="195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0"/>
      <c r="C238" s="1381"/>
      <c r="D238" s="80"/>
      <c r="E238" s="87">
        <f t="shared" si="149"/>
        <v>0</v>
      </c>
      <c r="F238" s="88"/>
      <c r="G238" s="89">
        <f t="shared" si="150"/>
        <v>0</v>
      </c>
      <c r="H238" s="90">
        <f t="shared" si="151"/>
        <v>0</v>
      </c>
      <c r="I238" s="1381"/>
      <c r="J238" s="91"/>
      <c r="K238" s="138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1"/>
      <c r="AG238" s="92"/>
      <c r="AH238" s="92"/>
      <c r="AI238" s="92"/>
      <c r="AJ238" s="92"/>
      <c r="AK238" s="92"/>
      <c r="AL238" s="92"/>
      <c r="AM238" s="92"/>
      <c r="AN238" s="92"/>
      <c r="AO238" s="92"/>
      <c r="AP238" s="92"/>
      <c r="AQ238" s="92"/>
      <c r="AR238" s="92"/>
      <c r="AS238" s="92"/>
      <c r="AT238" s="93"/>
      <c r="AU238" s="94"/>
      <c r="AV238" s="1954">
        <f t="shared" si="153"/>
        <v>0</v>
      </c>
      <c r="AW238" s="1954">
        <f t="shared" si="154"/>
        <v>0</v>
      </c>
      <c r="AX238" s="195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2"/>
      <c r="C239" s="1383"/>
      <c r="D239" s="80"/>
      <c r="E239" s="87">
        <f t="shared" si="149"/>
        <v>0</v>
      </c>
      <c r="F239" s="88"/>
      <c r="G239" s="89">
        <f t="shared" si="150"/>
        <v>0</v>
      </c>
      <c r="H239" s="90">
        <f t="shared" si="151"/>
        <v>0</v>
      </c>
      <c r="I239" s="1381"/>
      <c r="J239" s="91"/>
      <c r="K239" s="1381"/>
      <c r="L239" s="91"/>
      <c r="M239" s="1381"/>
      <c r="N239" s="91"/>
      <c r="O239" s="91"/>
      <c r="P239" s="91"/>
      <c r="Q239" s="91"/>
      <c r="R239" s="91"/>
      <c r="S239" s="91"/>
      <c r="T239" s="91"/>
      <c r="U239" s="91"/>
      <c r="V239" s="91"/>
      <c r="W239" s="91"/>
      <c r="X239" s="91"/>
      <c r="Y239" s="91"/>
      <c r="Z239" s="91"/>
      <c r="AA239" s="91"/>
      <c r="AB239" s="91"/>
      <c r="AC239" s="87">
        <f t="shared" si="152"/>
        <v>0</v>
      </c>
      <c r="AD239" s="92"/>
      <c r="AE239" s="92"/>
      <c r="AF239" s="1381"/>
      <c r="AG239" s="92"/>
      <c r="AH239" s="92"/>
      <c r="AI239" s="92"/>
      <c r="AJ239" s="92"/>
      <c r="AK239" s="92"/>
      <c r="AL239" s="92"/>
      <c r="AM239" s="92"/>
      <c r="AN239" s="92"/>
      <c r="AO239" s="92"/>
      <c r="AP239" s="92"/>
      <c r="AQ239" s="92"/>
      <c r="AR239" s="92"/>
      <c r="AS239" s="92"/>
      <c r="AT239" s="93"/>
      <c r="AU239" s="94"/>
      <c r="AV239" s="1954">
        <f t="shared" si="153"/>
        <v>0</v>
      </c>
      <c r="AW239" s="1954">
        <f t="shared" si="154"/>
        <v>0</v>
      </c>
      <c r="AX239" s="195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4">
        <f t="shared" si="153"/>
        <v>0</v>
      </c>
      <c r="AW240" s="1954">
        <f t="shared" si="154"/>
        <v>0</v>
      </c>
      <c r="AX240" s="195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4">
        <f t="shared" si="153"/>
        <v>0</v>
      </c>
      <c r="AW241" s="1954">
        <f t="shared" si="154"/>
        <v>0</v>
      </c>
      <c r="AX241" s="195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4">
        <f t="shared" si="153"/>
        <v>0</v>
      </c>
      <c r="AW242" s="1954">
        <f t="shared" si="154"/>
        <v>0</v>
      </c>
      <c r="AX242" s="195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4">
        <f t="shared" si="153"/>
        <v>0</v>
      </c>
      <c r="AW243" s="1954">
        <f t="shared" si="154"/>
        <v>0</v>
      </c>
      <c r="AX243" s="195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4">
        <f t="shared" si="153"/>
        <v>0</v>
      </c>
      <c r="AW244" s="1954">
        <f t="shared" si="154"/>
        <v>0</v>
      </c>
      <c r="AX244" s="195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4">
        <f t="shared" si="153"/>
        <v>0</v>
      </c>
      <c r="AW245" s="1954">
        <f t="shared" si="154"/>
        <v>0</v>
      </c>
      <c r="AX245" s="195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4">
        <f t="shared" si="153"/>
        <v>0</v>
      </c>
      <c r="AW246" s="1954">
        <f t="shared" si="154"/>
        <v>0</v>
      </c>
      <c r="AX246" s="195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4">
        <f t="shared" si="153"/>
        <v>0</v>
      </c>
      <c r="AW247" s="1954">
        <f t="shared" si="154"/>
        <v>0</v>
      </c>
      <c r="AX247" s="195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4">
        <f t="shared" si="153"/>
        <v>0</v>
      </c>
      <c r="AW248" s="1954">
        <f t="shared" si="154"/>
        <v>0</v>
      </c>
      <c r="AX248" s="195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4">
        <f t="shared" si="153"/>
        <v>0</v>
      </c>
      <c r="AW249" s="1954">
        <f t="shared" si="154"/>
        <v>0</v>
      </c>
      <c r="AX249" s="195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4">
        <f t="shared" si="153"/>
        <v>0</v>
      </c>
      <c r="AW250" s="1954">
        <f t="shared" si="154"/>
        <v>0</v>
      </c>
      <c r="AX250" s="195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4">
        <f t="shared" si="153"/>
        <v>0</v>
      </c>
      <c r="AW251" s="1954">
        <f t="shared" si="154"/>
        <v>0</v>
      </c>
      <c r="AX251" s="195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4">
        <f t="shared" si="153"/>
        <v>0</v>
      </c>
      <c r="AW252" s="1954">
        <f t="shared" si="154"/>
        <v>0</v>
      </c>
      <c r="AX252" s="195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4">
        <f t="shared" si="153"/>
        <v>0</v>
      </c>
      <c r="AW253" s="1954">
        <f t="shared" si="154"/>
        <v>0</v>
      </c>
      <c r="AX253" s="195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4">
        <f t="shared" si="153"/>
        <v>0</v>
      </c>
      <c r="AW254" s="1954">
        <f t="shared" si="154"/>
        <v>0</v>
      </c>
      <c r="AX254" s="195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4">
        <f t="shared" si="153"/>
        <v>0</v>
      </c>
      <c r="AW255" s="1954">
        <f t="shared" si="154"/>
        <v>0</v>
      </c>
      <c r="AX255" s="195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4">
        <f t="shared" si="153"/>
        <v>0</v>
      </c>
      <c r="AW256" s="1954">
        <f t="shared" si="154"/>
        <v>0</v>
      </c>
      <c r="AX256" s="195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4">
        <f t="shared" si="153"/>
        <v>0</v>
      </c>
      <c r="AW257" s="1954">
        <f t="shared" si="154"/>
        <v>0</v>
      </c>
      <c r="AX257" s="195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4">
        <f t="shared" si="153"/>
        <v>0</v>
      </c>
      <c r="AW258" s="1954">
        <f t="shared" si="154"/>
        <v>0</v>
      </c>
      <c r="AX258" s="195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4">
        <f t="shared" si="153"/>
        <v>0</v>
      </c>
      <c r="AW259" s="1954">
        <f t="shared" si="154"/>
        <v>0</v>
      </c>
      <c r="AX259" s="195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4">
        <f t="shared" si="153"/>
        <v>0</v>
      </c>
      <c r="AW260" s="1954">
        <f t="shared" si="154"/>
        <v>0</v>
      </c>
      <c r="AX260" s="195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4">
        <f t="shared" si="153"/>
        <v>0</v>
      </c>
      <c r="AW261" s="1954">
        <f t="shared" si="154"/>
        <v>0</v>
      </c>
      <c r="AX261" s="195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4">
        <f t="shared" si="153"/>
        <v>0</v>
      </c>
      <c r="AW262" s="1954">
        <f t="shared" si="154"/>
        <v>0</v>
      </c>
      <c r="AX262" s="195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4">
        <f t="shared" si="153"/>
        <v>0</v>
      </c>
      <c r="AW263" s="1954">
        <f t="shared" si="154"/>
        <v>0</v>
      </c>
      <c r="AX263" s="195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4">
        <f t="shared" si="153"/>
        <v>0</v>
      </c>
      <c r="AW264" s="1954">
        <f t="shared" si="154"/>
        <v>0</v>
      </c>
      <c r="AX264" s="195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4">
        <f t="shared" si="153"/>
        <v>0</v>
      </c>
      <c r="AW265" s="1954">
        <f t="shared" si="154"/>
        <v>0</v>
      </c>
      <c r="AX265" s="195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4">
        <f t="shared" si="153"/>
        <v>0</v>
      </c>
      <c r="AW266" s="1954">
        <f t="shared" si="154"/>
        <v>0</v>
      </c>
      <c r="AX266" s="195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4">
        <f t="shared" si="153"/>
        <v>0</v>
      </c>
      <c r="AW267" s="1954">
        <f t="shared" si="154"/>
        <v>0</v>
      </c>
      <c r="AX267" s="195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4">
        <f t="shared" si="153"/>
        <v>0</v>
      </c>
      <c r="AW268" s="1954">
        <f t="shared" si="154"/>
        <v>0</v>
      </c>
      <c r="AX268" s="195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4">
        <f t="shared" si="153"/>
        <v>0</v>
      </c>
      <c r="AW269" s="1954">
        <f t="shared" si="154"/>
        <v>0</v>
      </c>
      <c r="AX269" s="195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4">
        <f t="shared" si="153"/>
        <v>0</v>
      </c>
      <c r="AW270" s="1954">
        <f t="shared" si="154"/>
        <v>0</v>
      </c>
      <c r="AX270" s="195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4">
        <f t="shared" si="153"/>
        <v>0</v>
      </c>
      <c r="AW271" s="1954">
        <f t="shared" si="154"/>
        <v>0</v>
      </c>
      <c r="AX271" s="195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4">
        <f t="shared" si="153"/>
        <v>0</v>
      </c>
      <c r="AW272" s="1954">
        <f t="shared" si="154"/>
        <v>0</v>
      </c>
      <c r="AX272" s="195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4">
        <f t="shared" si="153"/>
        <v>0</v>
      </c>
      <c r="AW273" s="1954">
        <f t="shared" si="154"/>
        <v>0</v>
      </c>
      <c r="AX273" s="195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4">
        <f t="shared" si="153"/>
        <v>0</v>
      </c>
      <c r="AW274" s="1954">
        <f t="shared" si="154"/>
        <v>0</v>
      </c>
      <c r="AX274" s="195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4">
        <f t="shared" si="153"/>
        <v>0</v>
      </c>
      <c r="AW275" s="1954">
        <f t="shared" si="154"/>
        <v>0</v>
      </c>
      <c r="AX275" s="195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4">
        <f t="shared" si="153"/>
        <v>0</v>
      </c>
      <c r="AW276" s="1954">
        <f t="shared" si="154"/>
        <v>0</v>
      </c>
      <c r="AX276" s="195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4">
        <f t="shared" si="153"/>
        <v>0</v>
      </c>
      <c r="AW277" s="1954">
        <f t="shared" si="154"/>
        <v>0</v>
      </c>
      <c r="AX277" s="195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4">
        <f t="shared" si="153"/>
        <v>0</v>
      </c>
      <c r="AW278" s="1954">
        <f t="shared" si="154"/>
        <v>0</v>
      </c>
      <c r="AX278" s="195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4">
        <f t="shared" si="153"/>
        <v>0</v>
      </c>
      <c r="AW279" s="1954">
        <f t="shared" si="154"/>
        <v>0</v>
      </c>
      <c r="AX279" s="195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4">
        <f t="shared" si="153"/>
        <v>0</v>
      </c>
      <c r="AW280" s="1954">
        <f t="shared" si="154"/>
        <v>0</v>
      </c>
      <c r="AX280" s="195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4">
        <f t="shared" si="153"/>
        <v>0</v>
      </c>
      <c r="AW281" s="1954">
        <f t="shared" si="154"/>
        <v>0</v>
      </c>
      <c r="AX281" s="195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4">
        <f t="shared" si="153"/>
        <v>0</v>
      </c>
      <c r="AW282" s="1954">
        <f t="shared" si="154"/>
        <v>0</v>
      </c>
      <c r="AX282" s="195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4">
        <f t="shared" si="153"/>
        <v>0</v>
      </c>
      <c r="AW283" s="1954">
        <f t="shared" si="154"/>
        <v>0</v>
      </c>
      <c r="AX283" s="195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4">
        <f t="shared" si="153"/>
        <v>0</v>
      </c>
      <c r="AW284" s="1954">
        <f t="shared" si="154"/>
        <v>0</v>
      </c>
      <c r="AX284" s="195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4">
        <f t="shared" si="153"/>
        <v>0</v>
      </c>
      <c r="AW285" s="1954">
        <f t="shared" si="154"/>
        <v>0</v>
      </c>
      <c r="AX285" s="195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4">
        <f t="shared" si="153"/>
        <v>0</v>
      </c>
      <c r="AW286" s="1954">
        <f t="shared" si="154"/>
        <v>0</v>
      </c>
      <c r="AX286" s="195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4">
        <f t="shared" si="153"/>
        <v>0</v>
      </c>
      <c r="AW287" s="1954">
        <f t="shared" si="154"/>
        <v>0</v>
      </c>
      <c r="AX287" s="195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4">
        <f t="shared" si="153"/>
        <v>0</v>
      </c>
      <c r="AW288" s="1954">
        <f t="shared" si="154"/>
        <v>0</v>
      </c>
      <c r="AX288" s="195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4">
        <f t="shared" si="153"/>
        <v>0</v>
      </c>
      <c r="AW289" s="1954">
        <f t="shared" si="154"/>
        <v>0</v>
      </c>
      <c r="AX289" s="195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4">
        <f t="shared" si="153"/>
        <v>0</v>
      </c>
      <c r="AW290" s="1954">
        <f t="shared" si="154"/>
        <v>0</v>
      </c>
      <c r="AX290" s="195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4">
        <f t="shared" si="153"/>
        <v>0</v>
      </c>
      <c r="AW291" s="1954">
        <f t="shared" si="154"/>
        <v>0</v>
      </c>
      <c r="AX291" s="195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4">
        <f t="shared" si="153"/>
        <v>0</v>
      </c>
      <c r="AW292" s="1954">
        <f t="shared" si="154"/>
        <v>0</v>
      </c>
      <c r="AX292" s="195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4">
        <f t="shared" si="153"/>
        <v>0</v>
      </c>
      <c r="AW293" s="1954">
        <f t="shared" si="154"/>
        <v>0</v>
      </c>
      <c r="AX293" s="195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4">
        <f t="shared" si="153"/>
        <v>0</v>
      </c>
      <c r="AW294" s="1954">
        <f t="shared" si="154"/>
        <v>0</v>
      </c>
      <c r="AX294" s="195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4">
        <f t="shared" si="153"/>
        <v>0</v>
      </c>
      <c r="AW295" s="1954">
        <f t="shared" si="154"/>
        <v>0</v>
      </c>
      <c r="AX295" s="195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4">
        <f t="shared" si="153"/>
        <v>0</v>
      </c>
      <c r="AW296" s="1954">
        <f t="shared" si="154"/>
        <v>0</v>
      </c>
      <c r="AX296" s="195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0"/>
      <c r="C297" s="1381"/>
      <c r="D297" s="80"/>
      <c r="E297" s="87">
        <f t="shared" ref="E297:E328" si="203">IF($C$3="是",ROUND($A$3*G297/$B$3,2),ROUND($A$3*(G297-AT297)/$B$3,2))</f>
        <v>0</v>
      </c>
      <c r="F297" s="88"/>
      <c r="G297" s="89">
        <f t="shared" si="178"/>
        <v>0</v>
      </c>
      <c r="H297" s="90">
        <f t="shared" si="179"/>
        <v>0</v>
      </c>
      <c r="I297" s="1383"/>
      <c r="J297" s="91"/>
      <c r="K297" s="138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4"/>
      <c r="AG297" s="92"/>
      <c r="AH297" s="92"/>
      <c r="AI297" s="92"/>
      <c r="AJ297" s="92"/>
      <c r="AK297" s="92"/>
      <c r="AL297" s="92"/>
      <c r="AM297" s="92"/>
      <c r="AN297" s="1350"/>
      <c r="AO297" s="92"/>
      <c r="AP297" s="92"/>
      <c r="AQ297" s="92"/>
      <c r="AR297" s="92"/>
      <c r="AS297" s="92"/>
      <c r="AT297" s="93"/>
      <c r="AU297" s="94"/>
      <c r="AV297" s="1954">
        <f t="shared" ref="AV297:AV328" si="204">A297</f>
        <v>0</v>
      </c>
      <c r="AW297" s="1954">
        <f t="shared" ref="AW297:AW328" si="205">B297</f>
        <v>0</v>
      </c>
      <c r="AX297" s="195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0"/>
      <c r="C298" s="1381"/>
      <c r="D298" s="80"/>
      <c r="E298" s="87">
        <f t="shared" si="203"/>
        <v>0</v>
      </c>
      <c r="F298" s="88"/>
      <c r="G298" s="89">
        <f t="shared" si="178"/>
        <v>0</v>
      </c>
      <c r="H298" s="90">
        <f t="shared" si="179"/>
        <v>0</v>
      </c>
      <c r="I298" s="1383"/>
      <c r="J298" s="91"/>
      <c r="K298" s="1383"/>
      <c r="L298" s="91"/>
      <c r="M298" s="1350"/>
      <c r="N298" s="91"/>
      <c r="O298" s="91"/>
      <c r="P298" s="91"/>
      <c r="Q298" s="91"/>
      <c r="R298" s="91"/>
      <c r="S298" s="91"/>
      <c r="T298" s="91"/>
      <c r="U298" s="91"/>
      <c r="V298" s="91"/>
      <c r="W298" s="91"/>
      <c r="X298" s="91"/>
      <c r="Y298" s="91"/>
      <c r="Z298" s="91"/>
      <c r="AA298" s="91"/>
      <c r="AB298" s="91"/>
      <c r="AC298" s="87">
        <f t="shared" si="180"/>
        <v>0</v>
      </c>
      <c r="AD298" s="1350"/>
      <c r="AE298" s="92"/>
      <c r="AF298" s="1384"/>
      <c r="AG298" s="92"/>
      <c r="AH298" s="92"/>
      <c r="AI298" s="92"/>
      <c r="AJ298" s="92"/>
      <c r="AK298" s="92"/>
      <c r="AL298" s="1350"/>
      <c r="AM298" s="92"/>
      <c r="AN298" s="1350"/>
      <c r="AO298" s="92"/>
      <c r="AP298" s="92"/>
      <c r="AQ298" s="92"/>
      <c r="AR298" s="92"/>
      <c r="AS298" s="92"/>
      <c r="AT298" s="93"/>
      <c r="AU298" s="94"/>
      <c r="AV298" s="1954">
        <f t="shared" si="204"/>
        <v>0</v>
      </c>
      <c r="AW298" s="1954">
        <f t="shared" si="205"/>
        <v>0</v>
      </c>
      <c r="AX298" s="195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0"/>
      <c r="C299" s="1381"/>
      <c r="D299" s="80"/>
      <c r="E299" s="87">
        <f t="shared" si="203"/>
        <v>0</v>
      </c>
      <c r="F299" s="88"/>
      <c r="G299" s="89">
        <f t="shared" si="178"/>
        <v>0</v>
      </c>
      <c r="H299" s="90">
        <f t="shared" si="179"/>
        <v>0</v>
      </c>
      <c r="I299" s="1383"/>
      <c r="J299" s="91"/>
      <c r="K299" s="1383"/>
      <c r="L299" s="91"/>
      <c r="M299" s="1350"/>
      <c r="N299" s="91"/>
      <c r="O299" s="91"/>
      <c r="P299" s="91"/>
      <c r="Q299" s="91"/>
      <c r="R299" s="91"/>
      <c r="S299" s="91"/>
      <c r="T299" s="91"/>
      <c r="U299" s="91"/>
      <c r="V299" s="91"/>
      <c r="W299" s="91"/>
      <c r="X299" s="91"/>
      <c r="Y299" s="91"/>
      <c r="Z299" s="91"/>
      <c r="AA299" s="91"/>
      <c r="AB299" s="91"/>
      <c r="AC299" s="87">
        <f t="shared" si="180"/>
        <v>0</v>
      </c>
      <c r="AD299" s="92"/>
      <c r="AE299" s="92"/>
      <c r="AF299" s="1384"/>
      <c r="AG299" s="92"/>
      <c r="AH299" s="92"/>
      <c r="AI299" s="92"/>
      <c r="AJ299" s="92"/>
      <c r="AK299" s="92"/>
      <c r="AL299" s="1350"/>
      <c r="AM299" s="92"/>
      <c r="AN299" s="1350"/>
      <c r="AO299" s="92"/>
      <c r="AP299" s="92"/>
      <c r="AQ299" s="92"/>
      <c r="AR299" s="92"/>
      <c r="AS299" s="92"/>
      <c r="AT299" s="93"/>
      <c r="AU299" s="94"/>
      <c r="AV299" s="1954">
        <f t="shared" si="204"/>
        <v>0</v>
      </c>
      <c r="AW299" s="1954">
        <f t="shared" si="205"/>
        <v>0</v>
      </c>
      <c r="AX299" s="195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0"/>
      <c r="C300" s="1381"/>
      <c r="D300" s="80"/>
      <c r="E300" s="87">
        <f t="shared" si="203"/>
        <v>0</v>
      </c>
      <c r="F300" s="88"/>
      <c r="G300" s="89">
        <f t="shared" si="178"/>
        <v>0</v>
      </c>
      <c r="H300" s="90">
        <f t="shared" si="179"/>
        <v>0</v>
      </c>
      <c r="I300" s="1383"/>
      <c r="J300" s="91"/>
      <c r="K300" s="1383"/>
      <c r="L300" s="91"/>
      <c r="M300" s="91"/>
      <c r="N300" s="91"/>
      <c r="O300" s="1350"/>
      <c r="P300" s="91"/>
      <c r="Q300" s="91"/>
      <c r="R300" s="91"/>
      <c r="S300" s="91"/>
      <c r="T300" s="91"/>
      <c r="U300" s="91"/>
      <c r="V300" s="91"/>
      <c r="W300" s="91"/>
      <c r="X300" s="91"/>
      <c r="Y300" s="91"/>
      <c r="Z300" s="91"/>
      <c r="AA300" s="91"/>
      <c r="AB300" s="91"/>
      <c r="AC300" s="87">
        <f t="shared" si="180"/>
        <v>0</v>
      </c>
      <c r="AD300" s="92"/>
      <c r="AE300" s="92"/>
      <c r="AF300" s="1384"/>
      <c r="AG300" s="92"/>
      <c r="AH300" s="92"/>
      <c r="AI300" s="92"/>
      <c r="AJ300" s="92"/>
      <c r="AK300" s="92"/>
      <c r="AL300" s="92"/>
      <c r="AM300" s="92"/>
      <c r="AN300" s="1350"/>
      <c r="AO300" s="92"/>
      <c r="AP300" s="92"/>
      <c r="AQ300" s="92"/>
      <c r="AR300" s="92"/>
      <c r="AS300" s="92"/>
      <c r="AT300" s="93"/>
      <c r="AU300" s="94"/>
      <c r="AV300" s="1954">
        <f t="shared" si="204"/>
        <v>0</v>
      </c>
      <c r="AW300" s="1954">
        <f t="shared" si="205"/>
        <v>0</v>
      </c>
      <c r="AX300" s="195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0"/>
      <c r="C301" s="1381"/>
      <c r="D301" s="80"/>
      <c r="E301" s="87">
        <f t="shared" si="203"/>
        <v>0</v>
      </c>
      <c r="F301" s="88"/>
      <c r="G301" s="89">
        <f t="shared" si="178"/>
        <v>0</v>
      </c>
      <c r="H301" s="90">
        <f t="shared" si="179"/>
        <v>0</v>
      </c>
      <c r="I301" s="1383"/>
      <c r="J301" s="91"/>
      <c r="K301" s="138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4"/>
      <c r="AG301" s="92"/>
      <c r="AH301" s="92"/>
      <c r="AI301" s="92"/>
      <c r="AJ301" s="92"/>
      <c r="AK301" s="92"/>
      <c r="AL301" s="92"/>
      <c r="AM301" s="92"/>
      <c r="AN301" s="92"/>
      <c r="AO301" s="92"/>
      <c r="AP301" s="92"/>
      <c r="AQ301" s="92"/>
      <c r="AR301" s="92"/>
      <c r="AS301" s="92"/>
      <c r="AT301" s="93"/>
      <c r="AU301" s="94"/>
      <c r="AV301" s="1954">
        <f t="shared" si="204"/>
        <v>0</v>
      </c>
      <c r="AW301" s="1954">
        <f t="shared" si="205"/>
        <v>0</v>
      </c>
      <c r="AX301" s="195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0"/>
      <c r="C302" s="1381"/>
      <c r="D302" s="80"/>
      <c r="E302" s="87">
        <f t="shared" si="203"/>
        <v>0</v>
      </c>
      <c r="F302" s="88"/>
      <c r="G302" s="89">
        <f t="shared" si="178"/>
        <v>0</v>
      </c>
      <c r="H302" s="90">
        <f t="shared" si="179"/>
        <v>0</v>
      </c>
      <c r="I302" s="1383"/>
      <c r="J302" s="91"/>
      <c r="K302" s="138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4"/>
      <c r="AG302" s="92"/>
      <c r="AH302" s="92"/>
      <c r="AI302" s="92"/>
      <c r="AJ302" s="92"/>
      <c r="AK302" s="92"/>
      <c r="AL302" s="92"/>
      <c r="AM302" s="92"/>
      <c r="AN302" s="92"/>
      <c r="AO302" s="92"/>
      <c r="AP302" s="92"/>
      <c r="AQ302" s="92"/>
      <c r="AR302" s="92"/>
      <c r="AS302" s="92"/>
      <c r="AT302" s="93"/>
      <c r="AU302" s="94"/>
      <c r="AV302" s="1954">
        <f t="shared" si="204"/>
        <v>0</v>
      </c>
      <c r="AW302" s="1954">
        <f t="shared" si="205"/>
        <v>0</v>
      </c>
      <c r="AX302" s="195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0"/>
      <c r="C303" s="1381"/>
      <c r="D303" s="80"/>
      <c r="E303" s="87">
        <f t="shared" si="203"/>
        <v>0</v>
      </c>
      <c r="F303" s="88"/>
      <c r="G303" s="89">
        <f t="shared" si="178"/>
        <v>0</v>
      </c>
      <c r="H303" s="90">
        <f t="shared" si="179"/>
        <v>0</v>
      </c>
      <c r="I303" s="1383"/>
      <c r="J303" s="91"/>
      <c r="K303" s="138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4"/>
      <c r="AG303" s="92"/>
      <c r="AH303" s="92"/>
      <c r="AI303" s="92"/>
      <c r="AJ303" s="92"/>
      <c r="AK303" s="92"/>
      <c r="AL303" s="92"/>
      <c r="AM303" s="92"/>
      <c r="AN303" s="92"/>
      <c r="AO303" s="92"/>
      <c r="AP303" s="92"/>
      <c r="AQ303" s="92"/>
      <c r="AR303" s="92"/>
      <c r="AS303" s="92"/>
      <c r="AT303" s="93"/>
      <c r="AU303" s="94"/>
      <c r="AV303" s="1954">
        <f t="shared" si="204"/>
        <v>0</v>
      </c>
      <c r="AW303" s="1954">
        <f t="shared" si="205"/>
        <v>0</v>
      </c>
      <c r="AX303" s="195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0"/>
      <c r="C304" s="1381"/>
      <c r="D304" s="80"/>
      <c r="E304" s="87">
        <f t="shared" si="203"/>
        <v>0</v>
      </c>
      <c r="F304" s="88"/>
      <c r="G304" s="89">
        <f t="shared" si="178"/>
        <v>0</v>
      </c>
      <c r="H304" s="90">
        <f t="shared" si="179"/>
        <v>0</v>
      </c>
      <c r="I304" s="1383"/>
      <c r="J304" s="91"/>
      <c r="K304" s="138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3"/>
      <c r="AG304" s="92"/>
      <c r="AH304" s="92"/>
      <c r="AI304" s="92"/>
      <c r="AJ304" s="92"/>
      <c r="AK304" s="92"/>
      <c r="AL304" s="92"/>
      <c r="AM304" s="92"/>
      <c r="AN304" s="92"/>
      <c r="AO304" s="92"/>
      <c r="AP304" s="92"/>
      <c r="AQ304" s="92"/>
      <c r="AR304" s="92"/>
      <c r="AS304" s="92"/>
      <c r="AT304" s="93"/>
      <c r="AU304" s="94"/>
      <c r="AV304" s="1954">
        <f t="shared" si="204"/>
        <v>0</v>
      </c>
      <c r="AW304" s="1954">
        <f t="shared" si="205"/>
        <v>0</v>
      </c>
      <c r="AX304" s="195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2"/>
      <c r="C305" s="1383"/>
      <c r="D305" s="80"/>
      <c r="E305" s="87">
        <f t="shared" si="203"/>
        <v>0</v>
      </c>
      <c r="F305" s="88"/>
      <c r="G305" s="89">
        <f t="shared" si="178"/>
        <v>0</v>
      </c>
      <c r="H305" s="90">
        <f t="shared" si="179"/>
        <v>0</v>
      </c>
      <c r="I305" s="1383"/>
      <c r="J305" s="91"/>
      <c r="K305" s="138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3"/>
      <c r="AG305" s="92"/>
      <c r="AH305" s="92"/>
      <c r="AI305" s="92"/>
      <c r="AJ305" s="92"/>
      <c r="AK305" s="92"/>
      <c r="AL305" s="92"/>
      <c r="AM305" s="92"/>
      <c r="AN305" s="92"/>
      <c r="AO305" s="92"/>
      <c r="AP305" s="92"/>
      <c r="AQ305" s="92"/>
      <c r="AR305" s="92"/>
      <c r="AS305" s="92"/>
      <c r="AT305" s="93"/>
      <c r="AU305" s="94"/>
      <c r="AV305" s="1954">
        <f t="shared" si="204"/>
        <v>0</v>
      </c>
      <c r="AW305" s="1954">
        <f t="shared" si="205"/>
        <v>0</v>
      </c>
      <c r="AX305" s="195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0"/>
      <c r="C306" s="1381"/>
      <c r="D306" s="80"/>
      <c r="E306" s="87">
        <f t="shared" si="203"/>
        <v>0</v>
      </c>
      <c r="F306" s="88"/>
      <c r="G306" s="89">
        <f t="shared" si="178"/>
        <v>0</v>
      </c>
      <c r="H306" s="90">
        <f t="shared" si="179"/>
        <v>0</v>
      </c>
      <c r="I306" s="1383"/>
      <c r="J306" s="91"/>
      <c r="K306" s="138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3"/>
      <c r="AG306" s="92"/>
      <c r="AH306" s="92"/>
      <c r="AI306" s="92"/>
      <c r="AJ306" s="92"/>
      <c r="AK306" s="92"/>
      <c r="AL306" s="92"/>
      <c r="AM306" s="92"/>
      <c r="AN306" s="92"/>
      <c r="AO306" s="92"/>
      <c r="AP306" s="92"/>
      <c r="AQ306" s="92"/>
      <c r="AR306" s="92"/>
      <c r="AS306" s="92"/>
      <c r="AT306" s="93"/>
      <c r="AU306" s="94"/>
      <c r="AV306" s="1954">
        <f t="shared" si="204"/>
        <v>0</v>
      </c>
      <c r="AW306" s="1954">
        <f t="shared" si="205"/>
        <v>0</v>
      </c>
      <c r="AX306" s="195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0"/>
      <c r="C307" s="1381"/>
      <c r="D307" s="80"/>
      <c r="E307" s="87">
        <f t="shared" si="203"/>
        <v>0</v>
      </c>
      <c r="F307" s="88"/>
      <c r="G307" s="89">
        <f t="shared" si="178"/>
        <v>0</v>
      </c>
      <c r="H307" s="90">
        <f t="shared" si="179"/>
        <v>0</v>
      </c>
      <c r="I307" s="1383"/>
      <c r="J307" s="91"/>
      <c r="K307" s="138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3"/>
      <c r="AG307" s="92"/>
      <c r="AH307" s="92"/>
      <c r="AI307" s="92"/>
      <c r="AJ307" s="92"/>
      <c r="AK307" s="92"/>
      <c r="AL307" s="92"/>
      <c r="AM307" s="92"/>
      <c r="AN307" s="92"/>
      <c r="AO307" s="92"/>
      <c r="AP307" s="92"/>
      <c r="AQ307" s="92"/>
      <c r="AR307" s="92"/>
      <c r="AS307" s="92"/>
      <c r="AT307" s="93"/>
      <c r="AU307" s="94"/>
      <c r="AV307" s="1954">
        <f t="shared" si="204"/>
        <v>0</v>
      </c>
      <c r="AW307" s="1954">
        <f t="shared" si="205"/>
        <v>0</v>
      </c>
      <c r="AX307" s="195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0"/>
      <c r="C308" s="1381"/>
      <c r="D308" s="80"/>
      <c r="E308" s="87">
        <f t="shared" si="203"/>
        <v>0</v>
      </c>
      <c r="F308" s="88"/>
      <c r="G308" s="89">
        <f t="shared" si="178"/>
        <v>0</v>
      </c>
      <c r="H308" s="90">
        <f t="shared" si="179"/>
        <v>0</v>
      </c>
      <c r="I308" s="1383"/>
      <c r="J308" s="91"/>
      <c r="K308" s="138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3"/>
      <c r="AG308" s="92"/>
      <c r="AH308" s="92"/>
      <c r="AI308" s="92"/>
      <c r="AJ308" s="92"/>
      <c r="AK308" s="92"/>
      <c r="AL308" s="92"/>
      <c r="AM308" s="92"/>
      <c r="AN308" s="92"/>
      <c r="AO308" s="92"/>
      <c r="AP308" s="92"/>
      <c r="AQ308" s="92"/>
      <c r="AR308" s="92"/>
      <c r="AS308" s="92"/>
      <c r="AT308" s="93"/>
      <c r="AU308" s="94"/>
      <c r="AV308" s="1954">
        <f t="shared" si="204"/>
        <v>0</v>
      </c>
      <c r="AW308" s="1954">
        <f t="shared" si="205"/>
        <v>0</v>
      </c>
      <c r="AX308" s="195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0"/>
      <c r="C309" s="1381"/>
      <c r="D309" s="80"/>
      <c r="E309" s="87">
        <f t="shared" si="203"/>
        <v>0</v>
      </c>
      <c r="F309" s="88"/>
      <c r="G309" s="89">
        <f t="shared" si="178"/>
        <v>0</v>
      </c>
      <c r="H309" s="90">
        <f t="shared" si="179"/>
        <v>0</v>
      </c>
      <c r="I309" s="1383"/>
      <c r="J309" s="91"/>
      <c r="K309" s="138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3"/>
      <c r="AG309" s="92"/>
      <c r="AH309" s="92"/>
      <c r="AI309" s="92"/>
      <c r="AJ309" s="92"/>
      <c r="AK309" s="92"/>
      <c r="AL309" s="92"/>
      <c r="AM309" s="92"/>
      <c r="AN309" s="92"/>
      <c r="AO309" s="92"/>
      <c r="AP309" s="92"/>
      <c r="AQ309" s="92"/>
      <c r="AR309" s="92"/>
      <c r="AS309" s="92"/>
      <c r="AT309" s="93"/>
      <c r="AU309" s="94"/>
      <c r="AV309" s="1954">
        <f t="shared" si="204"/>
        <v>0</v>
      </c>
      <c r="AW309" s="1954">
        <f t="shared" si="205"/>
        <v>0</v>
      </c>
      <c r="AX309" s="195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0"/>
      <c r="C310" s="1381"/>
      <c r="D310" s="80"/>
      <c r="E310" s="87">
        <f t="shared" si="203"/>
        <v>0</v>
      </c>
      <c r="F310" s="88"/>
      <c r="G310" s="89">
        <f t="shared" si="178"/>
        <v>0</v>
      </c>
      <c r="H310" s="90">
        <f t="shared" si="179"/>
        <v>0</v>
      </c>
      <c r="I310" s="1383"/>
      <c r="J310" s="91"/>
      <c r="K310" s="138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3"/>
      <c r="AG310" s="92"/>
      <c r="AH310" s="92"/>
      <c r="AI310" s="92"/>
      <c r="AJ310" s="92"/>
      <c r="AK310" s="92"/>
      <c r="AL310" s="92"/>
      <c r="AM310" s="92"/>
      <c r="AN310" s="92"/>
      <c r="AO310" s="92"/>
      <c r="AP310" s="92"/>
      <c r="AQ310" s="92"/>
      <c r="AR310" s="92"/>
      <c r="AS310" s="92"/>
      <c r="AT310" s="93"/>
      <c r="AU310" s="94"/>
      <c r="AV310" s="1954">
        <f t="shared" si="204"/>
        <v>0</v>
      </c>
      <c r="AW310" s="1954">
        <f t="shared" si="205"/>
        <v>0</v>
      </c>
      <c r="AX310" s="195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0"/>
      <c r="C311" s="1381"/>
      <c r="D311" s="80"/>
      <c r="E311" s="87">
        <f t="shared" si="203"/>
        <v>0</v>
      </c>
      <c r="F311" s="88"/>
      <c r="G311" s="89">
        <f t="shared" si="178"/>
        <v>0</v>
      </c>
      <c r="H311" s="90">
        <f t="shared" si="179"/>
        <v>0</v>
      </c>
      <c r="I311" s="1383"/>
      <c r="J311" s="91"/>
      <c r="K311" s="138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3"/>
      <c r="AG311" s="92"/>
      <c r="AH311" s="92"/>
      <c r="AI311" s="92"/>
      <c r="AJ311" s="92"/>
      <c r="AK311" s="92"/>
      <c r="AL311" s="92"/>
      <c r="AM311" s="92"/>
      <c r="AN311" s="92"/>
      <c r="AO311" s="92"/>
      <c r="AP311" s="92"/>
      <c r="AQ311" s="92"/>
      <c r="AR311" s="92"/>
      <c r="AS311" s="92"/>
      <c r="AT311" s="93"/>
      <c r="AU311" s="94"/>
      <c r="AV311" s="1954">
        <f t="shared" si="204"/>
        <v>0</v>
      </c>
      <c r="AW311" s="1954">
        <f t="shared" si="205"/>
        <v>0</v>
      </c>
      <c r="AX311" s="195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0"/>
      <c r="C312" s="1381"/>
      <c r="D312" s="80"/>
      <c r="E312" s="87">
        <f t="shared" si="203"/>
        <v>0</v>
      </c>
      <c r="F312" s="88"/>
      <c r="G312" s="89">
        <f t="shared" si="178"/>
        <v>0</v>
      </c>
      <c r="H312" s="90">
        <f t="shared" si="179"/>
        <v>0</v>
      </c>
      <c r="I312" s="1383"/>
      <c r="J312" s="91"/>
      <c r="K312" s="138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3"/>
      <c r="AG312" s="92"/>
      <c r="AH312" s="92"/>
      <c r="AI312" s="92"/>
      <c r="AJ312" s="92"/>
      <c r="AK312" s="92"/>
      <c r="AL312" s="92"/>
      <c r="AM312" s="92"/>
      <c r="AN312" s="92"/>
      <c r="AO312" s="92"/>
      <c r="AP312" s="92"/>
      <c r="AQ312" s="92"/>
      <c r="AR312" s="92"/>
      <c r="AS312" s="92"/>
      <c r="AT312" s="93"/>
      <c r="AU312" s="94"/>
      <c r="AV312" s="1954">
        <f t="shared" si="204"/>
        <v>0</v>
      </c>
      <c r="AW312" s="1954">
        <f t="shared" si="205"/>
        <v>0</v>
      </c>
      <c r="AX312" s="195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0"/>
      <c r="C313" s="1381"/>
      <c r="D313" s="80"/>
      <c r="E313" s="87">
        <f t="shared" si="203"/>
        <v>0</v>
      </c>
      <c r="F313" s="88"/>
      <c r="G313" s="89">
        <f t="shared" si="178"/>
        <v>0</v>
      </c>
      <c r="H313" s="90">
        <f t="shared" si="179"/>
        <v>0</v>
      </c>
      <c r="I313" s="1383"/>
      <c r="J313" s="91"/>
      <c r="K313" s="138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3"/>
      <c r="AG313" s="92"/>
      <c r="AH313" s="92"/>
      <c r="AI313" s="92"/>
      <c r="AJ313" s="92"/>
      <c r="AK313" s="92"/>
      <c r="AL313" s="92"/>
      <c r="AM313" s="92"/>
      <c r="AN313" s="92"/>
      <c r="AO313" s="92"/>
      <c r="AP313" s="92"/>
      <c r="AQ313" s="92"/>
      <c r="AR313" s="92"/>
      <c r="AS313" s="92"/>
      <c r="AT313" s="93"/>
      <c r="AU313" s="94"/>
      <c r="AV313" s="1954">
        <f t="shared" si="204"/>
        <v>0</v>
      </c>
      <c r="AW313" s="1954">
        <f t="shared" si="205"/>
        <v>0</v>
      </c>
      <c r="AX313" s="195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0"/>
      <c r="C314" s="1381"/>
      <c r="D314" s="80"/>
      <c r="E314" s="87">
        <f t="shared" si="203"/>
        <v>0</v>
      </c>
      <c r="F314" s="88"/>
      <c r="G314" s="89">
        <f t="shared" si="178"/>
        <v>0</v>
      </c>
      <c r="H314" s="90">
        <f t="shared" si="179"/>
        <v>0</v>
      </c>
      <c r="I314" s="1383"/>
      <c r="J314" s="91"/>
      <c r="K314" s="138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3"/>
      <c r="AG314" s="92"/>
      <c r="AH314" s="92"/>
      <c r="AI314" s="92"/>
      <c r="AJ314" s="92"/>
      <c r="AK314" s="92"/>
      <c r="AL314" s="92"/>
      <c r="AM314" s="92"/>
      <c r="AN314" s="92"/>
      <c r="AO314" s="92"/>
      <c r="AP314" s="92"/>
      <c r="AQ314" s="92"/>
      <c r="AR314" s="92"/>
      <c r="AS314" s="92"/>
      <c r="AT314" s="93"/>
      <c r="AU314" s="94"/>
      <c r="AV314" s="1954">
        <f t="shared" si="204"/>
        <v>0</v>
      </c>
      <c r="AW314" s="1954">
        <f t="shared" si="205"/>
        <v>0</v>
      </c>
      <c r="AX314" s="195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0"/>
      <c r="C315" s="1381"/>
      <c r="D315" s="80"/>
      <c r="E315" s="87">
        <f t="shared" si="203"/>
        <v>0</v>
      </c>
      <c r="F315" s="88"/>
      <c r="G315" s="89">
        <f t="shared" si="178"/>
        <v>0</v>
      </c>
      <c r="H315" s="90">
        <f t="shared" si="179"/>
        <v>0</v>
      </c>
      <c r="I315" s="1383"/>
      <c r="J315" s="91"/>
      <c r="K315" s="138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3"/>
      <c r="AG315" s="92"/>
      <c r="AH315" s="92"/>
      <c r="AI315" s="92"/>
      <c r="AJ315" s="92"/>
      <c r="AK315" s="92"/>
      <c r="AL315" s="92"/>
      <c r="AM315" s="92"/>
      <c r="AN315" s="92"/>
      <c r="AO315" s="92"/>
      <c r="AP315" s="92"/>
      <c r="AQ315" s="92"/>
      <c r="AR315" s="92"/>
      <c r="AS315" s="92"/>
      <c r="AT315" s="93"/>
      <c r="AU315" s="94"/>
      <c r="AV315" s="1954">
        <f t="shared" si="204"/>
        <v>0</v>
      </c>
      <c r="AW315" s="1954">
        <f t="shared" si="205"/>
        <v>0</v>
      </c>
      <c r="AX315" s="195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0"/>
      <c r="C316" s="1381"/>
      <c r="D316" s="80"/>
      <c r="E316" s="87">
        <f t="shared" si="203"/>
        <v>0</v>
      </c>
      <c r="F316" s="88"/>
      <c r="G316" s="89">
        <f t="shared" si="178"/>
        <v>0</v>
      </c>
      <c r="H316" s="90">
        <f t="shared" si="179"/>
        <v>0</v>
      </c>
      <c r="I316" s="1383"/>
      <c r="J316" s="91"/>
      <c r="K316" s="138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3"/>
      <c r="AG316" s="92"/>
      <c r="AH316" s="92"/>
      <c r="AI316" s="92"/>
      <c r="AJ316" s="92"/>
      <c r="AK316" s="92"/>
      <c r="AL316" s="92"/>
      <c r="AM316" s="92"/>
      <c r="AN316" s="92"/>
      <c r="AO316" s="92"/>
      <c r="AP316" s="92"/>
      <c r="AQ316" s="92"/>
      <c r="AR316" s="92"/>
      <c r="AS316" s="92"/>
      <c r="AT316" s="93"/>
      <c r="AU316" s="94"/>
      <c r="AV316" s="1954">
        <f t="shared" si="204"/>
        <v>0</v>
      </c>
      <c r="AW316" s="1954">
        <f t="shared" si="205"/>
        <v>0</v>
      </c>
      <c r="AX316" s="195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0"/>
      <c r="C317" s="1381"/>
      <c r="D317" s="80"/>
      <c r="E317" s="87">
        <f t="shared" si="203"/>
        <v>0</v>
      </c>
      <c r="F317" s="88"/>
      <c r="G317" s="89">
        <f t="shared" si="178"/>
        <v>0</v>
      </c>
      <c r="H317" s="90">
        <f t="shared" si="179"/>
        <v>0</v>
      </c>
      <c r="I317" s="1383"/>
      <c r="J317" s="91"/>
      <c r="K317" s="138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3"/>
      <c r="AG317" s="92"/>
      <c r="AH317" s="92"/>
      <c r="AI317" s="92"/>
      <c r="AJ317" s="92"/>
      <c r="AK317" s="92"/>
      <c r="AL317" s="92"/>
      <c r="AM317" s="92"/>
      <c r="AN317" s="92"/>
      <c r="AO317" s="92"/>
      <c r="AP317" s="92"/>
      <c r="AQ317" s="92"/>
      <c r="AR317" s="92"/>
      <c r="AS317" s="92"/>
      <c r="AT317" s="93"/>
      <c r="AU317" s="94"/>
      <c r="AV317" s="1954">
        <f t="shared" si="204"/>
        <v>0</v>
      </c>
      <c r="AW317" s="1954">
        <f t="shared" si="205"/>
        <v>0</v>
      </c>
      <c r="AX317" s="195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0"/>
      <c r="C318" s="1381"/>
      <c r="D318" s="80"/>
      <c r="E318" s="87">
        <f t="shared" si="203"/>
        <v>0</v>
      </c>
      <c r="F318" s="88"/>
      <c r="G318" s="89">
        <f t="shared" si="178"/>
        <v>0</v>
      </c>
      <c r="H318" s="90">
        <f t="shared" si="179"/>
        <v>0</v>
      </c>
      <c r="I318" s="1383"/>
      <c r="J318" s="91"/>
      <c r="K318" s="138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3"/>
      <c r="AG318" s="92"/>
      <c r="AH318" s="92"/>
      <c r="AI318" s="92"/>
      <c r="AJ318" s="92"/>
      <c r="AK318" s="92"/>
      <c r="AL318" s="92"/>
      <c r="AM318" s="92"/>
      <c r="AN318" s="92"/>
      <c r="AO318" s="92"/>
      <c r="AP318" s="92"/>
      <c r="AQ318" s="92"/>
      <c r="AR318" s="92"/>
      <c r="AS318" s="92"/>
      <c r="AT318" s="93"/>
      <c r="AU318" s="94"/>
      <c r="AV318" s="1954">
        <f t="shared" si="204"/>
        <v>0</v>
      </c>
      <c r="AW318" s="1954">
        <f t="shared" si="205"/>
        <v>0</v>
      </c>
      <c r="AX318" s="195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0"/>
      <c r="C319" s="1381"/>
      <c r="D319" s="80"/>
      <c r="E319" s="87">
        <f t="shared" si="203"/>
        <v>0</v>
      </c>
      <c r="F319" s="88"/>
      <c r="G319" s="89">
        <f t="shared" si="178"/>
        <v>0</v>
      </c>
      <c r="H319" s="90">
        <f t="shared" si="179"/>
        <v>0</v>
      </c>
      <c r="I319" s="1383"/>
      <c r="J319" s="91"/>
      <c r="K319" s="138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3"/>
      <c r="AG319" s="92"/>
      <c r="AH319" s="92"/>
      <c r="AI319" s="92"/>
      <c r="AJ319" s="92"/>
      <c r="AK319" s="92"/>
      <c r="AL319" s="92"/>
      <c r="AM319" s="92"/>
      <c r="AN319" s="92"/>
      <c r="AO319" s="92"/>
      <c r="AP319" s="92"/>
      <c r="AQ319" s="92"/>
      <c r="AR319" s="92"/>
      <c r="AS319" s="92"/>
      <c r="AT319" s="93"/>
      <c r="AU319" s="94"/>
      <c r="AV319" s="1954">
        <f t="shared" si="204"/>
        <v>0</v>
      </c>
      <c r="AW319" s="1954">
        <f t="shared" si="205"/>
        <v>0</v>
      </c>
      <c r="AX319" s="195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0"/>
      <c r="C320" s="1381"/>
      <c r="D320" s="80"/>
      <c r="E320" s="87">
        <f t="shared" si="203"/>
        <v>0</v>
      </c>
      <c r="F320" s="88"/>
      <c r="G320" s="89">
        <f t="shared" si="178"/>
        <v>0</v>
      </c>
      <c r="H320" s="90">
        <f t="shared" si="179"/>
        <v>0</v>
      </c>
      <c r="I320" s="1383"/>
      <c r="J320" s="91"/>
      <c r="K320" s="138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3"/>
      <c r="AG320" s="92"/>
      <c r="AH320" s="92"/>
      <c r="AI320" s="92"/>
      <c r="AJ320" s="92"/>
      <c r="AK320" s="92"/>
      <c r="AL320" s="92"/>
      <c r="AM320" s="92"/>
      <c r="AN320" s="92"/>
      <c r="AO320" s="92"/>
      <c r="AP320" s="92"/>
      <c r="AQ320" s="92"/>
      <c r="AR320" s="92"/>
      <c r="AS320" s="92"/>
      <c r="AT320" s="93"/>
      <c r="AU320" s="94"/>
      <c r="AV320" s="1954">
        <f t="shared" si="204"/>
        <v>0</v>
      </c>
      <c r="AW320" s="1954">
        <f t="shared" si="205"/>
        <v>0</v>
      </c>
      <c r="AX320" s="195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0"/>
      <c r="C321" s="1381"/>
      <c r="D321" s="80"/>
      <c r="E321" s="87">
        <f t="shared" si="203"/>
        <v>0</v>
      </c>
      <c r="F321" s="88"/>
      <c r="G321" s="89">
        <f t="shared" si="178"/>
        <v>0</v>
      </c>
      <c r="H321" s="90">
        <f t="shared" si="179"/>
        <v>0</v>
      </c>
      <c r="I321" s="1383"/>
      <c r="J321" s="91"/>
      <c r="K321" s="138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3"/>
      <c r="AG321" s="92"/>
      <c r="AH321" s="92"/>
      <c r="AI321" s="92"/>
      <c r="AJ321" s="92"/>
      <c r="AK321" s="92"/>
      <c r="AL321" s="92"/>
      <c r="AM321" s="92"/>
      <c r="AN321" s="92"/>
      <c r="AO321" s="92"/>
      <c r="AP321" s="92"/>
      <c r="AQ321" s="92"/>
      <c r="AR321" s="92"/>
      <c r="AS321" s="92"/>
      <c r="AT321" s="93"/>
      <c r="AU321" s="94"/>
      <c r="AV321" s="1954">
        <f t="shared" si="204"/>
        <v>0</v>
      </c>
      <c r="AW321" s="1954">
        <f t="shared" si="205"/>
        <v>0</v>
      </c>
      <c r="AX321" s="195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0"/>
      <c r="C322" s="1381"/>
      <c r="D322" s="80"/>
      <c r="E322" s="87">
        <f t="shared" si="203"/>
        <v>0</v>
      </c>
      <c r="F322" s="88"/>
      <c r="G322" s="89">
        <f t="shared" si="178"/>
        <v>0</v>
      </c>
      <c r="H322" s="90">
        <f t="shared" si="179"/>
        <v>0</v>
      </c>
      <c r="I322" s="1383"/>
      <c r="J322" s="91"/>
      <c r="K322" s="138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3"/>
      <c r="AG322" s="92"/>
      <c r="AH322" s="92"/>
      <c r="AI322" s="92"/>
      <c r="AJ322" s="92"/>
      <c r="AK322" s="92"/>
      <c r="AL322" s="92"/>
      <c r="AM322" s="92"/>
      <c r="AN322" s="92"/>
      <c r="AO322" s="92"/>
      <c r="AP322" s="92"/>
      <c r="AQ322" s="92"/>
      <c r="AR322" s="92"/>
      <c r="AS322" s="92"/>
      <c r="AT322" s="93"/>
      <c r="AU322" s="94"/>
      <c r="AV322" s="1954">
        <f t="shared" si="204"/>
        <v>0</v>
      </c>
      <c r="AW322" s="1954">
        <f t="shared" si="205"/>
        <v>0</v>
      </c>
      <c r="AX322" s="195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0"/>
      <c r="C323" s="1381"/>
      <c r="D323" s="80"/>
      <c r="E323" s="87">
        <f t="shared" si="203"/>
        <v>0</v>
      </c>
      <c r="F323" s="88"/>
      <c r="G323" s="89">
        <f t="shared" si="178"/>
        <v>0</v>
      </c>
      <c r="H323" s="90">
        <f t="shared" si="179"/>
        <v>0</v>
      </c>
      <c r="I323" s="1383"/>
      <c r="J323" s="91"/>
      <c r="K323" s="138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1"/>
      <c r="AG323" s="92"/>
      <c r="AH323" s="92"/>
      <c r="AI323" s="92"/>
      <c r="AJ323" s="92"/>
      <c r="AK323" s="92"/>
      <c r="AL323" s="92"/>
      <c r="AM323" s="92"/>
      <c r="AN323" s="92"/>
      <c r="AO323" s="92"/>
      <c r="AP323" s="92"/>
      <c r="AQ323" s="92"/>
      <c r="AR323" s="92"/>
      <c r="AS323" s="92"/>
      <c r="AT323" s="93"/>
      <c r="AU323" s="94"/>
      <c r="AV323" s="1954">
        <f t="shared" si="204"/>
        <v>0</v>
      </c>
      <c r="AW323" s="1954">
        <f t="shared" si="205"/>
        <v>0</v>
      </c>
      <c r="AX323" s="195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0"/>
      <c r="C324" s="1381"/>
      <c r="D324" s="80"/>
      <c r="E324" s="87">
        <f t="shared" si="203"/>
        <v>0</v>
      </c>
      <c r="F324" s="88"/>
      <c r="G324" s="89">
        <f t="shared" si="178"/>
        <v>0</v>
      </c>
      <c r="H324" s="90">
        <f t="shared" si="179"/>
        <v>0</v>
      </c>
      <c r="I324" s="1381"/>
      <c r="J324" s="91"/>
      <c r="K324" s="138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1"/>
      <c r="AG324" s="92"/>
      <c r="AH324" s="92"/>
      <c r="AI324" s="92"/>
      <c r="AJ324" s="92"/>
      <c r="AK324" s="92"/>
      <c r="AL324" s="92"/>
      <c r="AM324" s="92"/>
      <c r="AN324" s="92"/>
      <c r="AO324" s="92"/>
      <c r="AP324" s="92"/>
      <c r="AQ324" s="92"/>
      <c r="AR324" s="92"/>
      <c r="AS324" s="92"/>
      <c r="AT324" s="93"/>
      <c r="AU324" s="94"/>
      <c r="AV324" s="1954">
        <f t="shared" si="204"/>
        <v>0</v>
      </c>
      <c r="AW324" s="1954">
        <f t="shared" si="205"/>
        <v>0</v>
      </c>
      <c r="AX324" s="195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0"/>
      <c r="C325" s="1381"/>
      <c r="D325" s="80"/>
      <c r="E325" s="87">
        <f t="shared" si="203"/>
        <v>0</v>
      </c>
      <c r="F325" s="88"/>
      <c r="G325" s="89">
        <f t="shared" si="178"/>
        <v>0</v>
      </c>
      <c r="H325" s="90">
        <f t="shared" si="179"/>
        <v>0</v>
      </c>
      <c r="I325" s="1381"/>
      <c r="J325" s="91"/>
      <c r="K325" s="138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1"/>
      <c r="AG325" s="92"/>
      <c r="AH325" s="92"/>
      <c r="AI325" s="92"/>
      <c r="AJ325" s="92"/>
      <c r="AK325" s="92"/>
      <c r="AL325" s="92"/>
      <c r="AM325" s="92"/>
      <c r="AN325" s="92"/>
      <c r="AO325" s="92"/>
      <c r="AP325" s="92"/>
      <c r="AQ325" s="92"/>
      <c r="AR325" s="92"/>
      <c r="AS325" s="92"/>
      <c r="AT325" s="93"/>
      <c r="AU325" s="94"/>
      <c r="AV325" s="1954">
        <f t="shared" si="204"/>
        <v>0</v>
      </c>
      <c r="AW325" s="1954">
        <f t="shared" si="205"/>
        <v>0</v>
      </c>
      <c r="AX325" s="195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0"/>
      <c r="C326" s="1381"/>
      <c r="D326" s="80"/>
      <c r="E326" s="87">
        <f t="shared" si="203"/>
        <v>0</v>
      </c>
      <c r="F326" s="88"/>
      <c r="G326" s="89">
        <f t="shared" ref="G326:G357" si="207">H326+AC326+AT326</f>
        <v>0</v>
      </c>
      <c r="H326" s="90">
        <f t="shared" ref="H326:H357" si="208">SUMIF(I$12:AB$12,"总值",I326:AB326)</f>
        <v>0</v>
      </c>
      <c r="I326" s="1381"/>
      <c r="J326" s="91"/>
      <c r="K326" s="138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1"/>
      <c r="AG326" s="92"/>
      <c r="AH326" s="92"/>
      <c r="AI326" s="92"/>
      <c r="AJ326" s="92"/>
      <c r="AK326" s="92"/>
      <c r="AL326" s="92"/>
      <c r="AM326" s="92"/>
      <c r="AN326" s="92"/>
      <c r="AO326" s="92"/>
      <c r="AP326" s="92"/>
      <c r="AQ326" s="92"/>
      <c r="AR326" s="92"/>
      <c r="AS326" s="92"/>
      <c r="AT326" s="93"/>
      <c r="AU326" s="94"/>
      <c r="AV326" s="1954">
        <f t="shared" si="204"/>
        <v>0</v>
      </c>
      <c r="AW326" s="1954">
        <f t="shared" si="205"/>
        <v>0</v>
      </c>
      <c r="AX326" s="195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0"/>
      <c r="C327" s="1381"/>
      <c r="D327" s="80"/>
      <c r="E327" s="87">
        <f t="shared" si="203"/>
        <v>0</v>
      </c>
      <c r="F327" s="88"/>
      <c r="G327" s="89">
        <f t="shared" si="207"/>
        <v>0</v>
      </c>
      <c r="H327" s="90">
        <f t="shared" si="208"/>
        <v>0</v>
      </c>
      <c r="I327" s="1381"/>
      <c r="J327" s="91"/>
      <c r="K327" s="138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1"/>
      <c r="AG327" s="92"/>
      <c r="AH327" s="92"/>
      <c r="AI327" s="92"/>
      <c r="AJ327" s="92"/>
      <c r="AK327" s="92"/>
      <c r="AL327" s="92"/>
      <c r="AM327" s="92"/>
      <c r="AN327" s="92"/>
      <c r="AO327" s="92"/>
      <c r="AP327" s="92"/>
      <c r="AQ327" s="92"/>
      <c r="AR327" s="92"/>
      <c r="AS327" s="92"/>
      <c r="AT327" s="93"/>
      <c r="AU327" s="94"/>
      <c r="AV327" s="1954">
        <f t="shared" si="204"/>
        <v>0</v>
      </c>
      <c r="AW327" s="1954">
        <f t="shared" si="205"/>
        <v>0</v>
      </c>
      <c r="AX327" s="195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0"/>
      <c r="C328" s="1381"/>
      <c r="D328" s="80"/>
      <c r="E328" s="87">
        <f t="shared" si="203"/>
        <v>0</v>
      </c>
      <c r="F328" s="88"/>
      <c r="G328" s="89">
        <f t="shared" si="207"/>
        <v>0</v>
      </c>
      <c r="H328" s="90">
        <f t="shared" si="208"/>
        <v>0</v>
      </c>
      <c r="I328" s="1381"/>
      <c r="J328" s="91"/>
      <c r="K328" s="138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1"/>
      <c r="AG328" s="92"/>
      <c r="AH328" s="92"/>
      <c r="AI328" s="92"/>
      <c r="AJ328" s="92"/>
      <c r="AK328" s="92"/>
      <c r="AL328" s="92"/>
      <c r="AM328" s="92"/>
      <c r="AN328" s="92"/>
      <c r="AO328" s="92"/>
      <c r="AP328" s="92"/>
      <c r="AQ328" s="92"/>
      <c r="AR328" s="92"/>
      <c r="AS328" s="92"/>
      <c r="AT328" s="93"/>
      <c r="AU328" s="94"/>
      <c r="AV328" s="1954">
        <f t="shared" si="204"/>
        <v>0</v>
      </c>
      <c r="AW328" s="1954">
        <f t="shared" si="205"/>
        <v>0</v>
      </c>
      <c r="AX328" s="195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0"/>
      <c r="C329" s="1381"/>
      <c r="D329" s="80"/>
      <c r="E329" s="87">
        <f t="shared" ref="E329:E360" si="232">IF($C$3="是",ROUND($A$3*G329/$B$3,2),ROUND($A$3*(G329-AT329)/$B$3,2))</f>
        <v>0</v>
      </c>
      <c r="F329" s="88"/>
      <c r="G329" s="89">
        <f t="shared" si="207"/>
        <v>0</v>
      </c>
      <c r="H329" s="90">
        <f t="shared" si="208"/>
        <v>0</v>
      </c>
      <c r="I329" s="1381"/>
      <c r="J329" s="91"/>
      <c r="K329" s="138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1"/>
      <c r="AG329" s="92"/>
      <c r="AH329" s="92"/>
      <c r="AI329" s="92"/>
      <c r="AJ329" s="92"/>
      <c r="AK329" s="92"/>
      <c r="AL329" s="92"/>
      <c r="AM329" s="92"/>
      <c r="AN329" s="92"/>
      <c r="AO329" s="92"/>
      <c r="AP329" s="92"/>
      <c r="AQ329" s="92"/>
      <c r="AR329" s="92"/>
      <c r="AS329" s="92"/>
      <c r="AT329" s="93"/>
      <c r="AU329" s="94"/>
      <c r="AV329" s="1954">
        <f t="shared" ref="AV329:AV360" si="233">A329</f>
        <v>0</v>
      </c>
      <c r="AW329" s="1954">
        <f t="shared" ref="AW329:AW360" si="234">B329</f>
        <v>0</v>
      </c>
      <c r="AX329" s="195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0"/>
      <c r="C330" s="1381"/>
      <c r="D330" s="80"/>
      <c r="E330" s="87">
        <f t="shared" si="232"/>
        <v>0</v>
      </c>
      <c r="F330" s="88"/>
      <c r="G330" s="89">
        <f t="shared" si="207"/>
        <v>0</v>
      </c>
      <c r="H330" s="90">
        <f t="shared" si="208"/>
        <v>0</v>
      </c>
      <c r="I330" s="1381"/>
      <c r="J330" s="91"/>
      <c r="K330" s="138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1"/>
      <c r="AG330" s="92"/>
      <c r="AH330" s="92"/>
      <c r="AI330" s="92"/>
      <c r="AJ330" s="92"/>
      <c r="AK330" s="92"/>
      <c r="AL330" s="92"/>
      <c r="AM330" s="92"/>
      <c r="AN330" s="92"/>
      <c r="AO330" s="92"/>
      <c r="AP330" s="92"/>
      <c r="AQ330" s="92"/>
      <c r="AR330" s="92"/>
      <c r="AS330" s="92"/>
      <c r="AT330" s="93"/>
      <c r="AU330" s="94"/>
      <c r="AV330" s="1954">
        <f t="shared" si="233"/>
        <v>0</v>
      </c>
      <c r="AW330" s="1954">
        <f t="shared" si="234"/>
        <v>0</v>
      </c>
      <c r="AX330" s="195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2"/>
      <c r="C331" s="1383"/>
      <c r="D331" s="80"/>
      <c r="E331" s="87">
        <f t="shared" si="232"/>
        <v>0</v>
      </c>
      <c r="F331" s="88"/>
      <c r="G331" s="89">
        <f t="shared" si="207"/>
        <v>0</v>
      </c>
      <c r="H331" s="90">
        <f t="shared" si="208"/>
        <v>0</v>
      </c>
      <c r="I331" s="1381"/>
      <c r="J331" s="91"/>
      <c r="K331" s="1381"/>
      <c r="L331" s="91"/>
      <c r="M331" s="1381"/>
      <c r="N331" s="91"/>
      <c r="O331" s="91"/>
      <c r="P331" s="91"/>
      <c r="Q331" s="91"/>
      <c r="R331" s="91"/>
      <c r="S331" s="91"/>
      <c r="T331" s="91"/>
      <c r="U331" s="91"/>
      <c r="V331" s="91"/>
      <c r="W331" s="91"/>
      <c r="X331" s="91"/>
      <c r="Y331" s="91"/>
      <c r="Z331" s="91"/>
      <c r="AA331" s="91"/>
      <c r="AB331" s="91"/>
      <c r="AC331" s="87">
        <f t="shared" si="209"/>
        <v>0</v>
      </c>
      <c r="AD331" s="92"/>
      <c r="AE331" s="92"/>
      <c r="AF331" s="1381"/>
      <c r="AG331" s="92"/>
      <c r="AH331" s="92"/>
      <c r="AI331" s="92"/>
      <c r="AJ331" s="92"/>
      <c r="AK331" s="92"/>
      <c r="AL331" s="92"/>
      <c r="AM331" s="92"/>
      <c r="AN331" s="92"/>
      <c r="AO331" s="92"/>
      <c r="AP331" s="92"/>
      <c r="AQ331" s="92"/>
      <c r="AR331" s="92"/>
      <c r="AS331" s="92"/>
      <c r="AT331" s="93"/>
      <c r="AU331" s="94"/>
      <c r="AV331" s="1954">
        <f t="shared" si="233"/>
        <v>0</v>
      </c>
      <c r="AW331" s="1954">
        <f t="shared" si="234"/>
        <v>0</v>
      </c>
      <c r="AX331" s="195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4">
        <f t="shared" si="233"/>
        <v>0</v>
      </c>
      <c r="AW332" s="1954">
        <f t="shared" si="234"/>
        <v>0</v>
      </c>
      <c r="AX332" s="195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4">
        <f t="shared" si="233"/>
        <v>0</v>
      </c>
      <c r="AW333" s="1954">
        <f t="shared" si="234"/>
        <v>0</v>
      </c>
      <c r="AX333" s="195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4">
        <f t="shared" si="233"/>
        <v>0</v>
      </c>
      <c r="AW334" s="1954">
        <f t="shared" si="234"/>
        <v>0</v>
      </c>
      <c r="AX334" s="195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4">
        <f t="shared" si="233"/>
        <v>0</v>
      </c>
      <c r="AW335" s="1954">
        <f t="shared" si="234"/>
        <v>0</v>
      </c>
      <c r="AX335" s="195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4">
        <f t="shared" si="233"/>
        <v>0</v>
      </c>
      <c r="AW336" s="1954">
        <f t="shared" si="234"/>
        <v>0</v>
      </c>
      <c r="AX336" s="195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4">
        <f t="shared" si="233"/>
        <v>0</v>
      </c>
      <c r="AW337" s="1954">
        <f t="shared" si="234"/>
        <v>0</v>
      </c>
      <c r="AX337" s="195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4">
        <f t="shared" si="233"/>
        <v>0</v>
      </c>
      <c r="AW338" s="1954">
        <f t="shared" si="234"/>
        <v>0</v>
      </c>
      <c r="AX338" s="195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4">
        <f t="shared" si="233"/>
        <v>0</v>
      </c>
      <c r="AW339" s="1954">
        <f t="shared" si="234"/>
        <v>0</v>
      </c>
      <c r="AX339" s="195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4">
        <f t="shared" si="233"/>
        <v>0</v>
      </c>
      <c r="AW340" s="1954">
        <f t="shared" si="234"/>
        <v>0</v>
      </c>
      <c r="AX340" s="195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4">
        <f t="shared" si="233"/>
        <v>0</v>
      </c>
      <c r="AW341" s="1954">
        <f t="shared" si="234"/>
        <v>0</v>
      </c>
      <c r="AX341" s="195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4">
        <f t="shared" si="233"/>
        <v>0</v>
      </c>
      <c r="AW342" s="1954">
        <f t="shared" si="234"/>
        <v>0</v>
      </c>
      <c r="AX342" s="195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4">
        <f t="shared" si="233"/>
        <v>0</v>
      </c>
      <c r="AW343" s="1954">
        <f t="shared" si="234"/>
        <v>0</v>
      </c>
      <c r="AX343" s="195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4">
        <f t="shared" si="233"/>
        <v>0</v>
      </c>
      <c r="AW344" s="1954">
        <f t="shared" si="234"/>
        <v>0</v>
      </c>
      <c r="AX344" s="195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4">
        <f t="shared" si="233"/>
        <v>0</v>
      </c>
      <c r="AW345" s="1954">
        <f t="shared" si="234"/>
        <v>0</v>
      </c>
      <c r="AX345" s="195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4">
        <f t="shared" si="233"/>
        <v>0</v>
      </c>
      <c r="AW346" s="1954">
        <f t="shared" si="234"/>
        <v>0</v>
      </c>
      <c r="AX346" s="195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4">
        <f t="shared" si="233"/>
        <v>0</v>
      </c>
      <c r="AW347" s="1954">
        <f t="shared" si="234"/>
        <v>0</v>
      </c>
      <c r="AX347" s="195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4">
        <f t="shared" si="233"/>
        <v>0</v>
      </c>
      <c r="AW348" s="1954">
        <f t="shared" si="234"/>
        <v>0</v>
      </c>
      <c r="AX348" s="195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4">
        <f t="shared" si="233"/>
        <v>0</v>
      </c>
      <c r="AW349" s="1954">
        <f t="shared" si="234"/>
        <v>0</v>
      </c>
      <c r="AX349" s="195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4">
        <f t="shared" si="233"/>
        <v>0</v>
      </c>
      <c r="AW350" s="1954">
        <f t="shared" si="234"/>
        <v>0</v>
      </c>
      <c r="AX350" s="195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4">
        <f t="shared" si="233"/>
        <v>0</v>
      </c>
      <c r="AW351" s="1954">
        <f t="shared" si="234"/>
        <v>0</v>
      </c>
      <c r="AX351" s="195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4">
        <f t="shared" si="233"/>
        <v>0</v>
      </c>
      <c r="AW352" s="1954">
        <f t="shared" si="234"/>
        <v>0</v>
      </c>
      <c r="AX352" s="195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4">
        <f t="shared" si="233"/>
        <v>0</v>
      </c>
      <c r="AW353" s="1954">
        <f t="shared" si="234"/>
        <v>0</v>
      </c>
      <c r="AX353" s="195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4">
        <f t="shared" si="233"/>
        <v>0</v>
      </c>
      <c r="AW354" s="1954">
        <f t="shared" si="234"/>
        <v>0</v>
      </c>
      <c r="AX354" s="195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4">
        <f t="shared" si="233"/>
        <v>0</v>
      </c>
      <c r="AW355" s="1954">
        <f t="shared" si="234"/>
        <v>0</v>
      </c>
      <c r="AX355" s="195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4">
        <f t="shared" si="233"/>
        <v>0</v>
      </c>
      <c r="AW356" s="1954">
        <f t="shared" si="234"/>
        <v>0</v>
      </c>
      <c r="AX356" s="195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4">
        <f t="shared" si="233"/>
        <v>0</v>
      </c>
      <c r="AW357" s="1954">
        <f t="shared" si="234"/>
        <v>0</v>
      </c>
      <c r="AX357" s="195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4">
        <f t="shared" si="233"/>
        <v>0</v>
      </c>
      <c r="AW358" s="1954">
        <f t="shared" si="234"/>
        <v>0</v>
      </c>
      <c r="AX358" s="195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4">
        <f t="shared" si="233"/>
        <v>0</v>
      </c>
      <c r="AW359" s="1954">
        <f t="shared" si="234"/>
        <v>0</v>
      </c>
      <c r="AX359" s="195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4">
        <f t="shared" si="233"/>
        <v>0</v>
      </c>
      <c r="AW360" s="1954">
        <f t="shared" si="234"/>
        <v>0</v>
      </c>
      <c r="AX360" s="195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4">
        <f t="shared" ref="AV361:AV388" si="262">A361</f>
        <v>0</v>
      </c>
      <c r="AW361" s="1954">
        <f t="shared" ref="AW361:AW388" si="263">B361</f>
        <v>0</v>
      </c>
      <c r="AX361" s="195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4">
        <f t="shared" si="262"/>
        <v>0</v>
      </c>
      <c r="AW362" s="1954">
        <f t="shared" si="263"/>
        <v>0</v>
      </c>
      <c r="AX362" s="195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4">
        <f t="shared" si="262"/>
        <v>0</v>
      </c>
      <c r="AW363" s="1954">
        <f t="shared" si="263"/>
        <v>0</v>
      </c>
      <c r="AX363" s="195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4">
        <f t="shared" si="262"/>
        <v>0</v>
      </c>
      <c r="AW364" s="1954">
        <f t="shared" si="263"/>
        <v>0</v>
      </c>
      <c r="AX364" s="195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4">
        <f t="shared" si="262"/>
        <v>0</v>
      </c>
      <c r="AW365" s="1954">
        <f t="shared" si="263"/>
        <v>0</v>
      </c>
      <c r="AX365" s="195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4">
        <f t="shared" si="262"/>
        <v>0</v>
      </c>
      <c r="AW366" s="1954">
        <f t="shared" si="263"/>
        <v>0</v>
      </c>
      <c r="AX366" s="195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4">
        <f t="shared" si="262"/>
        <v>0</v>
      </c>
      <c r="AW367" s="1954">
        <f t="shared" si="263"/>
        <v>0</v>
      </c>
      <c r="AX367" s="195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4">
        <f t="shared" si="262"/>
        <v>0</v>
      </c>
      <c r="AW368" s="1954">
        <f t="shared" si="263"/>
        <v>0</v>
      </c>
      <c r="AX368" s="195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4">
        <f t="shared" si="262"/>
        <v>0</v>
      </c>
      <c r="AW369" s="1954">
        <f t="shared" si="263"/>
        <v>0</v>
      </c>
      <c r="AX369" s="195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4">
        <f t="shared" si="262"/>
        <v>0</v>
      </c>
      <c r="AW370" s="1954">
        <f t="shared" si="263"/>
        <v>0</v>
      </c>
      <c r="AX370" s="195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4">
        <f t="shared" si="262"/>
        <v>0</v>
      </c>
      <c r="AW371" s="1954">
        <f t="shared" si="263"/>
        <v>0</v>
      </c>
      <c r="AX371" s="195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4">
        <f t="shared" si="262"/>
        <v>0</v>
      </c>
      <c r="AW372" s="1954">
        <f t="shared" si="263"/>
        <v>0</v>
      </c>
      <c r="AX372" s="195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4">
        <f t="shared" si="262"/>
        <v>0</v>
      </c>
      <c r="AW373" s="1954">
        <f t="shared" si="263"/>
        <v>0</v>
      </c>
      <c r="AX373" s="195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4">
        <f t="shared" si="262"/>
        <v>0</v>
      </c>
      <c r="AW374" s="1954">
        <f t="shared" si="263"/>
        <v>0</v>
      </c>
      <c r="AX374" s="195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4">
        <f t="shared" si="262"/>
        <v>0</v>
      </c>
      <c r="AW375" s="1954">
        <f t="shared" si="263"/>
        <v>0</v>
      </c>
      <c r="AX375" s="195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4">
        <f t="shared" si="262"/>
        <v>0</v>
      </c>
      <c r="AW376" s="1954">
        <f t="shared" si="263"/>
        <v>0</v>
      </c>
      <c r="AX376" s="195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4">
        <f t="shared" si="262"/>
        <v>0</v>
      </c>
      <c r="AW377" s="1954">
        <f t="shared" si="263"/>
        <v>0</v>
      </c>
      <c r="AX377" s="195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4">
        <f t="shared" si="262"/>
        <v>0</v>
      </c>
      <c r="AW378" s="1954">
        <f t="shared" si="263"/>
        <v>0</v>
      </c>
      <c r="AX378" s="195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4">
        <f t="shared" si="262"/>
        <v>0</v>
      </c>
      <c r="AW379" s="1954">
        <f t="shared" si="263"/>
        <v>0</v>
      </c>
      <c r="AX379" s="195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4">
        <f t="shared" si="262"/>
        <v>0</v>
      </c>
      <c r="AW380" s="1954">
        <f t="shared" si="263"/>
        <v>0</v>
      </c>
      <c r="AX380" s="195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4">
        <f t="shared" si="262"/>
        <v>0</v>
      </c>
      <c r="AW381" s="1954">
        <f t="shared" si="263"/>
        <v>0</v>
      </c>
      <c r="AX381" s="195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4">
        <f t="shared" si="262"/>
        <v>0</v>
      </c>
      <c r="AW382" s="1954">
        <f t="shared" si="263"/>
        <v>0</v>
      </c>
      <c r="AX382" s="195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4">
        <f t="shared" si="262"/>
        <v>0</v>
      </c>
      <c r="AW383" s="1954">
        <f t="shared" si="263"/>
        <v>0</v>
      </c>
      <c r="AX383" s="195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4">
        <f t="shared" si="262"/>
        <v>0</v>
      </c>
      <c r="AW384" s="1954">
        <f t="shared" si="263"/>
        <v>0</v>
      </c>
      <c r="AX384" s="195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4">
        <f t="shared" si="262"/>
        <v>0</v>
      </c>
      <c r="AW385" s="1954">
        <f t="shared" si="263"/>
        <v>0</v>
      </c>
      <c r="AX385" s="195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4">
        <f t="shared" si="262"/>
        <v>0</v>
      </c>
      <c r="AW386" s="1954">
        <f t="shared" si="263"/>
        <v>0</v>
      </c>
      <c r="AX386" s="195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4">
        <f t="shared" si="262"/>
        <v>0</v>
      </c>
      <c r="AW387" s="1954">
        <f t="shared" si="263"/>
        <v>0</v>
      </c>
      <c r="AX387" s="195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4">
        <f t="shared" si="262"/>
        <v>0</v>
      </c>
      <c r="AW388" s="1954">
        <f t="shared" si="263"/>
        <v>0</v>
      </c>
      <c r="AX388" s="195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0"/>
      <c r="C389" s="1381"/>
      <c r="D389" s="80"/>
      <c r="E389" s="87">
        <f t="shared" ref="E389:E480" si="265">IF($C$3="是",ROUND($A$3*G389/$B$3,2),ROUND($A$3*(G389-AT389)/$B$3,2))</f>
        <v>0</v>
      </c>
      <c r="F389" s="88"/>
      <c r="G389" s="89">
        <f t="shared" ref="G389:G477" si="266">H389+AC389+AT389</f>
        <v>0</v>
      </c>
      <c r="H389" s="90">
        <f t="shared" ref="H389:H477" si="267">SUMIF(I$12:AB$12,"总值",I389:AB389)</f>
        <v>0</v>
      </c>
      <c r="I389" s="1383"/>
      <c r="J389" s="91"/>
      <c r="K389" s="138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4"/>
      <c r="AG389" s="92"/>
      <c r="AH389" s="92"/>
      <c r="AI389" s="92"/>
      <c r="AJ389" s="92"/>
      <c r="AK389" s="92"/>
      <c r="AL389" s="92"/>
      <c r="AM389" s="92"/>
      <c r="AN389" s="1350"/>
      <c r="AO389" s="92"/>
      <c r="AP389" s="92"/>
      <c r="AQ389" s="92"/>
      <c r="AR389" s="92"/>
      <c r="AS389" s="92"/>
      <c r="AT389" s="93"/>
      <c r="AU389" s="94"/>
      <c r="AV389" s="1954">
        <f t="shared" ref="AV389:AV480" si="269">A389</f>
        <v>0</v>
      </c>
      <c r="AW389" s="1954">
        <f t="shared" ref="AW389:AW480" si="270">B389</f>
        <v>0</v>
      </c>
      <c r="AX389" s="195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0"/>
      <c r="C390" s="1381"/>
      <c r="D390" s="80"/>
      <c r="E390" s="87">
        <f t="shared" si="265"/>
        <v>0</v>
      </c>
      <c r="F390" s="88"/>
      <c r="G390" s="89">
        <f t="shared" si="266"/>
        <v>0</v>
      </c>
      <c r="H390" s="90">
        <f t="shared" si="267"/>
        <v>0</v>
      </c>
      <c r="I390" s="1383"/>
      <c r="J390" s="91"/>
      <c r="K390" s="1383"/>
      <c r="L390" s="91"/>
      <c r="M390" s="1350"/>
      <c r="N390" s="91"/>
      <c r="O390" s="91"/>
      <c r="P390" s="91"/>
      <c r="Q390" s="91"/>
      <c r="R390" s="91"/>
      <c r="S390" s="91"/>
      <c r="T390" s="91"/>
      <c r="U390" s="91"/>
      <c r="V390" s="91"/>
      <c r="W390" s="91"/>
      <c r="X390" s="91"/>
      <c r="Y390" s="91"/>
      <c r="Z390" s="91"/>
      <c r="AA390" s="91"/>
      <c r="AB390" s="91"/>
      <c r="AC390" s="87">
        <f t="shared" si="268"/>
        <v>0</v>
      </c>
      <c r="AD390" s="1350"/>
      <c r="AE390" s="92"/>
      <c r="AF390" s="1384"/>
      <c r="AG390" s="92"/>
      <c r="AH390" s="92"/>
      <c r="AI390" s="92"/>
      <c r="AJ390" s="92"/>
      <c r="AK390" s="92"/>
      <c r="AL390" s="1350"/>
      <c r="AM390" s="92"/>
      <c r="AN390" s="1350"/>
      <c r="AO390" s="92"/>
      <c r="AP390" s="92"/>
      <c r="AQ390" s="92"/>
      <c r="AR390" s="92"/>
      <c r="AS390" s="92"/>
      <c r="AT390" s="93"/>
      <c r="AU390" s="94"/>
      <c r="AV390" s="1954">
        <f t="shared" si="269"/>
        <v>0</v>
      </c>
      <c r="AW390" s="1954">
        <f t="shared" si="270"/>
        <v>0</v>
      </c>
      <c r="AX390" s="195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0"/>
      <c r="C391" s="1381"/>
      <c r="D391" s="80"/>
      <c r="E391" s="87">
        <f t="shared" si="265"/>
        <v>0</v>
      </c>
      <c r="F391" s="88"/>
      <c r="G391" s="89">
        <f t="shared" si="266"/>
        <v>0</v>
      </c>
      <c r="H391" s="90">
        <f t="shared" si="267"/>
        <v>0</v>
      </c>
      <c r="I391" s="1383"/>
      <c r="J391" s="91"/>
      <c r="K391" s="1383"/>
      <c r="L391" s="91"/>
      <c r="M391" s="1350"/>
      <c r="N391" s="91"/>
      <c r="O391" s="91"/>
      <c r="P391" s="91"/>
      <c r="Q391" s="91"/>
      <c r="R391" s="91"/>
      <c r="S391" s="91"/>
      <c r="T391" s="91"/>
      <c r="U391" s="91"/>
      <c r="V391" s="91"/>
      <c r="W391" s="91"/>
      <c r="X391" s="91"/>
      <c r="Y391" s="91"/>
      <c r="Z391" s="91"/>
      <c r="AA391" s="91"/>
      <c r="AB391" s="91"/>
      <c r="AC391" s="87">
        <f t="shared" si="268"/>
        <v>0</v>
      </c>
      <c r="AD391" s="92"/>
      <c r="AE391" s="92"/>
      <c r="AF391" s="1384"/>
      <c r="AG391" s="92"/>
      <c r="AH391" s="92"/>
      <c r="AI391" s="92"/>
      <c r="AJ391" s="92"/>
      <c r="AK391" s="92"/>
      <c r="AL391" s="1350"/>
      <c r="AM391" s="92"/>
      <c r="AN391" s="1350"/>
      <c r="AO391" s="92"/>
      <c r="AP391" s="92"/>
      <c r="AQ391" s="92"/>
      <c r="AR391" s="92"/>
      <c r="AS391" s="92"/>
      <c r="AT391" s="93"/>
      <c r="AU391" s="94"/>
      <c r="AV391" s="1954">
        <f t="shared" si="269"/>
        <v>0</v>
      </c>
      <c r="AW391" s="1954">
        <f t="shared" si="270"/>
        <v>0</v>
      </c>
      <c r="AX391" s="195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0"/>
      <c r="C392" s="1381"/>
      <c r="D392" s="80"/>
      <c r="E392" s="87">
        <f t="shared" si="265"/>
        <v>0</v>
      </c>
      <c r="F392" s="88"/>
      <c r="G392" s="89">
        <f t="shared" si="266"/>
        <v>0</v>
      </c>
      <c r="H392" s="90">
        <f t="shared" si="267"/>
        <v>0</v>
      </c>
      <c r="I392" s="1383"/>
      <c r="J392" s="91"/>
      <c r="K392" s="1383"/>
      <c r="L392" s="91"/>
      <c r="M392" s="91"/>
      <c r="N392" s="91"/>
      <c r="O392" s="1350"/>
      <c r="P392" s="91"/>
      <c r="Q392" s="91"/>
      <c r="R392" s="91"/>
      <c r="S392" s="91"/>
      <c r="T392" s="91"/>
      <c r="U392" s="91"/>
      <c r="V392" s="91"/>
      <c r="W392" s="91"/>
      <c r="X392" s="91"/>
      <c r="Y392" s="91"/>
      <c r="Z392" s="91"/>
      <c r="AA392" s="91"/>
      <c r="AB392" s="91"/>
      <c r="AC392" s="87">
        <f t="shared" si="268"/>
        <v>0</v>
      </c>
      <c r="AD392" s="92"/>
      <c r="AE392" s="92"/>
      <c r="AF392" s="1384"/>
      <c r="AG392" s="92"/>
      <c r="AH392" s="92"/>
      <c r="AI392" s="92"/>
      <c r="AJ392" s="92"/>
      <c r="AK392" s="92"/>
      <c r="AL392" s="92"/>
      <c r="AM392" s="92"/>
      <c r="AN392" s="1350"/>
      <c r="AO392" s="92"/>
      <c r="AP392" s="92"/>
      <c r="AQ392" s="92"/>
      <c r="AR392" s="92"/>
      <c r="AS392" s="92"/>
      <c r="AT392" s="93"/>
      <c r="AU392" s="94"/>
      <c r="AV392" s="1954">
        <f t="shared" si="269"/>
        <v>0</v>
      </c>
      <c r="AW392" s="1954">
        <f t="shared" si="270"/>
        <v>0</v>
      </c>
      <c r="AX392" s="195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0"/>
      <c r="C393" s="1381"/>
      <c r="D393" s="80"/>
      <c r="E393" s="87">
        <f t="shared" si="265"/>
        <v>0</v>
      </c>
      <c r="F393" s="88"/>
      <c r="G393" s="89">
        <f t="shared" si="266"/>
        <v>0</v>
      </c>
      <c r="H393" s="90">
        <f t="shared" si="267"/>
        <v>0</v>
      </c>
      <c r="I393" s="1383"/>
      <c r="J393" s="91"/>
      <c r="K393" s="138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4"/>
      <c r="AG393" s="92"/>
      <c r="AH393" s="92"/>
      <c r="AI393" s="92"/>
      <c r="AJ393" s="92"/>
      <c r="AK393" s="92"/>
      <c r="AL393" s="92"/>
      <c r="AM393" s="92"/>
      <c r="AN393" s="92"/>
      <c r="AO393" s="92"/>
      <c r="AP393" s="92"/>
      <c r="AQ393" s="92"/>
      <c r="AR393" s="92"/>
      <c r="AS393" s="92"/>
      <c r="AT393" s="93"/>
      <c r="AU393" s="94"/>
      <c r="AV393" s="1954">
        <f t="shared" si="269"/>
        <v>0</v>
      </c>
      <c r="AW393" s="1954">
        <f t="shared" si="270"/>
        <v>0</v>
      </c>
      <c r="AX393" s="195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0"/>
      <c r="C394" s="1381"/>
      <c r="D394" s="80"/>
      <c r="E394" s="87">
        <f t="shared" si="265"/>
        <v>0</v>
      </c>
      <c r="F394" s="88"/>
      <c r="G394" s="89">
        <f t="shared" si="266"/>
        <v>0</v>
      </c>
      <c r="H394" s="90">
        <f t="shared" si="267"/>
        <v>0</v>
      </c>
      <c r="I394" s="1383"/>
      <c r="J394" s="91"/>
      <c r="K394" s="138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4"/>
      <c r="AG394" s="92"/>
      <c r="AH394" s="92"/>
      <c r="AI394" s="92"/>
      <c r="AJ394" s="92"/>
      <c r="AK394" s="92"/>
      <c r="AL394" s="92"/>
      <c r="AM394" s="92"/>
      <c r="AN394" s="92"/>
      <c r="AO394" s="92"/>
      <c r="AP394" s="92"/>
      <c r="AQ394" s="92"/>
      <c r="AR394" s="92"/>
      <c r="AS394" s="92"/>
      <c r="AT394" s="93"/>
      <c r="AU394" s="94"/>
      <c r="AV394" s="1954">
        <f t="shared" si="269"/>
        <v>0</v>
      </c>
      <c r="AW394" s="1954">
        <f t="shared" si="270"/>
        <v>0</v>
      </c>
      <c r="AX394" s="195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0"/>
      <c r="C395" s="1381"/>
      <c r="D395" s="80"/>
      <c r="E395" s="87">
        <f t="shared" si="265"/>
        <v>0</v>
      </c>
      <c r="F395" s="88"/>
      <c r="G395" s="89">
        <f t="shared" si="266"/>
        <v>0</v>
      </c>
      <c r="H395" s="90">
        <f t="shared" si="267"/>
        <v>0</v>
      </c>
      <c r="I395" s="1383"/>
      <c r="J395" s="91"/>
      <c r="K395" s="138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4"/>
      <c r="AG395" s="92"/>
      <c r="AH395" s="92"/>
      <c r="AI395" s="92"/>
      <c r="AJ395" s="92"/>
      <c r="AK395" s="92"/>
      <c r="AL395" s="92"/>
      <c r="AM395" s="92"/>
      <c r="AN395" s="92"/>
      <c r="AO395" s="92"/>
      <c r="AP395" s="92"/>
      <c r="AQ395" s="92"/>
      <c r="AR395" s="92"/>
      <c r="AS395" s="92"/>
      <c r="AT395" s="93"/>
      <c r="AU395" s="94"/>
      <c r="AV395" s="1954">
        <f t="shared" si="269"/>
        <v>0</v>
      </c>
      <c r="AW395" s="1954">
        <f t="shared" si="270"/>
        <v>0</v>
      </c>
      <c r="AX395" s="195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0"/>
      <c r="C396" s="1381"/>
      <c r="D396" s="80"/>
      <c r="E396" s="87">
        <f t="shared" si="265"/>
        <v>0</v>
      </c>
      <c r="F396" s="88"/>
      <c r="G396" s="89">
        <f t="shared" si="266"/>
        <v>0</v>
      </c>
      <c r="H396" s="90">
        <f t="shared" si="267"/>
        <v>0</v>
      </c>
      <c r="I396" s="1383"/>
      <c r="J396" s="91"/>
      <c r="K396" s="138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3"/>
      <c r="AG396" s="92"/>
      <c r="AH396" s="92"/>
      <c r="AI396" s="92"/>
      <c r="AJ396" s="92"/>
      <c r="AK396" s="92"/>
      <c r="AL396" s="92"/>
      <c r="AM396" s="92"/>
      <c r="AN396" s="92"/>
      <c r="AO396" s="92"/>
      <c r="AP396" s="92"/>
      <c r="AQ396" s="92"/>
      <c r="AR396" s="92"/>
      <c r="AS396" s="92"/>
      <c r="AT396" s="93"/>
      <c r="AU396" s="94"/>
      <c r="AV396" s="1954">
        <f t="shared" si="269"/>
        <v>0</v>
      </c>
      <c r="AW396" s="1954">
        <f t="shared" si="270"/>
        <v>0</v>
      </c>
      <c r="AX396" s="195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2"/>
      <c r="C397" s="1383"/>
      <c r="D397" s="80"/>
      <c r="E397" s="87">
        <f t="shared" si="265"/>
        <v>0</v>
      </c>
      <c r="F397" s="88"/>
      <c r="G397" s="89">
        <f t="shared" si="266"/>
        <v>0</v>
      </c>
      <c r="H397" s="90">
        <f t="shared" si="267"/>
        <v>0</v>
      </c>
      <c r="I397" s="1383"/>
      <c r="J397" s="91"/>
      <c r="K397" s="138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3"/>
      <c r="AG397" s="92"/>
      <c r="AH397" s="92"/>
      <c r="AI397" s="92"/>
      <c r="AJ397" s="92"/>
      <c r="AK397" s="92"/>
      <c r="AL397" s="92"/>
      <c r="AM397" s="92"/>
      <c r="AN397" s="92"/>
      <c r="AO397" s="92"/>
      <c r="AP397" s="92"/>
      <c r="AQ397" s="92"/>
      <c r="AR397" s="92"/>
      <c r="AS397" s="92"/>
      <c r="AT397" s="93"/>
      <c r="AU397" s="94"/>
      <c r="AV397" s="1954">
        <f t="shared" si="269"/>
        <v>0</v>
      </c>
      <c r="AW397" s="1954">
        <f t="shared" si="270"/>
        <v>0</v>
      </c>
      <c r="AX397" s="195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0"/>
      <c r="C398" s="1381"/>
      <c r="D398" s="80"/>
      <c r="E398" s="87">
        <f t="shared" si="265"/>
        <v>0</v>
      </c>
      <c r="F398" s="88"/>
      <c r="G398" s="89">
        <f t="shared" si="266"/>
        <v>0</v>
      </c>
      <c r="H398" s="90">
        <f t="shared" si="267"/>
        <v>0</v>
      </c>
      <c r="I398" s="1383"/>
      <c r="J398" s="91"/>
      <c r="K398" s="138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3"/>
      <c r="AG398" s="92"/>
      <c r="AH398" s="92"/>
      <c r="AI398" s="92"/>
      <c r="AJ398" s="92"/>
      <c r="AK398" s="92"/>
      <c r="AL398" s="92"/>
      <c r="AM398" s="92"/>
      <c r="AN398" s="92"/>
      <c r="AO398" s="92"/>
      <c r="AP398" s="92"/>
      <c r="AQ398" s="92"/>
      <c r="AR398" s="92"/>
      <c r="AS398" s="92"/>
      <c r="AT398" s="93"/>
      <c r="AU398" s="94"/>
      <c r="AV398" s="1954">
        <f t="shared" si="269"/>
        <v>0</v>
      </c>
      <c r="AW398" s="1954">
        <f t="shared" si="270"/>
        <v>0</v>
      </c>
      <c r="AX398" s="195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0"/>
      <c r="C399" s="1381"/>
      <c r="D399" s="80"/>
      <c r="E399" s="87">
        <f t="shared" si="265"/>
        <v>0</v>
      </c>
      <c r="F399" s="88"/>
      <c r="G399" s="89">
        <f t="shared" si="266"/>
        <v>0</v>
      </c>
      <c r="H399" s="90">
        <f t="shared" si="267"/>
        <v>0</v>
      </c>
      <c r="I399" s="1383"/>
      <c r="J399" s="91"/>
      <c r="K399" s="138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3"/>
      <c r="AG399" s="92"/>
      <c r="AH399" s="92"/>
      <c r="AI399" s="92"/>
      <c r="AJ399" s="92"/>
      <c r="AK399" s="92"/>
      <c r="AL399" s="92"/>
      <c r="AM399" s="92"/>
      <c r="AN399" s="92"/>
      <c r="AO399" s="92"/>
      <c r="AP399" s="92"/>
      <c r="AQ399" s="92"/>
      <c r="AR399" s="92"/>
      <c r="AS399" s="92"/>
      <c r="AT399" s="93"/>
      <c r="AU399" s="94"/>
      <c r="AV399" s="1954">
        <f t="shared" si="269"/>
        <v>0</v>
      </c>
      <c r="AW399" s="1954">
        <f t="shared" si="270"/>
        <v>0</v>
      </c>
      <c r="AX399" s="195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0"/>
      <c r="C400" s="1381"/>
      <c r="D400" s="80"/>
      <c r="E400" s="87">
        <f t="shared" si="265"/>
        <v>0</v>
      </c>
      <c r="F400" s="88"/>
      <c r="G400" s="89">
        <f t="shared" si="266"/>
        <v>0</v>
      </c>
      <c r="H400" s="90">
        <f t="shared" si="267"/>
        <v>0</v>
      </c>
      <c r="I400" s="1383"/>
      <c r="J400" s="91"/>
      <c r="K400" s="138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3"/>
      <c r="AG400" s="92"/>
      <c r="AH400" s="92"/>
      <c r="AI400" s="92"/>
      <c r="AJ400" s="92"/>
      <c r="AK400" s="92"/>
      <c r="AL400" s="92"/>
      <c r="AM400" s="92"/>
      <c r="AN400" s="92"/>
      <c r="AO400" s="92"/>
      <c r="AP400" s="92"/>
      <c r="AQ400" s="92"/>
      <c r="AR400" s="92"/>
      <c r="AS400" s="92"/>
      <c r="AT400" s="93"/>
      <c r="AU400" s="94"/>
      <c r="AV400" s="1954">
        <f t="shared" si="269"/>
        <v>0</v>
      </c>
      <c r="AW400" s="1954">
        <f t="shared" si="270"/>
        <v>0</v>
      </c>
      <c r="AX400" s="195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0"/>
      <c r="C401" s="1381"/>
      <c r="D401" s="80"/>
      <c r="E401" s="87">
        <f t="shared" si="265"/>
        <v>0</v>
      </c>
      <c r="F401" s="88"/>
      <c r="G401" s="89">
        <f t="shared" si="266"/>
        <v>0</v>
      </c>
      <c r="H401" s="90">
        <f t="shared" si="267"/>
        <v>0</v>
      </c>
      <c r="I401" s="1383"/>
      <c r="J401" s="91"/>
      <c r="K401" s="138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3"/>
      <c r="AG401" s="92"/>
      <c r="AH401" s="92"/>
      <c r="AI401" s="92"/>
      <c r="AJ401" s="92"/>
      <c r="AK401" s="92"/>
      <c r="AL401" s="92"/>
      <c r="AM401" s="92"/>
      <c r="AN401" s="92"/>
      <c r="AO401" s="92"/>
      <c r="AP401" s="92"/>
      <c r="AQ401" s="92"/>
      <c r="AR401" s="92"/>
      <c r="AS401" s="92"/>
      <c r="AT401" s="93"/>
      <c r="AU401" s="94"/>
      <c r="AV401" s="1954">
        <f t="shared" si="269"/>
        <v>0</v>
      </c>
      <c r="AW401" s="1954">
        <f t="shared" si="270"/>
        <v>0</v>
      </c>
      <c r="AX401" s="195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0"/>
      <c r="C402" s="1381"/>
      <c r="D402" s="80"/>
      <c r="E402" s="87">
        <f t="shared" si="265"/>
        <v>0</v>
      </c>
      <c r="F402" s="88"/>
      <c r="G402" s="89">
        <f t="shared" si="266"/>
        <v>0</v>
      </c>
      <c r="H402" s="90">
        <f t="shared" si="267"/>
        <v>0</v>
      </c>
      <c r="I402" s="1383"/>
      <c r="J402" s="91"/>
      <c r="K402" s="138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3"/>
      <c r="AG402" s="92"/>
      <c r="AH402" s="92"/>
      <c r="AI402" s="92"/>
      <c r="AJ402" s="92"/>
      <c r="AK402" s="92"/>
      <c r="AL402" s="92"/>
      <c r="AM402" s="92"/>
      <c r="AN402" s="92"/>
      <c r="AO402" s="92"/>
      <c r="AP402" s="92"/>
      <c r="AQ402" s="92"/>
      <c r="AR402" s="92"/>
      <c r="AS402" s="92"/>
      <c r="AT402" s="93"/>
      <c r="AU402" s="94"/>
      <c r="AV402" s="1954">
        <f t="shared" si="269"/>
        <v>0</v>
      </c>
      <c r="AW402" s="1954">
        <f t="shared" si="270"/>
        <v>0</v>
      </c>
      <c r="AX402" s="195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0"/>
      <c r="C403" s="1381"/>
      <c r="D403" s="80"/>
      <c r="E403" s="87">
        <f t="shared" si="265"/>
        <v>0</v>
      </c>
      <c r="F403" s="88"/>
      <c r="G403" s="89">
        <f t="shared" si="266"/>
        <v>0</v>
      </c>
      <c r="H403" s="90">
        <f t="shared" si="267"/>
        <v>0</v>
      </c>
      <c r="I403" s="1383"/>
      <c r="J403" s="91"/>
      <c r="K403" s="138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3"/>
      <c r="AG403" s="92"/>
      <c r="AH403" s="92"/>
      <c r="AI403" s="92"/>
      <c r="AJ403" s="92"/>
      <c r="AK403" s="92"/>
      <c r="AL403" s="92"/>
      <c r="AM403" s="92"/>
      <c r="AN403" s="92"/>
      <c r="AO403" s="92"/>
      <c r="AP403" s="92"/>
      <c r="AQ403" s="92"/>
      <c r="AR403" s="92"/>
      <c r="AS403" s="92"/>
      <c r="AT403" s="93"/>
      <c r="AU403" s="94"/>
      <c r="AV403" s="1954">
        <f t="shared" si="269"/>
        <v>0</v>
      </c>
      <c r="AW403" s="1954">
        <f t="shared" si="270"/>
        <v>0</v>
      </c>
      <c r="AX403" s="195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0"/>
      <c r="C404" s="1381"/>
      <c r="D404" s="80"/>
      <c r="E404" s="87">
        <f t="shared" si="265"/>
        <v>0</v>
      </c>
      <c r="F404" s="88"/>
      <c r="G404" s="89">
        <f t="shared" si="266"/>
        <v>0</v>
      </c>
      <c r="H404" s="90">
        <f t="shared" si="267"/>
        <v>0</v>
      </c>
      <c r="I404" s="1383"/>
      <c r="J404" s="91"/>
      <c r="K404" s="138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3"/>
      <c r="AG404" s="92"/>
      <c r="AH404" s="92"/>
      <c r="AI404" s="92"/>
      <c r="AJ404" s="92"/>
      <c r="AK404" s="92"/>
      <c r="AL404" s="92"/>
      <c r="AM404" s="92"/>
      <c r="AN404" s="92"/>
      <c r="AO404" s="92"/>
      <c r="AP404" s="92"/>
      <c r="AQ404" s="92"/>
      <c r="AR404" s="92"/>
      <c r="AS404" s="92"/>
      <c r="AT404" s="93"/>
      <c r="AU404" s="94"/>
      <c r="AV404" s="1954">
        <f t="shared" si="269"/>
        <v>0</v>
      </c>
      <c r="AW404" s="1954">
        <f t="shared" si="270"/>
        <v>0</v>
      </c>
      <c r="AX404" s="195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0"/>
      <c r="C405" s="1381"/>
      <c r="D405" s="80"/>
      <c r="E405" s="87">
        <f t="shared" si="265"/>
        <v>0</v>
      </c>
      <c r="F405" s="88"/>
      <c r="G405" s="89">
        <f t="shared" si="266"/>
        <v>0</v>
      </c>
      <c r="H405" s="90">
        <f t="shared" si="267"/>
        <v>0</v>
      </c>
      <c r="I405" s="1383"/>
      <c r="J405" s="91"/>
      <c r="K405" s="138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3"/>
      <c r="AG405" s="92"/>
      <c r="AH405" s="92"/>
      <c r="AI405" s="92"/>
      <c r="AJ405" s="92"/>
      <c r="AK405" s="92"/>
      <c r="AL405" s="92"/>
      <c r="AM405" s="92"/>
      <c r="AN405" s="92"/>
      <c r="AO405" s="92"/>
      <c r="AP405" s="92"/>
      <c r="AQ405" s="92"/>
      <c r="AR405" s="92"/>
      <c r="AS405" s="92"/>
      <c r="AT405" s="93"/>
      <c r="AU405" s="94"/>
      <c r="AV405" s="1954">
        <f t="shared" si="269"/>
        <v>0</v>
      </c>
      <c r="AW405" s="1954">
        <f t="shared" si="270"/>
        <v>0</v>
      </c>
      <c r="AX405" s="195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0"/>
      <c r="C406" s="1381"/>
      <c r="D406" s="80"/>
      <c r="E406" s="87">
        <f t="shared" si="265"/>
        <v>0</v>
      </c>
      <c r="F406" s="88"/>
      <c r="G406" s="89">
        <f t="shared" si="266"/>
        <v>0</v>
      </c>
      <c r="H406" s="90">
        <f t="shared" si="267"/>
        <v>0</v>
      </c>
      <c r="I406" s="1383"/>
      <c r="J406" s="91"/>
      <c r="K406" s="138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3"/>
      <c r="AG406" s="92"/>
      <c r="AH406" s="92"/>
      <c r="AI406" s="92"/>
      <c r="AJ406" s="92"/>
      <c r="AK406" s="92"/>
      <c r="AL406" s="92"/>
      <c r="AM406" s="92"/>
      <c r="AN406" s="92"/>
      <c r="AO406" s="92"/>
      <c r="AP406" s="92"/>
      <c r="AQ406" s="92"/>
      <c r="AR406" s="92"/>
      <c r="AS406" s="92"/>
      <c r="AT406" s="93"/>
      <c r="AU406" s="94"/>
      <c r="AV406" s="1954">
        <f t="shared" si="269"/>
        <v>0</v>
      </c>
      <c r="AW406" s="1954">
        <f t="shared" si="270"/>
        <v>0</v>
      </c>
      <c r="AX406" s="195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0"/>
      <c r="C407" s="1381"/>
      <c r="D407" s="80"/>
      <c r="E407" s="87">
        <f t="shared" si="265"/>
        <v>0</v>
      </c>
      <c r="F407" s="88"/>
      <c r="G407" s="89">
        <f t="shared" si="266"/>
        <v>0</v>
      </c>
      <c r="H407" s="90">
        <f t="shared" si="267"/>
        <v>0</v>
      </c>
      <c r="I407" s="1383"/>
      <c r="J407" s="91"/>
      <c r="K407" s="138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3"/>
      <c r="AG407" s="92"/>
      <c r="AH407" s="92"/>
      <c r="AI407" s="92"/>
      <c r="AJ407" s="92"/>
      <c r="AK407" s="92"/>
      <c r="AL407" s="92"/>
      <c r="AM407" s="92"/>
      <c r="AN407" s="92"/>
      <c r="AO407" s="92"/>
      <c r="AP407" s="92"/>
      <c r="AQ407" s="92"/>
      <c r="AR407" s="92"/>
      <c r="AS407" s="92"/>
      <c r="AT407" s="93"/>
      <c r="AU407" s="94"/>
      <c r="AV407" s="1954">
        <f t="shared" si="269"/>
        <v>0</v>
      </c>
      <c r="AW407" s="1954">
        <f t="shared" si="270"/>
        <v>0</v>
      </c>
      <c r="AX407" s="195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0"/>
      <c r="C408" s="1381"/>
      <c r="D408" s="80"/>
      <c r="E408" s="87">
        <f t="shared" si="265"/>
        <v>0</v>
      </c>
      <c r="F408" s="88"/>
      <c r="G408" s="89">
        <f t="shared" si="266"/>
        <v>0</v>
      </c>
      <c r="H408" s="90">
        <f t="shared" si="267"/>
        <v>0</v>
      </c>
      <c r="I408" s="1383"/>
      <c r="J408" s="91"/>
      <c r="K408" s="138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3"/>
      <c r="AG408" s="92"/>
      <c r="AH408" s="92"/>
      <c r="AI408" s="92"/>
      <c r="AJ408" s="92"/>
      <c r="AK408" s="92"/>
      <c r="AL408" s="92"/>
      <c r="AM408" s="92"/>
      <c r="AN408" s="92"/>
      <c r="AO408" s="92"/>
      <c r="AP408" s="92"/>
      <c r="AQ408" s="92"/>
      <c r="AR408" s="92"/>
      <c r="AS408" s="92"/>
      <c r="AT408" s="93"/>
      <c r="AU408" s="94"/>
      <c r="AV408" s="1954">
        <f t="shared" si="269"/>
        <v>0</v>
      </c>
      <c r="AW408" s="1954">
        <f t="shared" si="270"/>
        <v>0</v>
      </c>
      <c r="AX408" s="195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0"/>
      <c r="C409" s="1381"/>
      <c r="D409" s="80"/>
      <c r="E409" s="87">
        <f t="shared" si="265"/>
        <v>0</v>
      </c>
      <c r="F409" s="88"/>
      <c r="G409" s="89">
        <f t="shared" si="266"/>
        <v>0</v>
      </c>
      <c r="H409" s="90">
        <f t="shared" si="267"/>
        <v>0</v>
      </c>
      <c r="I409" s="1383"/>
      <c r="J409" s="91"/>
      <c r="K409" s="138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3"/>
      <c r="AG409" s="92"/>
      <c r="AH409" s="92"/>
      <c r="AI409" s="92"/>
      <c r="AJ409" s="92"/>
      <c r="AK409" s="92"/>
      <c r="AL409" s="92"/>
      <c r="AM409" s="92"/>
      <c r="AN409" s="92"/>
      <c r="AO409" s="92"/>
      <c r="AP409" s="92"/>
      <c r="AQ409" s="92"/>
      <c r="AR409" s="92"/>
      <c r="AS409" s="92"/>
      <c r="AT409" s="93"/>
      <c r="AU409" s="94"/>
      <c r="AV409" s="1954">
        <f t="shared" si="269"/>
        <v>0</v>
      </c>
      <c r="AW409" s="1954">
        <f t="shared" si="270"/>
        <v>0</v>
      </c>
      <c r="AX409" s="195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0"/>
      <c r="C410" s="1381"/>
      <c r="D410" s="80"/>
      <c r="E410" s="87">
        <f t="shared" si="265"/>
        <v>0</v>
      </c>
      <c r="F410" s="88"/>
      <c r="G410" s="89">
        <f t="shared" si="266"/>
        <v>0</v>
      </c>
      <c r="H410" s="90">
        <f t="shared" si="267"/>
        <v>0</v>
      </c>
      <c r="I410" s="1383"/>
      <c r="J410" s="91"/>
      <c r="K410" s="138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3"/>
      <c r="AG410" s="92"/>
      <c r="AH410" s="92"/>
      <c r="AI410" s="92"/>
      <c r="AJ410" s="92"/>
      <c r="AK410" s="92"/>
      <c r="AL410" s="92"/>
      <c r="AM410" s="92"/>
      <c r="AN410" s="92"/>
      <c r="AO410" s="92"/>
      <c r="AP410" s="92"/>
      <c r="AQ410" s="92"/>
      <c r="AR410" s="92"/>
      <c r="AS410" s="92"/>
      <c r="AT410" s="93"/>
      <c r="AU410" s="94"/>
      <c r="AV410" s="1954">
        <f t="shared" si="269"/>
        <v>0</v>
      </c>
      <c r="AW410" s="1954">
        <f t="shared" si="270"/>
        <v>0</v>
      </c>
      <c r="AX410" s="195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0"/>
      <c r="C411" s="1381"/>
      <c r="D411" s="80"/>
      <c r="E411" s="87">
        <f t="shared" si="265"/>
        <v>0</v>
      </c>
      <c r="F411" s="88"/>
      <c r="G411" s="89">
        <f t="shared" si="266"/>
        <v>0</v>
      </c>
      <c r="H411" s="90">
        <f t="shared" si="267"/>
        <v>0</v>
      </c>
      <c r="I411" s="1383"/>
      <c r="J411" s="91"/>
      <c r="K411" s="138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3"/>
      <c r="AG411" s="92"/>
      <c r="AH411" s="92"/>
      <c r="AI411" s="92"/>
      <c r="AJ411" s="92"/>
      <c r="AK411" s="92"/>
      <c r="AL411" s="92"/>
      <c r="AM411" s="92"/>
      <c r="AN411" s="92"/>
      <c r="AO411" s="92"/>
      <c r="AP411" s="92"/>
      <c r="AQ411" s="92"/>
      <c r="AR411" s="92"/>
      <c r="AS411" s="92"/>
      <c r="AT411" s="93"/>
      <c r="AU411" s="94"/>
      <c r="AV411" s="1954">
        <f t="shared" si="269"/>
        <v>0</v>
      </c>
      <c r="AW411" s="1954">
        <f t="shared" si="270"/>
        <v>0</v>
      </c>
      <c r="AX411" s="195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0"/>
      <c r="C412" s="1381"/>
      <c r="D412" s="80"/>
      <c r="E412" s="87">
        <f t="shared" si="265"/>
        <v>0</v>
      </c>
      <c r="F412" s="88"/>
      <c r="G412" s="89">
        <f t="shared" si="266"/>
        <v>0</v>
      </c>
      <c r="H412" s="90">
        <f t="shared" si="267"/>
        <v>0</v>
      </c>
      <c r="I412" s="1383"/>
      <c r="J412" s="91"/>
      <c r="K412" s="138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3"/>
      <c r="AG412" s="92"/>
      <c r="AH412" s="92"/>
      <c r="AI412" s="92"/>
      <c r="AJ412" s="92"/>
      <c r="AK412" s="92"/>
      <c r="AL412" s="92"/>
      <c r="AM412" s="92"/>
      <c r="AN412" s="92"/>
      <c r="AO412" s="92"/>
      <c r="AP412" s="92"/>
      <c r="AQ412" s="92"/>
      <c r="AR412" s="92"/>
      <c r="AS412" s="92"/>
      <c r="AT412" s="93"/>
      <c r="AU412" s="94"/>
      <c r="AV412" s="1954">
        <f t="shared" si="269"/>
        <v>0</v>
      </c>
      <c r="AW412" s="1954">
        <f t="shared" si="270"/>
        <v>0</v>
      </c>
      <c r="AX412" s="195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0"/>
      <c r="C413" s="1381"/>
      <c r="D413" s="80"/>
      <c r="E413" s="87">
        <f t="shared" si="265"/>
        <v>0</v>
      </c>
      <c r="F413" s="88"/>
      <c r="G413" s="89">
        <f t="shared" si="266"/>
        <v>0</v>
      </c>
      <c r="H413" s="90">
        <f t="shared" si="267"/>
        <v>0</v>
      </c>
      <c r="I413" s="1383"/>
      <c r="J413" s="91"/>
      <c r="K413" s="138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3"/>
      <c r="AG413" s="92"/>
      <c r="AH413" s="92"/>
      <c r="AI413" s="92"/>
      <c r="AJ413" s="92"/>
      <c r="AK413" s="92"/>
      <c r="AL413" s="92"/>
      <c r="AM413" s="92"/>
      <c r="AN413" s="92"/>
      <c r="AO413" s="92"/>
      <c r="AP413" s="92"/>
      <c r="AQ413" s="92"/>
      <c r="AR413" s="92"/>
      <c r="AS413" s="92"/>
      <c r="AT413" s="93"/>
      <c r="AU413" s="94"/>
      <c r="AV413" s="1954">
        <f t="shared" si="269"/>
        <v>0</v>
      </c>
      <c r="AW413" s="1954">
        <f t="shared" si="270"/>
        <v>0</v>
      </c>
      <c r="AX413" s="195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0"/>
      <c r="C414" s="1381"/>
      <c r="D414" s="80"/>
      <c r="E414" s="87">
        <f t="shared" si="265"/>
        <v>0</v>
      </c>
      <c r="F414" s="88"/>
      <c r="G414" s="89">
        <f t="shared" si="266"/>
        <v>0</v>
      </c>
      <c r="H414" s="90">
        <f t="shared" si="267"/>
        <v>0</v>
      </c>
      <c r="I414" s="1383"/>
      <c r="J414" s="91"/>
      <c r="K414" s="138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3"/>
      <c r="AG414" s="92"/>
      <c r="AH414" s="92"/>
      <c r="AI414" s="92"/>
      <c r="AJ414" s="92"/>
      <c r="AK414" s="92"/>
      <c r="AL414" s="92"/>
      <c r="AM414" s="92"/>
      <c r="AN414" s="92"/>
      <c r="AO414" s="92"/>
      <c r="AP414" s="92"/>
      <c r="AQ414" s="92"/>
      <c r="AR414" s="92"/>
      <c r="AS414" s="92"/>
      <c r="AT414" s="93"/>
      <c r="AU414" s="94"/>
      <c r="AV414" s="1954">
        <f t="shared" si="269"/>
        <v>0</v>
      </c>
      <c r="AW414" s="1954">
        <f t="shared" si="270"/>
        <v>0</v>
      </c>
      <c r="AX414" s="195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0"/>
      <c r="C415" s="1381"/>
      <c r="D415" s="80"/>
      <c r="E415" s="87">
        <f t="shared" si="265"/>
        <v>0</v>
      </c>
      <c r="F415" s="88"/>
      <c r="G415" s="89">
        <f t="shared" si="266"/>
        <v>0</v>
      </c>
      <c r="H415" s="90">
        <f t="shared" si="267"/>
        <v>0</v>
      </c>
      <c r="I415" s="1383"/>
      <c r="J415" s="91"/>
      <c r="K415" s="138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1"/>
      <c r="AG415" s="92"/>
      <c r="AH415" s="92"/>
      <c r="AI415" s="92"/>
      <c r="AJ415" s="92"/>
      <c r="AK415" s="92"/>
      <c r="AL415" s="92"/>
      <c r="AM415" s="92"/>
      <c r="AN415" s="92"/>
      <c r="AO415" s="92"/>
      <c r="AP415" s="92"/>
      <c r="AQ415" s="92"/>
      <c r="AR415" s="92"/>
      <c r="AS415" s="92"/>
      <c r="AT415" s="93"/>
      <c r="AU415" s="94"/>
      <c r="AV415" s="1954">
        <f t="shared" si="269"/>
        <v>0</v>
      </c>
      <c r="AW415" s="1954">
        <f t="shared" si="270"/>
        <v>0</v>
      </c>
      <c r="AX415" s="195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0"/>
      <c r="C416" s="1381"/>
      <c r="D416" s="80"/>
      <c r="E416" s="87">
        <f t="shared" si="265"/>
        <v>0</v>
      </c>
      <c r="F416" s="88"/>
      <c r="G416" s="89">
        <f t="shared" si="266"/>
        <v>0</v>
      </c>
      <c r="H416" s="90">
        <f t="shared" si="267"/>
        <v>0</v>
      </c>
      <c r="I416" s="1381"/>
      <c r="J416" s="91"/>
      <c r="K416" s="138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1"/>
      <c r="AG416" s="92"/>
      <c r="AH416" s="92"/>
      <c r="AI416" s="92"/>
      <c r="AJ416" s="92"/>
      <c r="AK416" s="92"/>
      <c r="AL416" s="92"/>
      <c r="AM416" s="92"/>
      <c r="AN416" s="92"/>
      <c r="AO416" s="92"/>
      <c r="AP416" s="92"/>
      <c r="AQ416" s="92"/>
      <c r="AR416" s="92"/>
      <c r="AS416" s="92"/>
      <c r="AT416" s="93"/>
      <c r="AU416" s="94"/>
      <c r="AV416" s="1954">
        <f t="shared" si="269"/>
        <v>0</v>
      </c>
      <c r="AW416" s="1954">
        <f t="shared" si="270"/>
        <v>0</v>
      </c>
      <c r="AX416" s="195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0"/>
      <c r="C417" s="1381"/>
      <c r="D417" s="80"/>
      <c r="E417" s="87">
        <f t="shared" si="265"/>
        <v>0</v>
      </c>
      <c r="F417" s="88"/>
      <c r="G417" s="89">
        <f t="shared" si="266"/>
        <v>0</v>
      </c>
      <c r="H417" s="90">
        <f t="shared" si="267"/>
        <v>0</v>
      </c>
      <c r="I417" s="1381"/>
      <c r="J417" s="91"/>
      <c r="K417" s="138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1"/>
      <c r="AG417" s="92"/>
      <c r="AH417" s="92"/>
      <c r="AI417" s="92"/>
      <c r="AJ417" s="92"/>
      <c r="AK417" s="92"/>
      <c r="AL417" s="92"/>
      <c r="AM417" s="92"/>
      <c r="AN417" s="92"/>
      <c r="AO417" s="92"/>
      <c r="AP417" s="92"/>
      <c r="AQ417" s="92"/>
      <c r="AR417" s="92"/>
      <c r="AS417" s="92"/>
      <c r="AT417" s="93"/>
      <c r="AU417" s="94"/>
      <c r="AV417" s="1954">
        <f t="shared" si="269"/>
        <v>0</v>
      </c>
      <c r="AW417" s="1954">
        <f t="shared" si="270"/>
        <v>0</v>
      </c>
      <c r="AX417" s="195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0"/>
      <c r="C418" s="1381"/>
      <c r="D418" s="80"/>
      <c r="E418" s="87">
        <f t="shared" si="265"/>
        <v>0</v>
      </c>
      <c r="F418" s="88"/>
      <c r="G418" s="89">
        <f t="shared" si="266"/>
        <v>0</v>
      </c>
      <c r="H418" s="90">
        <f t="shared" si="267"/>
        <v>0</v>
      </c>
      <c r="I418" s="1381"/>
      <c r="J418" s="91"/>
      <c r="K418" s="138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1"/>
      <c r="AG418" s="92"/>
      <c r="AH418" s="92"/>
      <c r="AI418" s="92"/>
      <c r="AJ418" s="92"/>
      <c r="AK418" s="92"/>
      <c r="AL418" s="92"/>
      <c r="AM418" s="92"/>
      <c r="AN418" s="92"/>
      <c r="AO418" s="92"/>
      <c r="AP418" s="92"/>
      <c r="AQ418" s="92"/>
      <c r="AR418" s="92"/>
      <c r="AS418" s="92"/>
      <c r="AT418" s="93"/>
      <c r="AU418" s="94"/>
      <c r="AV418" s="1954">
        <f t="shared" si="269"/>
        <v>0</v>
      </c>
      <c r="AW418" s="1954">
        <f t="shared" si="270"/>
        <v>0</v>
      </c>
      <c r="AX418" s="195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0"/>
      <c r="C419" s="1381"/>
      <c r="D419" s="80"/>
      <c r="E419" s="87">
        <f t="shared" si="265"/>
        <v>0</v>
      </c>
      <c r="F419" s="88"/>
      <c r="G419" s="89">
        <f t="shared" si="266"/>
        <v>0</v>
      </c>
      <c r="H419" s="90">
        <f t="shared" si="267"/>
        <v>0</v>
      </c>
      <c r="I419" s="1381"/>
      <c r="J419" s="91"/>
      <c r="K419" s="138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1"/>
      <c r="AG419" s="92"/>
      <c r="AH419" s="92"/>
      <c r="AI419" s="92"/>
      <c r="AJ419" s="92"/>
      <c r="AK419" s="92"/>
      <c r="AL419" s="92"/>
      <c r="AM419" s="92"/>
      <c r="AN419" s="92"/>
      <c r="AO419" s="92"/>
      <c r="AP419" s="92"/>
      <c r="AQ419" s="92"/>
      <c r="AR419" s="92"/>
      <c r="AS419" s="92"/>
      <c r="AT419" s="93"/>
      <c r="AU419" s="94"/>
      <c r="AV419" s="1954">
        <f t="shared" si="269"/>
        <v>0</v>
      </c>
      <c r="AW419" s="1954">
        <f t="shared" si="270"/>
        <v>0</v>
      </c>
      <c r="AX419" s="195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0"/>
      <c r="C420" s="1381"/>
      <c r="D420" s="80"/>
      <c r="E420" s="87">
        <f t="shared" si="265"/>
        <v>0</v>
      </c>
      <c r="F420" s="88"/>
      <c r="G420" s="89">
        <f t="shared" si="266"/>
        <v>0</v>
      </c>
      <c r="H420" s="90">
        <f t="shared" si="267"/>
        <v>0</v>
      </c>
      <c r="I420" s="1381"/>
      <c r="J420" s="91"/>
      <c r="K420" s="138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1"/>
      <c r="AG420" s="92"/>
      <c r="AH420" s="92"/>
      <c r="AI420" s="92"/>
      <c r="AJ420" s="92"/>
      <c r="AK420" s="92"/>
      <c r="AL420" s="92"/>
      <c r="AM420" s="92"/>
      <c r="AN420" s="92"/>
      <c r="AO420" s="92"/>
      <c r="AP420" s="92"/>
      <c r="AQ420" s="92"/>
      <c r="AR420" s="92"/>
      <c r="AS420" s="92"/>
      <c r="AT420" s="93"/>
      <c r="AU420" s="94"/>
      <c r="AV420" s="1954">
        <f t="shared" si="269"/>
        <v>0</v>
      </c>
      <c r="AW420" s="1954">
        <f t="shared" si="270"/>
        <v>0</v>
      </c>
      <c r="AX420" s="195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0"/>
      <c r="C421" s="1381"/>
      <c r="D421" s="80"/>
      <c r="E421" s="87">
        <f t="shared" si="265"/>
        <v>0</v>
      </c>
      <c r="F421" s="88"/>
      <c r="G421" s="89">
        <f t="shared" si="266"/>
        <v>0</v>
      </c>
      <c r="H421" s="90">
        <f t="shared" si="267"/>
        <v>0</v>
      </c>
      <c r="I421" s="1381"/>
      <c r="J421" s="91"/>
      <c r="K421" s="138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1"/>
      <c r="AG421" s="92"/>
      <c r="AH421" s="92"/>
      <c r="AI421" s="92"/>
      <c r="AJ421" s="92"/>
      <c r="AK421" s="92"/>
      <c r="AL421" s="92"/>
      <c r="AM421" s="92"/>
      <c r="AN421" s="92"/>
      <c r="AO421" s="92"/>
      <c r="AP421" s="92"/>
      <c r="AQ421" s="92"/>
      <c r="AR421" s="92"/>
      <c r="AS421" s="92"/>
      <c r="AT421" s="93"/>
      <c r="AU421" s="94"/>
      <c r="AV421" s="1954">
        <f t="shared" si="269"/>
        <v>0</v>
      </c>
      <c r="AW421" s="1954">
        <f t="shared" si="270"/>
        <v>0</v>
      </c>
      <c r="AX421" s="195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0"/>
      <c r="C422" s="1381"/>
      <c r="D422" s="80"/>
      <c r="E422" s="87">
        <f t="shared" si="265"/>
        <v>0</v>
      </c>
      <c r="F422" s="88"/>
      <c r="G422" s="89">
        <f t="shared" si="266"/>
        <v>0</v>
      </c>
      <c r="H422" s="90">
        <f t="shared" si="267"/>
        <v>0</v>
      </c>
      <c r="I422" s="1381"/>
      <c r="J422" s="91"/>
      <c r="K422" s="138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1"/>
      <c r="AG422" s="92"/>
      <c r="AH422" s="92"/>
      <c r="AI422" s="92"/>
      <c r="AJ422" s="92"/>
      <c r="AK422" s="92"/>
      <c r="AL422" s="92"/>
      <c r="AM422" s="92"/>
      <c r="AN422" s="92"/>
      <c r="AO422" s="92"/>
      <c r="AP422" s="92"/>
      <c r="AQ422" s="92"/>
      <c r="AR422" s="92"/>
      <c r="AS422" s="92"/>
      <c r="AT422" s="93"/>
      <c r="AU422" s="94"/>
      <c r="AV422" s="1954">
        <f t="shared" si="269"/>
        <v>0</v>
      </c>
      <c r="AW422" s="1954">
        <f t="shared" si="270"/>
        <v>0</v>
      </c>
      <c r="AX422" s="195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2"/>
      <c r="C423" s="1383"/>
      <c r="D423" s="80"/>
      <c r="E423" s="87">
        <f t="shared" si="265"/>
        <v>0</v>
      </c>
      <c r="F423" s="88"/>
      <c r="G423" s="89">
        <f t="shared" si="266"/>
        <v>0</v>
      </c>
      <c r="H423" s="90">
        <f t="shared" si="267"/>
        <v>0</v>
      </c>
      <c r="I423" s="1381"/>
      <c r="J423" s="91"/>
      <c r="K423" s="1381"/>
      <c r="L423" s="91"/>
      <c r="M423" s="1381"/>
      <c r="N423" s="91"/>
      <c r="O423" s="91"/>
      <c r="P423" s="91"/>
      <c r="Q423" s="91"/>
      <c r="R423" s="91"/>
      <c r="S423" s="91"/>
      <c r="T423" s="91"/>
      <c r="U423" s="91"/>
      <c r="V423" s="91"/>
      <c r="W423" s="91"/>
      <c r="X423" s="91"/>
      <c r="Y423" s="91"/>
      <c r="Z423" s="91"/>
      <c r="AA423" s="91"/>
      <c r="AB423" s="91"/>
      <c r="AC423" s="87">
        <f t="shared" si="268"/>
        <v>0</v>
      </c>
      <c r="AD423" s="92"/>
      <c r="AE423" s="92"/>
      <c r="AF423" s="1381"/>
      <c r="AG423" s="92"/>
      <c r="AH423" s="92"/>
      <c r="AI423" s="92"/>
      <c r="AJ423" s="92"/>
      <c r="AK423" s="92"/>
      <c r="AL423" s="92"/>
      <c r="AM423" s="92"/>
      <c r="AN423" s="92"/>
      <c r="AO423" s="92"/>
      <c r="AP423" s="92"/>
      <c r="AQ423" s="92"/>
      <c r="AR423" s="92"/>
      <c r="AS423" s="92"/>
      <c r="AT423" s="93"/>
      <c r="AU423" s="94"/>
      <c r="AV423" s="1954">
        <f t="shared" si="269"/>
        <v>0</v>
      </c>
      <c r="AW423" s="1954">
        <f t="shared" si="270"/>
        <v>0</v>
      </c>
      <c r="AX423" s="195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4">
        <f t="shared" si="269"/>
        <v>0</v>
      </c>
      <c r="AW424" s="1954">
        <f t="shared" si="270"/>
        <v>0</v>
      </c>
      <c r="AX424" s="195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4">
        <f t="shared" si="269"/>
        <v>0</v>
      </c>
      <c r="AW425" s="1954">
        <f t="shared" si="270"/>
        <v>0</v>
      </c>
      <c r="AX425" s="195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4">
        <f t="shared" si="269"/>
        <v>0</v>
      </c>
      <c r="AW426" s="1954">
        <f t="shared" si="270"/>
        <v>0</v>
      </c>
      <c r="AX426" s="195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4">
        <f t="shared" si="269"/>
        <v>0</v>
      </c>
      <c r="AW427" s="1954">
        <f t="shared" si="270"/>
        <v>0</v>
      </c>
      <c r="AX427" s="195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4">
        <f t="shared" si="269"/>
        <v>0</v>
      </c>
      <c r="AW428" s="1954">
        <f t="shared" si="270"/>
        <v>0</v>
      </c>
      <c r="AX428" s="195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4">
        <f t="shared" si="269"/>
        <v>0</v>
      </c>
      <c r="AW429" s="1954">
        <f t="shared" si="270"/>
        <v>0</v>
      </c>
      <c r="AX429" s="195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4">
        <f t="shared" si="269"/>
        <v>0</v>
      </c>
      <c r="AW430" s="1954">
        <f t="shared" si="270"/>
        <v>0</v>
      </c>
      <c r="AX430" s="195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4">
        <f t="shared" si="269"/>
        <v>0</v>
      </c>
      <c r="AW431" s="1954">
        <f t="shared" si="270"/>
        <v>0</v>
      </c>
      <c r="AX431" s="195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4">
        <f t="shared" si="269"/>
        <v>0</v>
      </c>
      <c r="AW432" s="1954">
        <f t="shared" si="270"/>
        <v>0</v>
      </c>
      <c r="AX432" s="195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4">
        <f t="shared" si="269"/>
        <v>0</v>
      </c>
      <c r="AW433" s="1954">
        <f t="shared" si="270"/>
        <v>0</v>
      </c>
      <c r="AX433" s="195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4">
        <f t="shared" si="269"/>
        <v>0</v>
      </c>
      <c r="AW434" s="1954">
        <f t="shared" si="270"/>
        <v>0</v>
      </c>
      <c r="AX434" s="195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4">
        <f t="shared" si="269"/>
        <v>0</v>
      </c>
      <c r="AW435" s="1954">
        <f t="shared" si="270"/>
        <v>0</v>
      </c>
      <c r="AX435" s="195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4">
        <f t="shared" si="269"/>
        <v>0</v>
      </c>
      <c r="AW436" s="1954">
        <f t="shared" si="270"/>
        <v>0</v>
      </c>
      <c r="AX436" s="195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4">
        <f t="shared" si="269"/>
        <v>0</v>
      </c>
      <c r="AW437" s="1954">
        <f t="shared" si="270"/>
        <v>0</v>
      </c>
      <c r="AX437" s="195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4">
        <f t="shared" si="269"/>
        <v>0</v>
      </c>
      <c r="AW438" s="1954">
        <f t="shared" si="270"/>
        <v>0</v>
      </c>
      <c r="AX438" s="195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4">
        <f t="shared" si="269"/>
        <v>0</v>
      </c>
      <c r="AW439" s="1954">
        <f t="shared" si="270"/>
        <v>0</v>
      </c>
      <c r="AX439" s="195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4">
        <f t="shared" si="269"/>
        <v>0</v>
      </c>
      <c r="AW440" s="1954">
        <f t="shared" si="270"/>
        <v>0</v>
      </c>
      <c r="AX440" s="195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4">
        <f t="shared" si="269"/>
        <v>0</v>
      </c>
      <c r="AW441" s="1954">
        <f t="shared" si="270"/>
        <v>0</v>
      </c>
      <c r="AX441" s="195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4">
        <f t="shared" si="269"/>
        <v>0</v>
      </c>
      <c r="AW442" s="1954">
        <f t="shared" si="270"/>
        <v>0</v>
      </c>
      <c r="AX442" s="195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4">
        <f t="shared" si="269"/>
        <v>0</v>
      </c>
      <c r="AW443" s="1954">
        <f t="shared" si="270"/>
        <v>0</v>
      </c>
      <c r="AX443" s="195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4">
        <f t="shared" si="269"/>
        <v>0</v>
      </c>
      <c r="AW444" s="1954">
        <f t="shared" si="270"/>
        <v>0</v>
      </c>
      <c r="AX444" s="195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4">
        <f t="shared" si="269"/>
        <v>0</v>
      </c>
      <c r="AW445" s="1954">
        <f t="shared" si="270"/>
        <v>0</v>
      </c>
      <c r="AX445" s="195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4">
        <f t="shared" si="269"/>
        <v>0</v>
      </c>
      <c r="AW446" s="1954">
        <f t="shared" si="270"/>
        <v>0</v>
      </c>
      <c r="AX446" s="195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4">
        <f t="shared" si="269"/>
        <v>0</v>
      </c>
      <c r="AW447" s="1954">
        <f t="shared" si="270"/>
        <v>0</v>
      </c>
      <c r="AX447" s="195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4">
        <f t="shared" si="269"/>
        <v>0</v>
      </c>
      <c r="AW448" s="1954">
        <f t="shared" si="270"/>
        <v>0</v>
      </c>
      <c r="AX448" s="195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4">
        <f t="shared" si="269"/>
        <v>0</v>
      </c>
      <c r="AW449" s="1954">
        <f t="shared" si="270"/>
        <v>0</v>
      </c>
      <c r="AX449" s="195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4">
        <f t="shared" si="269"/>
        <v>0</v>
      </c>
      <c r="AW450" s="1954">
        <f t="shared" si="270"/>
        <v>0</v>
      </c>
      <c r="AX450" s="195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4">
        <f t="shared" si="269"/>
        <v>0</v>
      </c>
      <c r="AW451" s="1954">
        <f t="shared" si="270"/>
        <v>0</v>
      </c>
      <c r="AX451" s="195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4">
        <f t="shared" si="269"/>
        <v>0</v>
      </c>
      <c r="AW452" s="1954">
        <f t="shared" si="270"/>
        <v>0</v>
      </c>
      <c r="AX452" s="195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4">
        <f t="shared" si="269"/>
        <v>0</v>
      </c>
      <c r="AW453" s="1954">
        <f t="shared" si="270"/>
        <v>0</v>
      </c>
      <c r="AX453" s="195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4">
        <f t="shared" si="269"/>
        <v>0</v>
      </c>
      <c r="AW454" s="1954">
        <f t="shared" si="270"/>
        <v>0</v>
      </c>
      <c r="AX454" s="195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4">
        <f t="shared" si="269"/>
        <v>0</v>
      </c>
      <c r="AW455" s="1954">
        <f t="shared" si="270"/>
        <v>0</v>
      </c>
      <c r="AX455" s="195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4">
        <f t="shared" si="269"/>
        <v>0</v>
      </c>
      <c r="AW456" s="1954">
        <f t="shared" si="270"/>
        <v>0</v>
      </c>
      <c r="AX456" s="195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4">
        <f t="shared" si="269"/>
        <v>0</v>
      </c>
      <c r="AW457" s="1954">
        <f t="shared" si="270"/>
        <v>0</v>
      </c>
      <c r="AX457" s="195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4">
        <f t="shared" si="269"/>
        <v>0</v>
      </c>
      <c r="AW458" s="1954">
        <f t="shared" si="270"/>
        <v>0</v>
      </c>
      <c r="AX458" s="195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4">
        <f t="shared" si="269"/>
        <v>0</v>
      </c>
      <c r="AW459" s="1954">
        <f t="shared" si="270"/>
        <v>0</v>
      </c>
      <c r="AX459" s="195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4">
        <f t="shared" si="269"/>
        <v>0</v>
      </c>
      <c r="AW460" s="1954">
        <f t="shared" si="270"/>
        <v>0</v>
      </c>
      <c r="AX460" s="195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4">
        <f t="shared" si="269"/>
        <v>0</v>
      </c>
      <c r="AW461" s="1954">
        <f t="shared" si="270"/>
        <v>0</v>
      </c>
      <c r="AX461" s="195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4">
        <f t="shared" si="269"/>
        <v>0</v>
      </c>
      <c r="AW462" s="1954">
        <f t="shared" si="270"/>
        <v>0</v>
      </c>
      <c r="AX462" s="195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4">
        <f t="shared" si="269"/>
        <v>0</v>
      </c>
      <c r="AW463" s="1954">
        <f t="shared" si="270"/>
        <v>0</v>
      </c>
      <c r="AX463" s="195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4">
        <f t="shared" si="269"/>
        <v>0</v>
      </c>
      <c r="AW464" s="1954">
        <f t="shared" si="270"/>
        <v>0</v>
      </c>
      <c r="AX464" s="195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4">
        <f t="shared" si="269"/>
        <v>0</v>
      </c>
      <c r="AW465" s="1954">
        <f t="shared" si="270"/>
        <v>0</v>
      </c>
      <c r="AX465" s="195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4">
        <f t="shared" si="269"/>
        <v>0</v>
      </c>
      <c r="AW466" s="1954">
        <f t="shared" si="270"/>
        <v>0</v>
      </c>
      <c r="AX466" s="195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4">
        <f t="shared" si="269"/>
        <v>0</v>
      </c>
      <c r="AW467" s="1954">
        <f t="shared" si="270"/>
        <v>0</v>
      </c>
      <c r="AX467" s="195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4">
        <f t="shared" si="269"/>
        <v>0</v>
      </c>
      <c r="AW468" s="1954">
        <f t="shared" si="270"/>
        <v>0</v>
      </c>
      <c r="AX468" s="195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4">
        <f t="shared" si="269"/>
        <v>0</v>
      </c>
      <c r="AW469" s="1954">
        <f t="shared" si="270"/>
        <v>0</v>
      </c>
      <c r="AX469" s="195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4">
        <f t="shared" si="269"/>
        <v>0</v>
      </c>
      <c r="AW470" s="1954">
        <f t="shared" si="270"/>
        <v>0</v>
      </c>
      <c r="AX470" s="195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4">
        <f t="shared" si="269"/>
        <v>0</v>
      </c>
      <c r="AW471" s="1954">
        <f t="shared" si="270"/>
        <v>0</v>
      </c>
      <c r="AX471" s="195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4">
        <f t="shared" si="269"/>
        <v>0</v>
      </c>
      <c r="AW472" s="1954">
        <f t="shared" si="270"/>
        <v>0</v>
      </c>
      <c r="AX472" s="195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4">
        <f t="shared" si="269"/>
        <v>0</v>
      </c>
      <c r="AW473" s="1954">
        <f t="shared" si="270"/>
        <v>0</v>
      </c>
      <c r="AX473" s="195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4">
        <f t="shared" si="269"/>
        <v>0</v>
      </c>
      <c r="AW474" s="1954">
        <f t="shared" si="270"/>
        <v>0</v>
      </c>
      <c r="AX474" s="195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4">
        <f t="shared" si="269"/>
        <v>0</v>
      </c>
      <c r="AW475" s="1954">
        <f t="shared" si="270"/>
        <v>0</v>
      </c>
      <c r="AX475" s="195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4">
        <f t="shared" si="269"/>
        <v>0</v>
      </c>
      <c r="AW476" s="1954">
        <f t="shared" si="270"/>
        <v>0</v>
      </c>
      <c r="AX476" s="195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4">
        <f t="shared" si="269"/>
        <v>0</v>
      </c>
      <c r="AW477" s="1954">
        <f t="shared" si="270"/>
        <v>0</v>
      </c>
      <c r="AX477" s="195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4">
        <f t="shared" si="269"/>
        <v>0</v>
      </c>
      <c r="AW478" s="1954">
        <f t="shared" si="270"/>
        <v>0</v>
      </c>
      <c r="AX478" s="195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4">
        <f t="shared" si="269"/>
        <v>0</v>
      </c>
      <c r="AW479" s="1954">
        <f t="shared" si="270"/>
        <v>0</v>
      </c>
      <c r="AX479" s="195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4">
        <f t="shared" si="269"/>
        <v>0</v>
      </c>
      <c r="AW480" s="1954">
        <f t="shared" si="270"/>
        <v>0</v>
      </c>
      <c r="AX480" s="195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0"/>
      <c r="C481" s="1381"/>
      <c r="D481" s="80"/>
      <c r="E481" s="87">
        <f t="shared" ref="E481:E504" si="319">IF($C$3="是",ROUND($A$3*G481/$B$3,2),ROUND($A$3*(G481-AT481)/$B$3,2))</f>
        <v>0</v>
      </c>
      <c r="F481" s="88"/>
      <c r="G481" s="89">
        <f t="shared" si="294"/>
        <v>0</v>
      </c>
      <c r="H481" s="90">
        <f t="shared" si="295"/>
        <v>0</v>
      </c>
      <c r="I481" s="1383"/>
      <c r="J481" s="91"/>
      <c r="K481" s="138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4"/>
      <c r="AG481" s="92"/>
      <c r="AH481" s="92"/>
      <c r="AI481" s="92"/>
      <c r="AJ481" s="92"/>
      <c r="AK481" s="92"/>
      <c r="AL481" s="92"/>
      <c r="AM481" s="92"/>
      <c r="AN481" s="1350"/>
      <c r="AO481" s="92"/>
      <c r="AP481" s="92"/>
      <c r="AQ481" s="92"/>
      <c r="AR481" s="92"/>
      <c r="AS481" s="92"/>
      <c r="AT481" s="93"/>
      <c r="AU481" s="94"/>
      <c r="AV481" s="983">
        <f t="shared" ref="AV481:AV505" si="320">A481</f>
        <v>0</v>
      </c>
      <c r="AW481" s="983">
        <f t="shared" ref="AW481:AW505" si="321">B481</f>
        <v>0</v>
      </c>
      <c r="AX481" s="98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0"/>
      <c r="C482" s="1381"/>
      <c r="D482" s="80"/>
      <c r="E482" s="87">
        <f t="shared" si="319"/>
        <v>0</v>
      </c>
      <c r="F482" s="88"/>
      <c r="G482" s="89">
        <f t="shared" si="294"/>
        <v>0</v>
      </c>
      <c r="H482" s="90">
        <f t="shared" si="295"/>
        <v>0</v>
      </c>
      <c r="I482" s="1383"/>
      <c r="J482" s="91"/>
      <c r="K482" s="1383"/>
      <c r="L482" s="91"/>
      <c r="M482" s="1350"/>
      <c r="N482" s="91"/>
      <c r="O482" s="91"/>
      <c r="P482" s="91"/>
      <c r="Q482" s="91"/>
      <c r="R482" s="91"/>
      <c r="S482" s="91"/>
      <c r="T482" s="91"/>
      <c r="U482" s="91"/>
      <c r="V482" s="91"/>
      <c r="W482" s="91"/>
      <c r="X482" s="91"/>
      <c r="Y482" s="91"/>
      <c r="Z482" s="91"/>
      <c r="AA482" s="91"/>
      <c r="AB482" s="91"/>
      <c r="AC482" s="87">
        <f t="shared" si="296"/>
        <v>0</v>
      </c>
      <c r="AD482" s="1350"/>
      <c r="AE482" s="92"/>
      <c r="AF482" s="1384"/>
      <c r="AG482" s="92"/>
      <c r="AH482" s="92"/>
      <c r="AI482" s="92"/>
      <c r="AJ482" s="92"/>
      <c r="AK482" s="92"/>
      <c r="AL482" s="1350"/>
      <c r="AM482" s="92"/>
      <c r="AN482" s="1350"/>
      <c r="AO482" s="92"/>
      <c r="AP482" s="92"/>
      <c r="AQ482" s="92"/>
      <c r="AR482" s="92"/>
      <c r="AS482" s="92"/>
      <c r="AT482" s="93"/>
      <c r="AU482" s="94"/>
      <c r="AV482" s="983">
        <f t="shared" si="320"/>
        <v>0</v>
      </c>
      <c r="AW482" s="983">
        <f t="shared" si="321"/>
        <v>0</v>
      </c>
      <c r="AX482" s="98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0"/>
      <c r="C483" s="1381"/>
      <c r="D483" s="80"/>
      <c r="E483" s="87">
        <f t="shared" si="319"/>
        <v>0</v>
      </c>
      <c r="F483" s="88"/>
      <c r="G483" s="89">
        <f t="shared" si="294"/>
        <v>0</v>
      </c>
      <c r="H483" s="90">
        <f t="shared" si="295"/>
        <v>0</v>
      </c>
      <c r="I483" s="1383"/>
      <c r="J483" s="91"/>
      <c r="K483" s="1383"/>
      <c r="L483" s="91"/>
      <c r="M483" s="1350"/>
      <c r="N483" s="91"/>
      <c r="O483" s="91"/>
      <c r="P483" s="91"/>
      <c r="Q483" s="91"/>
      <c r="R483" s="91"/>
      <c r="S483" s="91"/>
      <c r="T483" s="91"/>
      <c r="U483" s="91"/>
      <c r="V483" s="91"/>
      <c r="W483" s="91"/>
      <c r="X483" s="91"/>
      <c r="Y483" s="91"/>
      <c r="Z483" s="91"/>
      <c r="AA483" s="91"/>
      <c r="AB483" s="91"/>
      <c r="AC483" s="87">
        <f t="shared" si="296"/>
        <v>0</v>
      </c>
      <c r="AD483" s="92"/>
      <c r="AE483" s="92"/>
      <c r="AF483" s="1384"/>
      <c r="AG483" s="92"/>
      <c r="AH483" s="92"/>
      <c r="AI483" s="92"/>
      <c r="AJ483" s="92"/>
      <c r="AK483" s="92"/>
      <c r="AL483" s="1350"/>
      <c r="AM483" s="92"/>
      <c r="AN483" s="1350"/>
      <c r="AO483" s="92"/>
      <c r="AP483" s="92"/>
      <c r="AQ483" s="92"/>
      <c r="AR483" s="92"/>
      <c r="AS483" s="92"/>
      <c r="AT483" s="93"/>
      <c r="AU483" s="94"/>
      <c r="AV483" s="983">
        <f t="shared" si="320"/>
        <v>0</v>
      </c>
      <c r="AW483" s="983">
        <f t="shared" si="321"/>
        <v>0</v>
      </c>
      <c r="AX483" s="98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0"/>
      <c r="C484" s="1381"/>
      <c r="D484" s="80"/>
      <c r="E484" s="87">
        <f t="shared" si="319"/>
        <v>0</v>
      </c>
      <c r="F484" s="88"/>
      <c r="G484" s="89">
        <f t="shared" si="294"/>
        <v>0</v>
      </c>
      <c r="H484" s="90">
        <f t="shared" si="295"/>
        <v>0</v>
      </c>
      <c r="I484" s="1383"/>
      <c r="J484" s="91"/>
      <c r="K484" s="1383"/>
      <c r="L484" s="91"/>
      <c r="M484" s="91"/>
      <c r="N484" s="91"/>
      <c r="O484" s="1350"/>
      <c r="P484" s="91"/>
      <c r="Q484" s="91"/>
      <c r="R484" s="91"/>
      <c r="S484" s="91"/>
      <c r="T484" s="91"/>
      <c r="U484" s="91"/>
      <c r="V484" s="91"/>
      <c r="W484" s="91"/>
      <c r="X484" s="91"/>
      <c r="Y484" s="91"/>
      <c r="Z484" s="91"/>
      <c r="AA484" s="91"/>
      <c r="AB484" s="91"/>
      <c r="AC484" s="87">
        <f t="shared" si="296"/>
        <v>0</v>
      </c>
      <c r="AD484" s="92"/>
      <c r="AE484" s="92"/>
      <c r="AF484" s="1384"/>
      <c r="AG484" s="92"/>
      <c r="AH484" s="92"/>
      <c r="AI484" s="92"/>
      <c r="AJ484" s="92"/>
      <c r="AK484" s="92"/>
      <c r="AL484" s="92"/>
      <c r="AM484" s="92"/>
      <c r="AN484" s="1350"/>
      <c r="AO484" s="92"/>
      <c r="AP484" s="92"/>
      <c r="AQ484" s="92"/>
      <c r="AR484" s="92"/>
      <c r="AS484" s="92"/>
      <c r="AT484" s="93"/>
      <c r="AU484" s="94"/>
      <c r="AV484" s="983">
        <f t="shared" si="320"/>
        <v>0</v>
      </c>
      <c r="AW484" s="983">
        <f t="shared" si="321"/>
        <v>0</v>
      </c>
      <c r="AX484" s="98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0"/>
      <c r="C485" s="1381"/>
      <c r="D485" s="80"/>
      <c r="E485" s="87">
        <f t="shared" si="319"/>
        <v>0</v>
      </c>
      <c r="F485" s="88"/>
      <c r="G485" s="89">
        <f t="shared" si="294"/>
        <v>0</v>
      </c>
      <c r="H485" s="90">
        <f t="shared" si="295"/>
        <v>0</v>
      </c>
      <c r="I485" s="1383"/>
      <c r="J485" s="91"/>
      <c r="K485" s="138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4"/>
      <c r="AG485" s="92"/>
      <c r="AH485" s="92"/>
      <c r="AI485" s="92"/>
      <c r="AJ485" s="92"/>
      <c r="AK485" s="92"/>
      <c r="AL485" s="92"/>
      <c r="AM485" s="92"/>
      <c r="AN485" s="92"/>
      <c r="AO485" s="92"/>
      <c r="AP485" s="92"/>
      <c r="AQ485" s="92"/>
      <c r="AR485" s="92"/>
      <c r="AS485" s="92"/>
      <c r="AT485" s="93"/>
      <c r="AU485" s="94"/>
      <c r="AV485" s="983">
        <f t="shared" si="320"/>
        <v>0</v>
      </c>
      <c r="AW485" s="983">
        <f t="shared" si="321"/>
        <v>0</v>
      </c>
      <c r="AX485" s="98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0"/>
      <c r="C486" s="1381"/>
      <c r="D486" s="80"/>
      <c r="E486" s="87">
        <f t="shared" si="319"/>
        <v>0</v>
      </c>
      <c r="F486" s="88"/>
      <c r="G486" s="89">
        <f t="shared" si="294"/>
        <v>0</v>
      </c>
      <c r="H486" s="90">
        <f t="shared" si="295"/>
        <v>0</v>
      </c>
      <c r="I486" s="1383"/>
      <c r="J486" s="91"/>
      <c r="K486" s="138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4"/>
      <c r="AG486" s="92"/>
      <c r="AH486" s="92"/>
      <c r="AI486" s="92"/>
      <c r="AJ486" s="92"/>
      <c r="AK486" s="92"/>
      <c r="AL486" s="92"/>
      <c r="AM486" s="92"/>
      <c r="AN486" s="92"/>
      <c r="AO486" s="92"/>
      <c r="AP486" s="92"/>
      <c r="AQ486" s="92"/>
      <c r="AR486" s="92"/>
      <c r="AS486" s="92"/>
      <c r="AT486" s="93"/>
      <c r="AU486" s="94"/>
      <c r="AV486" s="983">
        <f t="shared" si="320"/>
        <v>0</v>
      </c>
      <c r="AW486" s="983">
        <f t="shared" si="321"/>
        <v>0</v>
      </c>
      <c r="AX486" s="98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0"/>
      <c r="C487" s="1381"/>
      <c r="D487" s="80"/>
      <c r="E487" s="87">
        <f t="shared" si="319"/>
        <v>0</v>
      </c>
      <c r="F487" s="88"/>
      <c r="G487" s="89">
        <f t="shared" si="294"/>
        <v>0</v>
      </c>
      <c r="H487" s="90">
        <f t="shared" si="295"/>
        <v>0</v>
      </c>
      <c r="I487" s="1383"/>
      <c r="J487" s="91"/>
      <c r="K487" s="138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4"/>
      <c r="AG487" s="92"/>
      <c r="AH487" s="92"/>
      <c r="AI487" s="92"/>
      <c r="AJ487" s="92"/>
      <c r="AK487" s="92"/>
      <c r="AL487" s="92"/>
      <c r="AM487" s="92"/>
      <c r="AN487" s="92"/>
      <c r="AO487" s="92"/>
      <c r="AP487" s="92"/>
      <c r="AQ487" s="92"/>
      <c r="AR487" s="92"/>
      <c r="AS487" s="92"/>
      <c r="AT487" s="93"/>
      <c r="AU487" s="94"/>
      <c r="AV487" s="983">
        <f t="shared" si="320"/>
        <v>0</v>
      </c>
      <c r="AW487" s="983">
        <f t="shared" si="321"/>
        <v>0</v>
      </c>
      <c r="AX487" s="98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0"/>
      <c r="C488" s="1381"/>
      <c r="D488" s="80"/>
      <c r="E488" s="87">
        <f t="shared" si="319"/>
        <v>0</v>
      </c>
      <c r="F488" s="88"/>
      <c r="G488" s="89">
        <f t="shared" si="294"/>
        <v>0</v>
      </c>
      <c r="H488" s="90">
        <f t="shared" si="295"/>
        <v>0</v>
      </c>
      <c r="I488" s="1383"/>
      <c r="J488" s="91"/>
      <c r="K488" s="138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3"/>
      <c r="AG488" s="92"/>
      <c r="AH488" s="92"/>
      <c r="AI488" s="92"/>
      <c r="AJ488" s="92"/>
      <c r="AK488" s="92"/>
      <c r="AL488" s="92"/>
      <c r="AM488" s="92"/>
      <c r="AN488" s="92"/>
      <c r="AO488" s="92"/>
      <c r="AP488" s="92"/>
      <c r="AQ488" s="92"/>
      <c r="AR488" s="92"/>
      <c r="AS488" s="92"/>
      <c r="AT488" s="93"/>
      <c r="AU488" s="94"/>
      <c r="AV488" s="983">
        <f t="shared" si="320"/>
        <v>0</v>
      </c>
      <c r="AW488" s="983">
        <f t="shared" si="321"/>
        <v>0</v>
      </c>
      <c r="AX488" s="98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2"/>
      <c r="C489" s="1383"/>
      <c r="D489" s="80"/>
      <c r="E489" s="87">
        <f t="shared" si="319"/>
        <v>0</v>
      </c>
      <c r="F489" s="88"/>
      <c r="G489" s="89">
        <f t="shared" si="294"/>
        <v>0</v>
      </c>
      <c r="H489" s="90">
        <f t="shared" si="295"/>
        <v>0</v>
      </c>
      <c r="I489" s="1383"/>
      <c r="J489" s="91"/>
      <c r="K489" s="138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3"/>
      <c r="AG489" s="92"/>
      <c r="AH489" s="92"/>
      <c r="AI489" s="92"/>
      <c r="AJ489" s="92"/>
      <c r="AK489" s="92"/>
      <c r="AL489" s="92"/>
      <c r="AM489" s="92"/>
      <c r="AN489" s="92"/>
      <c r="AO489" s="92"/>
      <c r="AP489" s="92"/>
      <c r="AQ489" s="92"/>
      <c r="AR489" s="92"/>
      <c r="AS489" s="92"/>
      <c r="AT489" s="93"/>
      <c r="AU489" s="94"/>
      <c r="AV489" s="983">
        <f t="shared" si="320"/>
        <v>0</v>
      </c>
      <c r="AW489" s="983">
        <f t="shared" si="321"/>
        <v>0</v>
      </c>
      <c r="AX489" s="98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0"/>
      <c r="C490" s="1381"/>
      <c r="D490" s="80"/>
      <c r="E490" s="87">
        <f t="shared" si="319"/>
        <v>0</v>
      </c>
      <c r="F490" s="88"/>
      <c r="G490" s="89">
        <f t="shared" si="294"/>
        <v>0</v>
      </c>
      <c r="H490" s="90">
        <f t="shared" si="295"/>
        <v>0</v>
      </c>
      <c r="I490" s="1383"/>
      <c r="J490" s="91"/>
      <c r="K490" s="138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3"/>
      <c r="AG490" s="92"/>
      <c r="AH490" s="92"/>
      <c r="AI490" s="92"/>
      <c r="AJ490" s="92"/>
      <c r="AK490" s="92"/>
      <c r="AL490" s="92"/>
      <c r="AM490" s="92"/>
      <c r="AN490" s="92"/>
      <c r="AO490" s="92"/>
      <c r="AP490" s="92"/>
      <c r="AQ490" s="92"/>
      <c r="AR490" s="92"/>
      <c r="AS490" s="92"/>
      <c r="AT490" s="93"/>
      <c r="AU490" s="94"/>
      <c r="AV490" s="983">
        <f t="shared" si="320"/>
        <v>0</v>
      </c>
      <c r="AW490" s="983">
        <f t="shared" si="321"/>
        <v>0</v>
      </c>
      <c r="AX490" s="98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0"/>
      <c r="C491" s="1381"/>
      <c r="D491" s="80"/>
      <c r="E491" s="87">
        <f t="shared" si="319"/>
        <v>0</v>
      </c>
      <c r="F491" s="88"/>
      <c r="G491" s="89">
        <f t="shared" si="294"/>
        <v>0</v>
      </c>
      <c r="H491" s="90">
        <f t="shared" si="295"/>
        <v>0</v>
      </c>
      <c r="I491" s="1383"/>
      <c r="J491" s="91"/>
      <c r="K491" s="138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3"/>
      <c r="AG491" s="92"/>
      <c r="AH491" s="92"/>
      <c r="AI491" s="92"/>
      <c r="AJ491" s="92"/>
      <c r="AK491" s="92"/>
      <c r="AL491" s="92"/>
      <c r="AM491" s="92"/>
      <c r="AN491" s="92"/>
      <c r="AO491" s="92"/>
      <c r="AP491" s="92"/>
      <c r="AQ491" s="92"/>
      <c r="AR491" s="92"/>
      <c r="AS491" s="92"/>
      <c r="AT491" s="93"/>
      <c r="AU491" s="94"/>
      <c r="AV491" s="983">
        <f t="shared" si="320"/>
        <v>0</v>
      </c>
      <c r="AW491" s="983">
        <f t="shared" si="321"/>
        <v>0</v>
      </c>
      <c r="AX491" s="98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0"/>
      <c r="C492" s="1381"/>
      <c r="D492" s="80"/>
      <c r="E492" s="87">
        <f t="shared" si="319"/>
        <v>0</v>
      </c>
      <c r="F492" s="88"/>
      <c r="G492" s="89">
        <f t="shared" si="294"/>
        <v>0</v>
      </c>
      <c r="H492" s="90">
        <f t="shared" si="295"/>
        <v>0</v>
      </c>
      <c r="I492" s="1383"/>
      <c r="J492" s="91"/>
      <c r="K492" s="138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3"/>
      <c r="AG492" s="92"/>
      <c r="AH492" s="92"/>
      <c r="AI492" s="92"/>
      <c r="AJ492" s="92"/>
      <c r="AK492" s="92"/>
      <c r="AL492" s="92"/>
      <c r="AM492" s="92"/>
      <c r="AN492" s="92"/>
      <c r="AO492" s="92"/>
      <c r="AP492" s="92"/>
      <c r="AQ492" s="92"/>
      <c r="AR492" s="92"/>
      <c r="AS492" s="92"/>
      <c r="AT492" s="93"/>
      <c r="AU492" s="94"/>
      <c r="AV492" s="983">
        <f t="shared" si="320"/>
        <v>0</v>
      </c>
      <c r="AW492" s="983">
        <f t="shared" si="321"/>
        <v>0</v>
      </c>
      <c r="AX492" s="98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0"/>
      <c r="C493" s="1381"/>
      <c r="D493" s="80"/>
      <c r="E493" s="87">
        <f t="shared" si="319"/>
        <v>0</v>
      </c>
      <c r="F493" s="88"/>
      <c r="G493" s="89">
        <f t="shared" si="294"/>
        <v>0</v>
      </c>
      <c r="H493" s="90">
        <f t="shared" si="295"/>
        <v>0</v>
      </c>
      <c r="I493" s="1383"/>
      <c r="J493" s="91"/>
      <c r="K493" s="138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3"/>
      <c r="AG493" s="92"/>
      <c r="AH493" s="92"/>
      <c r="AI493" s="92"/>
      <c r="AJ493" s="92"/>
      <c r="AK493" s="92"/>
      <c r="AL493" s="92"/>
      <c r="AM493" s="92"/>
      <c r="AN493" s="92"/>
      <c r="AO493" s="92"/>
      <c r="AP493" s="92"/>
      <c r="AQ493" s="92"/>
      <c r="AR493" s="92"/>
      <c r="AS493" s="92"/>
      <c r="AT493" s="93"/>
      <c r="AU493" s="94"/>
      <c r="AV493" s="983">
        <f t="shared" si="320"/>
        <v>0</v>
      </c>
      <c r="AW493" s="983">
        <f t="shared" si="321"/>
        <v>0</v>
      </c>
      <c r="AX493" s="98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0"/>
      <c r="C494" s="1381"/>
      <c r="D494" s="80"/>
      <c r="E494" s="87">
        <f t="shared" si="319"/>
        <v>0</v>
      </c>
      <c r="F494" s="88"/>
      <c r="G494" s="89">
        <f t="shared" si="294"/>
        <v>0</v>
      </c>
      <c r="H494" s="90">
        <f t="shared" si="295"/>
        <v>0</v>
      </c>
      <c r="I494" s="1383"/>
      <c r="J494" s="91"/>
      <c r="K494" s="138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3"/>
      <c r="AG494" s="92"/>
      <c r="AH494" s="92"/>
      <c r="AI494" s="92"/>
      <c r="AJ494" s="92"/>
      <c r="AK494" s="92"/>
      <c r="AL494" s="92"/>
      <c r="AM494" s="92"/>
      <c r="AN494" s="92"/>
      <c r="AO494" s="92"/>
      <c r="AP494" s="92"/>
      <c r="AQ494" s="92"/>
      <c r="AR494" s="92"/>
      <c r="AS494" s="92"/>
      <c r="AT494" s="93"/>
      <c r="AU494" s="94"/>
      <c r="AV494" s="983">
        <f t="shared" si="320"/>
        <v>0</v>
      </c>
      <c r="AW494" s="983">
        <f t="shared" si="321"/>
        <v>0</v>
      </c>
      <c r="AX494" s="98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0"/>
      <c r="C495" s="1381"/>
      <c r="D495" s="80"/>
      <c r="E495" s="87">
        <f t="shared" si="319"/>
        <v>0</v>
      </c>
      <c r="F495" s="88"/>
      <c r="G495" s="89">
        <f t="shared" si="294"/>
        <v>0</v>
      </c>
      <c r="H495" s="90">
        <f t="shared" si="295"/>
        <v>0</v>
      </c>
      <c r="I495" s="1383"/>
      <c r="J495" s="91"/>
      <c r="K495" s="138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3"/>
      <c r="AG495" s="92"/>
      <c r="AH495" s="92"/>
      <c r="AI495" s="92"/>
      <c r="AJ495" s="92"/>
      <c r="AK495" s="92"/>
      <c r="AL495" s="92"/>
      <c r="AM495" s="92"/>
      <c r="AN495" s="92"/>
      <c r="AO495" s="92"/>
      <c r="AP495" s="92"/>
      <c r="AQ495" s="92"/>
      <c r="AR495" s="92"/>
      <c r="AS495" s="92"/>
      <c r="AT495" s="93"/>
      <c r="AU495" s="94"/>
      <c r="AV495" s="983">
        <f t="shared" si="320"/>
        <v>0</v>
      </c>
      <c r="AW495" s="983">
        <f t="shared" si="321"/>
        <v>0</v>
      </c>
      <c r="AX495" s="98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0"/>
      <c r="C496" s="1381"/>
      <c r="D496" s="80"/>
      <c r="E496" s="87">
        <f t="shared" si="319"/>
        <v>0</v>
      </c>
      <c r="F496" s="88"/>
      <c r="G496" s="89">
        <f t="shared" si="294"/>
        <v>0</v>
      </c>
      <c r="H496" s="90">
        <f t="shared" si="295"/>
        <v>0</v>
      </c>
      <c r="I496" s="1383"/>
      <c r="J496" s="91"/>
      <c r="K496" s="138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3"/>
      <c r="AG496" s="92"/>
      <c r="AH496" s="92"/>
      <c r="AI496" s="92"/>
      <c r="AJ496" s="92"/>
      <c r="AK496" s="92"/>
      <c r="AL496" s="92"/>
      <c r="AM496" s="92"/>
      <c r="AN496" s="92"/>
      <c r="AO496" s="92"/>
      <c r="AP496" s="92"/>
      <c r="AQ496" s="92"/>
      <c r="AR496" s="92"/>
      <c r="AS496" s="92"/>
      <c r="AT496" s="93"/>
      <c r="AU496" s="94"/>
      <c r="AV496" s="983">
        <f t="shared" si="320"/>
        <v>0</v>
      </c>
      <c r="AW496" s="983">
        <f t="shared" si="321"/>
        <v>0</v>
      </c>
      <c r="AX496" s="98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0"/>
      <c r="C497" s="1381"/>
      <c r="D497" s="80"/>
      <c r="E497" s="87">
        <f t="shared" si="319"/>
        <v>0</v>
      </c>
      <c r="F497" s="88"/>
      <c r="G497" s="89">
        <f t="shared" si="294"/>
        <v>0</v>
      </c>
      <c r="H497" s="90">
        <f t="shared" si="295"/>
        <v>0</v>
      </c>
      <c r="I497" s="1383"/>
      <c r="J497" s="91"/>
      <c r="K497" s="138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3"/>
      <c r="AG497" s="92"/>
      <c r="AH497" s="92"/>
      <c r="AI497" s="92"/>
      <c r="AJ497" s="92"/>
      <c r="AK497" s="92"/>
      <c r="AL497" s="92"/>
      <c r="AM497" s="92"/>
      <c r="AN497" s="92"/>
      <c r="AO497" s="92"/>
      <c r="AP497" s="92"/>
      <c r="AQ497" s="92"/>
      <c r="AR497" s="92"/>
      <c r="AS497" s="92"/>
      <c r="AT497" s="93"/>
      <c r="AU497" s="94"/>
      <c r="AV497" s="983">
        <f t="shared" si="320"/>
        <v>0</v>
      </c>
      <c r="AW497" s="983">
        <f t="shared" si="321"/>
        <v>0</v>
      </c>
      <c r="AX497" s="98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0"/>
      <c r="C498" s="1381"/>
      <c r="D498" s="80"/>
      <c r="E498" s="87">
        <f t="shared" si="319"/>
        <v>0</v>
      </c>
      <c r="F498" s="88"/>
      <c r="G498" s="89">
        <f t="shared" si="294"/>
        <v>0</v>
      </c>
      <c r="H498" s="90">
        <f t="shared" si="295"/>
        <v>0</v>
      </c>
      <c r="I498" s="1383"/>
      <c r="J498" s="91"/>
      <c r="K498" s="138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3"/>
      <c r="AG498" s="92"/>
      <c r="AH498" s="92"/>
      <c r="AI498" s="92"/>
      <c r="AJ498" s="92"/>
      <c r="AK498" s="92"/>
      <c r="AL498" s="92"/>
      <c r="AM498" s="92"/>
      <c r="AN498" s="92"/>
      <c r="AO498" s="92"/>
      <c r="AP498" s="92"/>
      <c r="AQ498" s="92"/>
      <c r="AR498" s="92"/>
      <c r="AS498" s="92"/>
      <c r="AT498" s="93"/>
      <c r="AU498" s="94"/>
      <c r="AV498" s="983">
        <f t="shared" si="320"/>
        <v>0</v>
      </c>
      <c r="AW498" s="983">
        <f t="shared" si="321"/>
        <v>0</v>
      </c>
      <c r="AX498" s="98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0"/>
      <c r="C499" s="1381"/>
      <c r="D499" s="80"/>
      <c r="E499" s="87">
        <f t="shared" si="319"/>
        <v>0</v>
      </c>
      <c r="F499" s="88"/>
      <c r="G499" s="89">
        <f t="shared" si="294"/>
        <v>0</v>
      </c>
      <c r="H499" s="90">
        <f t="shared" si="295"/>
        <v>0</v>
      </c>
      <c r="I499" s="1383"/>
      <c r="J499" s="91"/>
      <c r="K499" s="138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3"/>
      <c r="AG499" s="92"/>
      <c r="AH499" s="92"/>
      <c r="AI499" s="92"/>
      <c r="AJ499" s="92"/>
      <c r="AK499" s="92"/>
      <c r="AL499" s="92"/>
      <c r="AM499" s="92"/>
      <c r="AN499" s="92"/>
      <c r="AO499" s="92"/>
      <c r="AP499" s="92"/>
      <c r="AQ499" s="92"/>
      <c r="AR499" s="92"/>
      <c r="AS499" s="92"/>
      <c r="AT499" s="93"/>
      <c r="AU499" s="94"/>
      <c r="AV499" s="983">
        <f t="shared" si="320"/>
        <v>0</v>
      </c>
      <c r="AW499" s="983">
        <f t="shared" si="321"/>
        <v>0</v>
      </c>
      <c r="AX499" s="98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0"/>
      <c r="C500" s="1381"/>
      <c r="D500" s="80"/>
      <c r="E500" s="87">
        <f t="shared" si="319"/>
        <v>0</v>
      </c>
      <c r="F500" s="88"/>
      <c r="G500" s="89">
        <f t="shared" si="294"/>
        <v>0</v>
      </c>
      <c r="H500" s="90">
        <f t="shared" si="295"/>
        <v>0</v>
      </c>
      <c r="I500" s="1383"/>
      <c r="J500" s="91"/>
      <c r="K500" s="138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3"/>
      <c r="AG500" s="92"/>
      <c r="AH500" s="92"/>
      <c r="AI500" s="92"/>
      <c r="AJ500" s="92"/>
      <c r="AK500" s="92"/>
      <c r="AL500" s="92"/>
      <c r="AM500" s="92"/>
      <c r="AN500" s="92"/>
      <c r="AO500" s="92"/>
      <c r="AP500" s="92"/>
      <c r="AQ500" s="92"/>
      <c r="AR500" s="92"/>
      <c r="AS500" s="92"/>
      <c r="AT500" s="93"/>
      <c r="AU500" s="94"/>
      <c r="AV500" s="983">
        <f t="shared" si="320"/>
        <v>0</v>
      </c>
      <c r="AW500" s="983">
        <f t="shared" si="321"/>
        <v>0</v>
      </c>
      <c r="AX500" s="98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0"/>
      <c r="C501" s="1381"/>
      <c r="D501" s="80"/>
      <c r="E501" s="87">
        <f t="shared" si="319"/>
        <v>0</v>
      </c>
      <c r="F501" s="88"/>
      <c r="G501" s="89">
        <f t="shared" si="294"/>
        <v>0</v>
      </c>
      <c r="H501" s="90">
        <f t="shared" si="295"/>
        <v>0</v>
      </c>
      <c r="I501" s="1383"/>
      <c r="J501" s="91"/>
      <c r="K501" s="138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3"/>
      <c r="AG501" s="92"/>
      <c r="AH501" s="92"/>
      <c r="AI501" s="92"/>
      <c r="AJ501" s="92"/>
      <c r="AK501" s="92"/>
      <c r="AL501" s="92"/>
      <c r="AM501" s="92"/>
      <c r="AN501" s="92"/>
      <c r="AO501" s="92"/>
      <c r="AP501" s="92"/>
      <c r="AQ501" s="92"/>
      <c r="AR501" s="92"/>
      <c r="AS501" s="92"/>
      <c r="AT501" s="93"/>
      <c r="AU501" s="94"/>
      <c r="AV501" s="983">
        <f t="shared" si="320"/>
        <v>0</v>
      </c>
      <c r="AW501" s="983">
        <f t="shared" si="321"/>
        <v>0</v>
      </c>
      <c r="AX501" s="98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0"/>
      <c r="C502" s="1381"/>
      <c r="D502" s="80"/>
      <c r="E502" s="87">
        <f t="shared" si="319"/>
        <v>0</v>
      </c>
      <c r="F502" s="88"/>
      <c r="G502" s="89">
        <f t="shared" si="294"/>
        <v>0</v>
      </c>
      <c r="H502" s="90">
        <f t="shared" si="295"/>
        <v>0</v>
      </c>
      <c r="I502" s="1383"/>
      <c r="J502" s="91"/>
      <c r="K502" s="138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3"/>
      <c r="AG502" s="92"/>
      <c r="AH502" s="92"/>
      <c r="AI502" s="92"/>
      <c r="AJ502" s="92"/>
      <c r="AK502" s="92"/>
      <c r="AL502" s="92"/>
      <c r="AM502" s="92"/>
      <c r="AN502" s="92"/>
      <c r="AO502" s="92"/>
      <c r="AP502" s="92"/>
      <c r="AQ502" s="92"/>
      <c r="AR502" s="92"/>
      <c r="AS502" s="92"/>
      <c r="AT502" s="93"/>
      <c r="AU502" s="94"/>
      <c r="AV502" s="983">
        <f t="shared" si="320"/>
        <v>0</v>
      </c>
      <c r="AW502" s="983">
        <f t="shared" si="321"/>
        <v>0</v>
      </c>
      <c r="AX502" s="98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0"/>
      <c r="C503" s="1381"/>
      <c r="D503" s="80"/>
      <c r="E503" s="87">
        <f t="shared" si="319"/>
        <v>0</v>
      </c>
      <c r="F503" s="88"/>
      <c r="G503" s="89">
        <f t="shared" si="294"/>
        <v>0</v>
      </c>
      <c r="H503" s="90">
        <f t="shared" si="295"/>
        <v>0</v>
      </c>
      <c r="I503" s="1383"/>
      <c r="J503" s="91"/>
      <c r="K503" s="138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3"/>
      <c r="AG503" s="92"/>
      <c r="AH503" s="92"/>
      <c r="AI503" s="92"/>
      <c r="AJ503" s="92"/>
      <c r="AK503" s="92"/>
      <c r="AL503" s="92"/>
      <c r="AM503" s="92"/>
      <c r="AN503" s="92"/>
      <c r="AO503" s="92"/>
      <c r="AP503" s="92"/>
      <c r="AQ503" s="92"/>
      <c r="AR503" s="92"/>
      <c r="AS503" s="92"/>
      <c r="AT503" s="93"/>
      <c r="AU503" s="94"/>
      <c r="AV503" s="983">
        <f t="shared" si="320"/>
        <v>0</v>
      </c>
      <c r="AW503" s="983">
        <f t="shared" si="321"/>
        <v>0</v>
      </c>
      <c r="AX503" s="98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0"/>
      <c r="C504" s="1381"/>
      <c r="D504" s="80"/>
      <c r="E504" s="87">
        <f t="shared" si="319"/>
        <v>0</v>
      </c>
      <c r="F504" s="88"/>
      <c r="G504" s="89">
        <f t="shared" si="294"/>
        <v>0</v>
      </c>
      <c r="H504" s="90">
        <f t="shared" si="295"/>
        <v>0</v>
      </c>
      <c r="I504" s="1383"/>
      <c r="J504" s="91"/>
      <c r="K504" s="138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3"/>
      <c r="AG504" s="92"/>
      <c r="AH504" s="92"/>
      <c r="AI504" s="92"/>
      <c r="AJ504" s="92"/>
      <c r="AK504" s="92"/>
      <c r="AL504" s="92"/>
      <c r="AM504" s="92"/>
      <c r="AN504" s="92"/>
      <c r="AO504" s="92"/>
      <c r="AP504" s="92"/>
      <c r="AQ504" s="92"/>
      <c r="AR504" s="92"/>
      <c r="AS504" s="92"/>
      <c r="AT504" s="93"/>
      <c r="AU504" s="94"/>
      <c r="AV504" s="983">
        <f t="shared" si="320"/>
        <v>0</v>
      </c>
      <c r="AW504" s="983">
        <f t="shared" si="321"/>
        <v>0</v>
      </c>
      <c r="AX504" s="98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0"/>
      <c r="C505" s="1381"/>
      <c r="D505" s="80"/>
      <c r="E505" s="87">
        <f t="shared" ref="E505:E536" si="323">IF($C$3="是",ROUND($A$3*G505/$B$3,2),ROUND($A$3*(G505-AT505)/$B$3,2))</f>
        <v>0</v>
      </c>
      <c r="F505" s="88"/>
      <c r="G505" s="89">
        <f t="shared" si="294"/>
        <v>0</v>
      </c>
      <c r="H505" s="90">
        <f t="shared" si="295"/>
        <v>0</v>
      </c>
      <c r="I505" s="1383"/>
      <c r="J505" s="91"/>
      <c r="K505" s="138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3"/>
      <c r="AG505" s="92"/>
      <c r="AH505" s="92"/>
      <c r="AI505" s="92"/>
      <c r="AJ505" s="92"/>
      <c r="AK505" s="92"/>
      <c r="AL505" s="92"/>
      <c r="AM505" s="92"/>
      <c r="AN505" s="92"/>
      <c r="AO505" s="92"/>
      <c r="AP505" s="92"/>
      <c r="AQ505" s="92"/>
      <c r="AR505" s="92"/>
      <c r="AS505" s="92"/>
      <c r="AT505" s="93"/>
      <c r="AU505" s="94"/>
      <c r="AV505" s="983">
        <f t="shared" si="320"/>
        <v>0</v>
      </c>
      <c r="AW505" s="983">
        <f t="shared" si="321"/>
        <v>0</v>
      </c>
      <c r="AX505" s="98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0"/>
      <c r="C506" s="1381"/>
      <c r="D506" s="80"/>
      <c r="E506" s="87">
        <f t="shared" si="323"/>
        <v>0</v>
      </c>
      <c r="F506" s="88"/>
      <c r="G506" s="89">
        <f t="shared" si="294"/>
        <v>0</v>
      </c>
      <c r="H506" s="90">
        <f t="shared" si="295"/>
        <v>0</v>
      </c>
      <c r="I506" s="1383"/>
      <c r="J506" s="91"/>
      <c r="K506" s="138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3"/>
      <c r="AG506" s="92"/>
      <c r="AH506" s="92"/>
      <c r="AI506" s="92"/>
      <c r="AJ506" s="92"/>
      <c r="AK506" s="92"/>
      <c r="AL506" s="92"/>
      <c r="AM506" s="92"/>
      <c r="AN506" s="92"/>
      <c r="AO506" s="92"/>
      <c r="AP506" s="92"/>
      <c r="AQ506" s="92"/>
      <c r="AR506" s="92"/>
      <c r="AS506" s="92"/>
      <c r="AT506" s="93"/>
      <c r="AU506" s="94"/>
      <c r="AV506" s="983">
        <f t="shared" ref="AV506:AV537" si="324">A506</f>
        <v>0</v>
      </c>
      <c r="AW506" s="983">
        <f t="shared" ref="AW506:AW537" si="325">B506</f>
        <v>0</v>
      </c>
      <c r="AX506" s="98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0"/>
      <c r="C507" s="1381"/>
      <c r="D507" s="80"/>
      <c r="E507" s="87">
        <f t="shared" si="323"/>
        <v>0</v>
      </c>
      <c r="F507" s="88"/>
      <c r="G507" s="89">
        <f t="shared" si="294"/>
        <v>0</v>
      </c>
      <c r="H507" s="90">
        <f t="shared" si="295"/>
        <v>0</v>
      </c>
      <c r="I507" s="1383"/>
      <c r="J507" s="91"/>
      <c r="K507" s="138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1"/>
      <c r="AG507" s="92"/>
      <c r="AH507" s="92"/>
      <c r="AI507" s="92"/>
      <c r="AJ507" s="92"/>
      <c r="AK507" s="92"/>
      <c r="AL507" s="92"/>
      <c r="AM507" s="92"/>
      <c r="AN507" s="92"/>
      <c r="AO507" s="92"/>
      <c r="AP507" s="92"/>
      <c r="AQ507" s="92"/>
      <c r="AR507" s="92"/>
      <c r="AS507" s="92"/>
      <c r="AT507" s="93"/>
      <c r="AU507" s="94"/>
      <c r="AV507" s="983">
        <f t="shared" si="324"/>
        <v>0</v>
      </c>
      <c r="AW507" s="983">
        <f t="shared" si="325"/>
        <v>0</v>
      </c>
      <c r="AX507" s="98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0"/>
      <c r="C508" s="1381"/>
      <c r="D508" s="80"/>
      <c r="E508" s="87">
        <f t="shared" si="323"/>
        <v>0</v>
      </c>
      <c r="F508" s="88"/>
      <c r="G508" s="89">
        <f t="shared" si="294"/>
        <v>0</v>
      </c>
      <c r="H508" s="90">
        <f t="shared" si="295"/>
        <v>0</v>
      </c>
      <c r="I508" s="1381"/>
      <c r="J508" s="91"/>
      <c r="K508" s="138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1"/>
      <c r="AG508" s="92"/>
      <c r="AH508" s="92"/>
      <c r="AI508" s="92"/>
      <c r="AJ508" s="92"/>
      <c r="AK508" s="92"/>
      <c r="AL508" s="92"/>
      <c r="AM508" s="92"/>
      <c r="AN508" s="92"/>
      <c r="AO508" s="92"/>
      <c r="AP508" s="92"/>
      <c r="AQ508" s="92"/>
      <c r="AR508" s="92"/>
      <c r="AS508" s="92"/>
      <c r="AT508" s="93"/>
      <c r="AU508" s="94"/>
      <c r="AV508" s="983">
        <f t="shared" si="324"/>
        <v>0</v>
      </c>
      <c r="AW508" s="983">
        <f t="shared" si="325"/>
        <v>0</v>
      </c>
      <c r="AX508" s="98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0"/>
      <c r="C509" s="1381"/>
      <c r="D509" s="80"/>
      <c r="E509" s="87">
        <f t="shared" si="323"/>
        <v>0</v>
      </c>
      <c r="F509" s="88"/>
      <c r="G509" s="89">
        <f t="shared" si="294"/>
        <v>0</v>
      </c>
      <c r="H509" s="90">
        <f t="shared" si="295"/>
        <v>0</v>
      </c>
      <c r="I509" s="1381"/>
      <c r="J509" s="91"/>
      <c r="K509" s="138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1"/>
      <c r="AG509" s="92"/>
      <c r="AH509" s="92"/>
      <c r="AI509" s="92"/>
      <c r="AJ509" s="92"/>
      <c r="AK509" s="92"/>
      <c r="AL509" s="92"/>
      <c r="AM509" s="92"/>
      <c r="AN509" s="92"/>
      <c r="AO509" s="92"/>
      <c r="AP509" s="92"/>
      <c r="AQ509" s="92"/>
      <c r="AR509" s="92"/>
      <c r="AS509" s="92"/>
      <c r="AT509" s="93"/>
      <c r="AU509" s="94"/>
      <c r="AV509" s="983">
        <f t="shared" si="324"/>
        <v>0</v>
      </c>
      <c r="AW509" s="983">
        <f t="shared" si="325"/>
        <v>0</v>
      </c>
      <c r="AX509" s="98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0"/>
      <c r="C510" s="1381"/>
      <c r="D510" s="80"/>
      <c r="E510" s="87">
        <f t="shared" si="323"/>
        <v>0</v>
      </c>
      <c r="F510" s="88"/>
      <c r="G510" s="89">
        <f t="shared" ref="G510:G537" si="327">H510+AC510+AT510</f>
        <v>0</v>
      </c>
      <c r="H510" s="90">
        <f t="shared" ref="H510:H537" si="328">SUMIF(I$12:AB$12,"总值",I510:AB510)</f>
        <v>0</v>
      </c>
      <c r="I510" s="1381"/>
      <c r="J510" s="91"/>
      <c r="K510" s="138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1"/>
      <c r="AG510" s="92"/>
      <c r="AH510" s="92"/>
      <c r="AI510" s="92"/>
      <c r="AJ510" s="92"/>
      <c r="AK510" s="92"/>
      <c r="AL510" s="92"/>
      <c r="AM510" s="92"/>
      <c r="AN510" s="92"/>
      <c r="AO510" s="92"/>
      <c r="AP510" s="92"/>
      <c r="AQ510" s="92"/>
      <c r="AR510" s="92"/>
      <c r="AS510" s="92"/>
      <c r="AT510" s="93"/>
      <c r="AU510" s="94"/>
      <c r="AV510" s="983">
        <f t="shared" si="324"/>
        <v>0</v>
      </c>
      <c r="AW510" s="983">
        <f t="shared" si="325"/>
        <v>0</v>
      </c>
      <c r="AX510" s="98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0"/>
      <c r="C511" s="1381"/>
      <c r="D511" s="80"/>
      <c r="E511" s="87">
        <f t="shared" si="323"/>
        <v>0</v>
      </c>
      <c r="F511" s="88"/>
      <c r="G511" s="89">
        <f t="shared" si="327"/>
        <v>0</v>
      </c>
      <c r="H511" s="90">
        <f t="shared" si="328"/>
        <v>0</v>
      </c>
      <c r="I511" s="1381"/>
      <c r="J511" s="91"/>
      <c r="K511" s="138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1"/>
      <c r="AG511" s="92"/>
      <c r="AH511" s="92"/>
      <c r="AI511" s="92"/>
      <c r="AJ511" s="92"/>
      <c r="AK511" s="92"/>
      <c r="AL511" s="92"/>
      <c r="AM511" s="92"/>
      <c r="AN511" s="92"/>
      <c r="AO511" s="92"/>
      <c r="AP511" s="92"/>
      <c r="AQ511" s="92"/>
      <c r="AR511" s="92"/>
      <c r="AS511" s="92"/>
      <c r="AT511" s="93"/>
      <c r="AU511" s="94"/>
      <c r="AV511" s="983">
        <f t="shared" si="324"/>
        <v>0</v>
      </c>
      <c r="AW511" s="983">
        <f t="shared" si="325"/>
        <v>0</v>
      </c>
      <c r="AX511" s="98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0"/>
      <c r="C512" s="1381"/>
      <c r="D512" s="80"/>
      <c r="E512" s="87">
        <f t="shared" si="323"/>
        <v>0</v>
      </c>
      <c r="F512" s="88"/>
      <c r="G512" s="89">
        <f t="shared" si="327"/>
        <v>0</v>
      </c>
      <c r="H512" s="90">
        <f t="shared" si="328"/>
        <v>0</v>
      </c>
      <c r="I512" s="1381"/>
      <c r="J512" s="91"/>
      <c r="K512" s="138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1"/>
      <c r="AG512" s="92"/>
      <c r="AH512" s="92"/>
      <c r="AI512" s="92"/>
      <c r="AJ512" s="92"/>
      <c r="AK512" s="92"/>
      <c r="AL512" s="92"/>
      <c r="AM512" s="92"/>
      <c r="AN512" s="92"/>
      <c r="AO512" s="92"/>
      <c r="AP512" s="92"/>
      <c r="AQ512" s="92"/>
      <c r="AR512" s="92"/>
      <c r="AS512" s="92"/>
      <c r="AT512" s="93"/>
      <c r="AU512" s="94"/>
      <c r="AV512" s="983">
        <f t="shared" si="324"/>
        <v>0</v>
      </c>
      <c r="AW512" s="983">
        <f t="shared" si="325"/>
        <v>0</v>
      </c>
      <c r="AX512" s="98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0"/>
      <c r="C513" s="1381"/>
      <c r="D513" s="80"/>
      <c r="E513" s="87">
        <f t="shared" si="323"/>
        <v>0</v>
      </c>
      <c r="F513" s="88"/>
      <c r="G513" s="89">
        <f t="shared" si="327"/>
        <v>0</v>
      </c>
      <c r="H513" s="90">
        <f t="shared" si="328"/>
        <v>0</v>
      </c>
      <c r="I513" s="1381"/>
      <c r="J513" s="91"/>
      <c r="K513" s="138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1"/>
      <c r="AG513" s="92"/>
      <c r="AH513" s="92"/>
      <c r="AI513" s="92"/>
      <c r="AJ513" s="92"/>
      <c r="AK513" s="92"/>
      <c r="AL513" s="92"/>
      <c r="AM513" s="92"/>
      <c r="AN513" s="92"/>
      <c r="AO513" s="92"/>
      <c r="AP513" s="92"/>
      <c r="AQ513" s="92"/>
      <c r="AR513" s="92"/>
      <c r="AS513" s="92"/>
      <c r="AT513" s="93"/>
      <c r="AU513" s="94"/>
      <c r="AV513" s="983">
        <f t="shared" si="324"/>
        <v>0</v>
      </c>
      <c r="AW513" s="983">
        <f t="shared" si="325"/>
        <v>0</v>
      </c>
      <c r="AX513" s="98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0"/>
      <c r="C514" s="1381"/>
      <c r="D514" s="80"/>
      <c r="E514" s="87">
        <f t="shared" si="323"/>
        <v>0</v>
      </c>
      <c r="F514" s="88"/>
      <c r="G514" s="89">
        <f t="shared" si="327"/>
        <v>0</v>
      </c>
      <c r="H514" s="90">
        <f t="shared" si="328"/>
        <v>0</v>
      </c>
      <c r="I514" s="1381"/>
      <c r="J514" s="91"/>
      <c r="K514" s="138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1"/>
      <c r="AG514" s="92"/>
      <c r="AH514" s="92"/>
      <c r="AI514" s="92"/>
      <c r="AJ514" s="92"/>
      <c r="AK514" s="92"/>
      <c r="AL514" s="92"/>
      <c r="AM514" s="92"/>
      <c r="AN514" s="92"/>
      <c r="AO514" s="92"/>
      <c r="AP514" s="92"/>
      <c r="AQ514" s="92"/>
      <c r="AR514" s="92"/>
      <c r="AS514" s="92"/>
      <c r="AT514" s="93"/>
      <c r="AU514" s="94"/>
      <c r="AV514" s="983">
        <f t="shared" si="324"/>
        <v>0</v>
      </c>
      <c r="AW514" s="983">
        <f t="shared" si="325"/>
        <v>0</v>
      </c>
      <c r="AX514" s="98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2"/>
      <c r="C515" s="1383"/>
      <c r="D515" s="80"/>
      <c r="E515" s="87">
        <f t="shared" si="323"/>
        <v>0</v>
      </c>
      <c r="F515" s="88"/>
      <c r="G515" s="89">
        <f t="shared" si="327"/>
        <v>0</v>
      </c>
      <c r="H515" s="90">
        <f t="shared" si="328"/>
        <v>0</v>
      </c>
      <c r="I515" s="1381"/>
      <c r="J515" s="91"/>
      <c r="K515" s="1381"/>
      <c r="L515" s="91"/>
      <c r="M515" s="1381"/>
      <c r="N515" s="91"/>
      <c r="O515" s="91"/>
      <c r="P515" s="91"/>
      <c r="Q515" s="91"/>
      <c r="R515" s="91"/>
      <c r="S515" s="91"/>
      <c r="T515" s="91"/>
      <c r="U515" s="91"/>
      <c r="V515" s="91"/>
      <c r="W515" s="91"/>
      <c r="X515" s="91"/>
      <c r="Y515" s="91"/>
      <c r="Z515" s="91"/>
      <c r="AA515" s="91"/>
      <c r="AB515" s="91"/>
      <c r="AC515" s="87">
        <f t="shared" si="329"/>
        <v>0</v>
      </c>
      <c r="AD515" s="92"/>
      <c r="AE515" s="92"/>
      <c r="AF515" s="1381"/>
      <c r="AG515" s="92"/>
      <c r="AH515" s="92"/>
      <c r="AI515" s="92"/>
      <c r="AJ515" s="92"/>
      <c r="AK515" s="92"/>
      <c r="AL515" s="92"/>
      <c r="AM515" s="92"/>
      <c r="AN515" s="92"/>
      <c r="AO515" s="92"/>
      <c r="AP515" s="92"/>
      <c r="AQ515" s="92"/>
      <c r="AR515" s="92"/>
      <c r="AS515" s="92"/>
      <c r="AT515" s="93"/>
      <c r="AU515" s="94"/>
      <c r="AV515" s="983">
        <f t="shared" si="324"/>
        <v>0</v>
      </c>
      <c r="AW515" s="983">
        <f t="shared" si="325"/>
        <v>0</v>
      </c>
      <c r="AX515" s="98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3">
        <f t="shared" si="324"/>
        <v>0</v>
      </c>
      <c r="AW516" s="983">
        <f t="shared" si="325"/>
        <v>0</v>
      </c>
      <c r="AX516" s="98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3">
        <f t="shared" si="324"/>
        <v>0</v>
      </c>
      <c r="AW517" s="983">
        <f t="shared" si="325"/>
        <v>0</v>
      </c>
      <c r="AX517" s="98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3">
        <f t="shared" si="324"/>
        <v>0</v>
      </c>
      <c r="AW518" s="983">
        <f t="shared" si="325"/>
        <v>0</v>
      </c>
      <c r="AX518" s="98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3">
        <f t="shared" si="324"/>
        <v>0</v>
      </c>
      <c r="AW519" s="983">
        <f t="shared" si="325"/>
        <v>0</v>
      </c>
      <c r="AX519" s="98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3">
        <f t="shared" si="324"/>
        <v>0</v>
      </c>
      <c r="AW520" s="983">
        <f t="shared" si="325"/>
        <v>0</v>
      </c>
      <c r="AX520" s="98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3">
        <f t="shared" si="324"/>
        <v>0</v>
      </c>
      <c r="AW521" s="983">
        <f t="shared" si="325"/>
        <v>0</v>
      </c>
      <c r="AX521" s="98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3">
        <f t="shared" si="324"/>
        <v>0</v>
      </c>
      <c r="AW522" s="983">
        <f t="shared" si="325"/>
        <v>0</v>
      </c>
      <c r="AX522" s="98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3">
        <f t="shared" si="324"/>
        <v>0</v>
      </c>
      <c r="AW523" s="983">
        <f t="shared" si="325"/>
        <v>0</v>
      </c>
      <c r="AX523" s="98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3">
        <f t="shared" si="324"/>
        <v>0</v>
      </c>
      <c r="AW524" s="983">
        <f t="shared" si="325"/>
        <v>0</v>
      </c>
      <c r="AX524" s="98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3">
        <f t="shared" si="324"/>
        <v>0</v>
      </c>
      <c r="AW525" s="983">
        <f t="shared" si="325"/>
        <v>0</v>
      </c>
      <c r="AX525" s="98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3">
        <f t="shared" si="324"/>
        <v>0</v>
      </c>
      <c r="AW526" s="983">
        <f t="shared" si="325"/>
        <v>0</v>
      </c>
      <c r="AX526" s="98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3">
        <f t="shared" si="324"/>
        <v>0</v>
      </c>
      <c r="AW527" s="983">
        <f t="shared" si="325"/>
        <v>0</v>
      </c>
      <c r="AX527" s="98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3">
        <f t="shared" si="324"/>
        <v>0</v>
      </c>
      <c r="AW528" s="983">
        <f t="shared" si="325"/>
        <v>0</v>
      </c>
      <c r="AX528" s="98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3">
        <f t="shared" si="324"/>
        <v>0</v>
      </c>
      <c r="AW529" s="983">
        <f t="shared" si="325"/>
        <v>0</v>
      </c>
      <c r="AX529" s="98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3">
        <f t="shared" si="324"/>
        <v>0</v>
      </c>
      <c r="AW530" s="983">
        <f t="shared" si="325"/>
        <v>0</v>
      </c>
      <c r="AX530" s="98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3">
        <f t="shared" si="324"/>
        <v>0</v>
      </c>
      <c r="AW531" s="983">
        <f t="shared" si="325"/>
        <v>0</v>
      </c>
      <c r="AX531" s="98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3">
        <f t="shared" si="324"/>
        <v>0</v>
      </c>
      <c r="AW532" s="983">
        <f t="shared" si="325"/>
        <v>0</v>
      </c>
      <c r="AX532" s="98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3">
        <f t="shared" si="324"/>
        <v>0</v>
      </c>
      <c r="AW533" s="983">
        <f t="shared" si="325"/>
        <v>0</v>
      </c>
      <c r="AX533" s="98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3">
        <f t="shared" si="324"/>
        <v>0</v>
      </c>
      <c r="AW534" s="983">
        <f t="shared" si="325"/>
        <v>0</v>
      </c>
      <c r="AX534" s="98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3">
        <f t="shared" si="324"/>
        <v>0</v>
      </c>
      <c r="AW535" s="983">
        <f t="shared" si="325"/>
        <v>0</v>
      </c>
      <c r="AX535" s="98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3">
        <f t="shared" si="324"/>
        <v>0</v>
      </c>
      <c r="AW536" s="983">
        <f t="shared" si="325"/>
        <v>0</v>
      </c>
      <c r="AX536" s="98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3">
        <f t="shared" si="324"/>
        <v>0</v>
      </c>
      <c r="AW537" s="983">
        <f t="shared" si="325"/>
        <v>0</v>
      </c>
      <c r="AX537" s="98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3">
        <f t="shared" ref="AV538:AV572" si="356">A538</f>
        <v>0</v>
      </c>
      <c r="AW538" s="983">
        <f t="shared" ref="AW538:AW572" si="357">B538</f>
        <v>0</v>
      </c>
      <c r="AX538" s="98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3">
        <f t="shared" si="356"/>
        <v>0</v>
      </c>
      <c r="AW539" s="983">
        <f t="shared" si="357"/>
        <v>0</v>
      </c>
      <c r="AX539" s="98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3">
        <f t="shared" si="356"/>
        <v>0</v>
      </c>
      <c r="AW540" s="983">
        <f t="shared" si="357"/>
        <v>0</v>
      </c>
      <c r="AX540" s="98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3">
        <f t="shared" si="356"/>
        <v>0</v>
      </c>
      <c r="AW541" s="983">
        <f t="shared" si="357"/>
        <v>0</v>
      </c>
      <c r="AX541" s="98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3">
        <f t="shared" si="356"/>
        <v>0</v>
      </c>
      <c r="AW542" s="983">
        <f t="shared" si="357"/>
        <v>0</v>
      </c>
      <c r="AX542" s="98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3">
        <f t="shared" si="356"/>
        <v>0</v>
      </c>
      <c r="AW543" s="983">
        <f t="shared" si="357"/>
        <v>0</v>
      </c>
      <c r="AX543" s="98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3">
        <f t="shared" si="356"/>
        <v>0</v>
      </c>
      <c r="AW544" s="983">
        <f t="shared" si="357"/>
        <v>0</v>
      </c>
      <c r="AX544" s="98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3">
        <f t="shared" si="356"/>
        <v>0</v>
      </c>
      <c r="AW545" s="983">
        <f t="shared" si="357"/>
        <v>0</v>
      </c>
      <c r="AX545" s="98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3">
        <f t="shared" si="356"/>
        <v>0</v>
      </c>
      <c r="AW546" s="983">
        <f t="shared" si="357"/>
        <v>0</v>
      </c>
      <c r="AX546" s="98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3">
        <f t="shared" si="356"/>
        <v>0</v>
      </c>
      <c r="AW547" s="983">
        <f t="shared" si="357"/>
        <v>0</v>
      </c>
      <c r="AX547" s="98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3">
        <f t="shared" si="356"/>
        <v>0</v>
      </c>
      <c r="AW548" s="983">
        <f t="shared" si="357"/>
        <v>0</v>
      </c>
      <c r="AX548" s="98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3">
        <f t="shared" si="356"/>
        <v>0</v>
      </c>
      <c r="AW549" s="983">
        <f t="shared" si="357"/>
        <v>0</v>
      </c>
      <c r="AX549" s="98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3">
        <f t="shared" si="356"/>
        <v>0</v>
      </c>
      <c r="AW550" s="983">
        <f t="shared" si="357"/>
        <v>0</v>
      </c>
      <c r="AX550" s="98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3">
        <f t="shared" si="356"/>
        <v>0</v>
      </c>
      <c r="AW551" s="983">
        <f t="shared" si="357"/>
        <v>0</v>
      </c>
      <c r="AX551" s="98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3">
        <f t="shared" si="356"/>
        <v>0</v>
      </c>
      <c r="AW552" s="983">
        <f t="shared" si="357"/>
        <v>0</v>
      </c>
      <c r="AX552" s="98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3">
        <f t="shared" si="356"/>
        <v>0</v>
      </c>
      <c r="AW553" s="983">
        <f t="shared" si="357"/>
        <v>0</v>
      </c>
      <c r="AX553" s="98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3">
        <f t="shared" si="356"/>
        <v>0</v>
      </c>
      <c r="AW554" s="983">
        <f t="shared" si="357"/>
        <v>0</v>
      </c>
      <c r="AX554" s="98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3">
        <f t="shared" si="356"/>
        <v>0</v>
      </c>
      <c r="AW555" s="983">
        <f t="shared" si="357"/>
        <v>0</v>
      </c>
      <c r="AX555" s="98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3">
        <f t="shared" si="356"/>
        <v>0</v>
      </c>
      <c r="AW556" s="983">
        <f t="shared" si="357"/>
        <v>0</v>
      </c>
      <c r="AX556" s="98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3">
        <f t="shared" si="356"/>
        <v>0</v>
      </c>
      <c r="AW557" s="983">
        <f t="shared" si="357"/>
        <v>0</v>
      </c>
      <c r="AX557" s="98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3">
        <f t="shared" si="356"/>
        <v>0</v>
      </c>
      <c r="AW558" s="983">
        <f t="shared" si="357"/>
        <v>0</v>
      </c>
      <c r="AX558" s="98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3">
        <f t="shared" si="356"/>
        <v>0</v>
      </c>
      <c r="AW559" s="983">
        <f t="shared" si="357"/>
        <v>0</v>
      </c>
      <c r="AX559" s="98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3">
        <f t="shared" si="356"/>
        <v>0</v>
      </c>
      <c r="AW560" s="983">
        <f t="shared" si="357"/>
        <v>0</v>
      </c>
      <c r="AX560" s="98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3">
        <f t="shared" si="356"/>
        <v>0</v>
      </c>
      <c r="AW561" s="983">
        <f t="shared" si="357"/>
        <v>0</v>
      </c>
      <c r="AX561" s="98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3">
        <f t="shared" si="356"/>
        <v>0</v>
      </c>
      <c r="AW562" s="983">
        <f t="shared" si="357"/>
        <v>0</v>
      </c>
      <c r="AX562" s="98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3">
        <f t="shared" si="356"/>
        <v>0</v>
      </c>
      <c r="AW563" s="983">
        <f t="shared" si="357"/>
        <v>0</v>
      </c>
      <c r="AX563" s="98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3">
        <f t="shared" si="356"/>
        <v>0</v>
      </c>
      <c r="AW564" s="983">
        <f t="shared" si="357"/>
        <v>0</v>
      </c>
      <c r="AX564" s="98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3">
        <f t="shared" si="356"/>
        <v>0</v>
      </c>
      <c r="AW565" s="983">
        <f t="shared" si="357"/>
        <v>0</v>
      </c>
      <c r="AX565" s="98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3">
        <f t="shared" si="356"/>
        <v>0</v>
      </c>
      <c r="AW566" s="983">
        <f t="shared" si="357"/>
        <v>0</v>
      </c>
      <c r="AX566" s="98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3">
        <f t="shared" si="356"/>
        <v>0</v>
      </c>
      <c r="AW567" s="983">
        <f t="shared" si="357"/>
        <v>0</v>
      </c>
      <c r="AX567" s="98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3">
        <f t="shared" si="356"/>
        <v>0</v>
      </c>
      <c r="AW568" s="983">
        <f t="shared" si="357"/>
        <v>0</v>
      </c>
      <c r="AX568" s="98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3">
        <f t="shared" si="356"/>
        <v>0</v>
      </c>
      <c r="AW569" s="983">
        <f t="shared" si="357"/>
        <v>0</v>
      </c>
      <c r="AX569" s="98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3">
        <f t="shared" si="356"/>
        <v>0</v>
      </c>
      <c r="AW570" s="983">
        <f t="shared" si="357"/>
        <v>0</v>
      </c>
      <c r="AX570" s="98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3">
        <f t="shared" si="356"/>
        <v>0</v>
      </c>
      <c r="AW571" s="983">
        <f t="shared" si="357"/>
        <v>0</v>
      </c>
      <c r="AX571" s="98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3">
        <f t="shared" si="356"/>
        <v>0</v>
      </c>
      <c r="AW572" s="983">
        <f t="shared" si="357"/>
        <v>0</v>
      </c>
      <c r="AX572" s="98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6"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667" t="s">
        <v>0</v>
      </c>
      <c r="B1" s="3667" t="s">
        <v>4</v>
      </c>
      <c r="C1" s="3667" t="s">
        <v>5</v>
      </c>
      <c r="D1" s="3668" t="s">
        <v>39</v>
      </c>
      <c r="E1" s="3668" t="s">
        <v>40</v>
      </c>
      <c r="F1" s="3668"/>
      <c r="G1" s="3668"/>
      <c r="H1" s="3668"/>
      <c r="I1" s="3668"/>
      <c r="J1" s="3668"/>
      <c r="K1" s="3668"/>
      <c r="L1" s="3668"/>
      <c r="M1" s="3668"/>
    </row>
    <row r="2" spans="1:13" ht="27" customHeight="1">
      <c r="A2" s="3667"/>
      <c r="B2" s="3667"/>
      <c r="C2" s="3667"/>
      <c r="D2" s="3668"/>
      <c r="E2" s="3668" t="s">
        <v>23</v>
      </c>
      <c r="F2" s="3668" t="s">
        <v>24</v>
      </c>
      <c r="G2" s="3668"/>
      <c r="H2" s="3668"/>
      <c r="I2" s="3668"/>
      <c r="J2" s="3668" t="s">
        <v>25</v>
      </c>
      <c r="K2" s="3668"/>
      <c r="L2" s="3668"/>
      <c r="M2" s="3668"/>
    </row>
    <row r="3" spans="1:13" ht="28.5">
      <c r="A3" s="3667"/>
      <c r="B3" s="3667"/>
      <c r="C3" s="3667"/>
      <c r="D3" s="3668"/>
      <c r="E3" s="3668"/>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668" t="s">
        <v>41</v>
      </c>
      <c r="B9" s="3668"/>
      <c r="C9" s="36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workbookViewId="0">
      <selection activeCell="H4" sqref="H4"/>
    </sheetView>
  </sheetViews>
  <sheetFormatPr defaultColWidth="11" defaultRowHeight="13.5"/>
  <cols>
    <col min="1" max="1" width="11" style="3596"/>
    <col min="2" max="2" width="7.25" style="3596" customWidth="1"/>
    <col min="3" max="3" width="11" style="3596"/>
    <col min="4" max="4" width="11.125" style="3596" bestFit="1" customWidth="1"/>
    <col min="5" max="16384" width="11" style="3596"/>
  </cols>
  <sheetData>
    <row r="1" spans="1:8">
      <c r="A1" s="3670" t="s">
        <v>3331</v>
      </c>
      <c r="B1" s="3670"/>
      <c r="C1" s="3670"/>
      <c r="D1" s="3670"/>
      <c r="E1" s="3670"/>
    </row>
    <row r="2" spans="1:8">
      <c r="A2" s="3669" t="s">
        <v>3287</v>
      </c>
      <c r="B2" s="3669"/>
      <c r="C2" s="3669"/>
      <c r="D2" s="3594" t="s">
        <v>3317</v>
      </c>
      <c r="E2" s="3594" t="s">
        <v>3318</v>
      </c>
      <c r="G2" s="3596" t="s">
        <v>3333</v>
      </c>
    </row>
    <row r="3" spans="1:8">
      <c r="A3" s="3669" t="s">
        <v>3319</v>
      </c>
      <c r="B3" s="3669"/>
      <c r="C3" s="3669"/>
      <c r="D3" s="3594">
        <v>1081645</v>
      </c>
      <c r="E3" s="3594" t="s">
        <v>3320</v>
      </c>
      <c r="G3" s="3596" t="s">
        <v>3334</v>
      </c>
      <c r="H3" s="3596" t="s">
        <v>3332</v>
      </c>
    </row>
    <row r="4" spans="1:8">
      <c r="A4" s="3669" t="s">
        <v>3321</v>
      </c>
      <c r="B4" s="3669"/>
      <c r="C4" s="3669"/>
      <c r="D4" s="3597">
        <f>ROUND(D5/D3,1)</f>
        <v>1.5</v>
      </c>
      <c r="E4" s="3594" t="s">
        <v>1</v>
      </c>
    </row>
    <row r="5" spans="1:8">
      <c r="A5" s="3669" t="s">
        <v>3322</v>
      </c>
      <c r="B5" s="3669"/>
      <c r="C5" s="3669"/>
      <c r="D5" s="3594">
        <f>[3]一单元汇总!N99</f>
        <v>1623852.5999999999</v>
      </c>
      <c r="E5" s="3594" t="s">
        <v>3320</v>
      </c>
    </row>
    <row r="6" spans="1:8">
      <c r="A6" s="3669" t="s">
        <v>3323</v>
      </c>
      <c r="B6" s="3669"/>
      <c r="C6" s="3594" t="s">
        <v>3312</v>
      </c>
      <c r="D6" s="3594">
        <f>[3]一单元汇总!O99</f>
        <v>851823.5</v>
      </c>
      <c r="E6" s="3594" t="s">
        <v>3320</v>
      </c>
    </row>
    <row r="7" spans="1:8">
      <c r="A7" s="3669"/>
      <c r="B7" s="3669"/>
      <c r="C7" s="3594" t="s">
        <v>3324</v>
      </c>
      <c r="D7" s="3594">
        <f>[3]一单元汇总!Q99</f>
        <v>285807.93</v>
      </c>
      <c r="E7" s="3594" t="s">
        <v>3320</v>
      </c>
      <c r="G7" s="3596">
        <f>ROUND(D7/$D$5*$D$3,2)</f>
        <v>190376.1</v>
      </c>
    </row>
    <row r="8" spans="1:8">
      <c r="A8" s="3669"/>
      <c r="B8" s="3669"/>
      <c r="C8" s="3594" t="s">
        <v>1926</v>
      </c>
      <c r="D8" s="3594">
        <f>[3]一单元汇总!P99</f>
        <v>72585</v>
      </c>
      <c r="E8" s="3594" t="s">
        <v>3320</v>
      </c>
      <c r="G8" s="3596">
        <f t="shared" ref="G8:G9" si="0">ROUND(D8/$D$5*$D$3,2)</f>
        <v>48348.72</v>
      </c>
    </row>
    <row r="9" spans="1:8">
      <c r="A9" s="3669"/>
      <c r="B9" s="3669"/>
      <c r="C9" s="3594" t="s">
        <v>1622</v>
      </c>
      <c r="D9" s="3594">
        <f>[3]一单元汇总!R99</f>
        <v>198257.18</v>
      </c>
      <c r="E9" s="3594" t="s">
        <v>3320</v>
      </c>
      <c r="G9" s="3596">
        <f t="shared" si="0"/>
        <v>132058.71</v>
      </c>
    </row>
    <row r="10" spans="1:8">
      <c r="A10" s="3669"/>
      <c r="B10" s="3669"/>
      <c r="C10" s="3594" t="s">
        <v>3330</v>
      </c>
      <c r="D10" s="3594">
        <f>[3]一单元汇总!T99</f>
        <v>85308.699999999983</v>
      </c>
      <c r="E10" s="3594" t="s">
        <v>3329</v>
      </c>
    </row>
    <row r="11" spans="1:8">
      <c r="A11" s="3669"/>
      <c r="B11" s="3669"/>
      <c r="C11" s="3594" t="s">
        <v>3328</v>
      </c>
      <c r="D11" s="3594">
        <f>[3]一单元汇总!S99</f>
        <v>32509.5</v>
      </c>
      <c r="E11" s="3594" t="s">
        <v>3320</v>
      </c>
    </row>
    <row r="12" spans="1:8">
      <c r="A12" s="3669"/>
      <c r="B12" s="3669"/>
      <c r="C12" s="3594" t="s">
        <v>3325</v>
      </c>
      <c r="D12" s="3594">
        <f>[3]一单元汇总!V99</f>
        <v>16902.899999999998</v>
      </c>
      <c r="E12" s="3594" t="s">
        <v>3320</v>
      </c>
    </row>
    <row r="13" spans="1:8">
      <c r="A13" s="3669"/>
      <c r="B13" s="3669"/>
      <c r="C13" s="3595" t="s">
        <v>3326</v>
      </c>
      <c r="D13" s="3594">
        <f>[3]一单元汇总!U99</f>
        <v>46745.900000000009</v>
      </c>
      <c r="E13" s="3594" t="s">
        <v>3320</v>
      </c>
    </row>
    <row r="14" spans="1:8">
      <c r="A14" s="3669"/>
      <c r="B14" s="3669"/>
      <c r="C14" s="3595" t="s">
        <v>3327</v>
      </c>
      <c r="D14" s="3594">
        <f>[3]一单元汇总!W99</f>
        <v>33912</v>
      </c>
      <c r="E14" s="3594" t="s">
        <v>3320</v>
      </c>
    </row>
  </sheetData>
  <mergeCells count="6">
    <mergeCell ref="A6:B14"/>
    <mergeCell ref="A1:E1"/>
    <mergeCell ref="A2:C2"/>
    <mergeCell ref="A3:C3"/>
    <mergeCell ref="A4:C4"/>
    <mergeCell ref="A5:C5"/>
  </mergeCells>
  <phoneticPr fontId="23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45" sqref="D45"/>
    </sheetView>
  </sheetViews>
  <sheetFormatPr defaultColWidth="9.125" defaultRowHeight="14.25"/>
  <cols>
    <col min="1" max="1" width="8.125" style="1960" customWidth="1"/>
    <col min="2" max="2" width="10.125" style="1960" customWidth="1"/>
    <col min="3" max="3" width="18.5" style="1960" customWidth="1"/>
    <col min="4" max="4" width="11.125" style="1960" customWidth="1"/>
    <col min="5" max="5" width="13.375" style="1960" customWidth="1"/>
    <col min="6" max="8" width="11.5" style="1960" customWidth="1"/>
    <col min="9" max="9" width="10.375" style="1960" customWidth="1"/>
    <col min="10" max="10" width="3.125" style="1960" customWidth="1"/>
    <col min="11" max="16" width="11.625" style="1960" customWidth="1"/>
    <col min="17" max="17" width="3.375" style="1960" customWidth="1"/>
    <col min="18" max="16384" width="9.125" style="1960"/>
  </cols>
  <sheetData>
    <row r="1" spans="1:16" ht="18.75">
      <c r="A1" s="104" t="s">
        <v>201</v>
      </c>
      <c r="B1" s="1959"/>
      <c r="C1" s="1959"/>
      <c r="D1" s="1959"/>
      <c r="E1" s="1959"/>
      <c r="F1" s="1959"/>
      <c r="G1" s="1959"/>
      <c r="H1" s="1959"/>
      <c r="I1" s="1959"/>
      <c r="J1" s="1959"/>
      <c r="K1" s="1959"/>
      <c r="L1" s="1959"/>
    </row>
    <row r="2" spans="1:16" ht="15">
      <c r="A2" s="3680" t="s">
        <v>202</v>
      </c>
      <c r="B2" s="3680"/>
      <c r="C2" s="3680"/>
      <c r="D2" s="1950" t="s">
        <v>203</v>
      </c>
      <c r="E2" s="106" t="s">
        <v>204</v>
      </c>
      <c r="F2" s="1959"/>
      <c r="G2" s="1185"/>
      <c r="H2" s="1186"/>
      <c r="I2" s="1187" t="s">
        <v>835</v>
      </c>
      <c r="J2" s="1959"/>
      <c r="K2" s="1959"/>
      <c r="L2" s="1959"/>
    </row>
    <row r="3" spans="1:16" ht="15.75" thickBot="1">
      <c r="A3" s="3681" t="s">
        <v>205</v>
      </c>
      <c r="B3" s="3681"/>
      <c r="C3" s="3681"/>
      <c r="D3" s="107">
        <f>'数据-基础表'!AY6</f>
        <v>370783.53</v>
      </c>
      <c r="E3" s="107">
        <f>'数据-基础表'!AZ5</f>
        <v>556650.11</v>
      </c>
      <c r="F3" s="1959"/>
      <c r="G3" s="280" t="s">
        <v>836</v>
      </c>
      <c r="H3" s="275" t="s">
        <v>837</v>
      </c>
      <c r="I3" s="1951">
        <f>ROUND('数据-基础表'!B3/'数据-基础表'!A3,2)</f>
        <v>1.5</v>
      </c>
      <c r="J3" s="1959"/>
      <c r="K3" s="1959"/>
      <c r="L3" s="1959"/>
    </row>
    <row r="4" spans="1:16" ht="15">
      <c r="A4" s="3682"/>
      <c r="B4" s="3683"/>
      <c r="C4" s="3684"/>
      <c r="D4" s="108" t="s">
        <v>203</v>
      </c>
      <c r="E4" s="109" t="s">
        <v>204</v>
      </c>
      <c r="F4" s="1959"/>
      <c r="G4" s="1188"/>
      <c r="H4" s="275" t="s">
        <v>838</v>
      </c>
      <c r="I4" s="1951">
        <f>ROUND(SUMIF('数据-基础表'!I9:AS9,"地上",'数据-基础表'!I5:AS5)/'数据-基础表'!A3,2)</f>
        <v>1.5</v>
      </c>
      <c r="J4" s="1959"/>
      <c r="K4" s="1959"/>
      <c r="L4" s="1959"/>
    </row>
    <row r="5" spans="1:16">
      <c r="A5" s="110" t="s">
        <v>206</v>
      </c>
      <c r="B5" s="3685" t="s">
        <v>229</v>
      </c>
      <c r="C5" s="3685"/>
      <c r="D5" s="111">
        <f>ROUND($D$3*E5/$E$3,2)</f>
        <v>0</v>
      </c>
      <c r="E5" s="112">
        <f>SUMIF('数据-基础表'!$11:$11,"住宅",'数据-基础表'!$5:$5)</f>
        <v>0</v>
      </c>
      <c r="F5" s="1959"/>
      <c r="G5" s="280" t="s">
        <v>839</v>
      </c>
      <c r="H5" s="275" t="s">
        <v>837</v>
      </c>
      <c r="I5" s="1951">
        <f>ROUND(E31/D31,2)</f>
        <v>1.5</v>
      </c>
      <c r="J5" s="1959"/>
      <c r="K5" s="1959"/>
      <c r="L5" s="1959"/>
    </row>
    <row r="6" spans="1:16" ht="15" thickBot="1">
      <c r="A6" s="113"/>
      <c r="B6" s="3685" t="s">
        <v>207</v>
      </c>
      <c r="C6" s="3685"/>
      <c r="D6" s="111">
        <f>ROUND($D$3*E6/$E$3,2)</f>
        <v>370783.53</v>
      </c>
      <c r="E6" s="112">
        <f>E3-E5</f>
        <v>556650.11</v>
      </c>
      <c r="F6" s="1959"/>
      <c r="G6" s="1188"/>
      <c r="H6" s="275" t="s">
        <v>838</v>
      </c>
      <c r="I6" s="1951">
        <f>ROUND(F31/D31,2)</f>
        <v>1.5</v>
      </c>
      <c r="J6" s="1959"/>
      <c r="K6" s="1959"/>
      <c r="L6" s="1959"/>
    </row>
    <row r="7" spans="1:16" ht="15">
      <c r="A7" s="3677"/>
      <c r="B7" s="3678"/>
      <c r="C7" s="3679"/>
      <c r="D7" s="108" t="s">
        <v>203</v>
      </c>
      <c r="E7" s="114" t="s">
        <v>230</v>
      </c>
      <c r="F7" s="1959"/>
      <c r="G7" s="1143" t="s">
        <v>1623</v>
      </c>
      <c r="H7" s="1144"/>
      <c r="I7" s="1821">
        <v>4</v>
      </c>
      <c r="J7" s="1959"/>
      <c r="K7" s="1959"/>
      <c r="L7" s="1959"/>
    </row>
    <row r="8" spans="1:16">
      <c r="A8" s="110" t="s">
        <v>208</v>
      </c>
      <c r="B8" s="115" t="s">
        <v>209</v>
      </c>
      <c r="C8" s="111" t="s">
        <v>210</v>
      </c>
      <c r="D8" s="111">
        <f t="shared" ref="D8:D15" si="0">ROUND($D$3*E8/$E$3,2)</f>
        <v>370783.53</v>
      </c>
      <c r="E8" s="116">
        <f>SUMIF('数据-基础表'!BB10:BK10,"地上",'数据-基础表'!BB5:BK5)</f>
        <v>556650.11</v>
      </c>
      <c r="F8" s="1959"/>
      <c r="G8" s="1961"/>
      <c r="H8" s="1961"/>
      <c r="I8" s="1959"/>
      <c r="J8" s="1959"/>
      <c r="K8" s="1959"/>
      <c r="L8" s="1959"/>
    </row>
    <row r="9" spans="1:16">
      <c r="A9" s="117"/>
      <c r="B9" s="118"/>
      <c r="C9" s="111" t="s">
        <v>211</v>
      </c>
      <c r="D9" s="111">
        <f t="shared" si="0"/>
        <v>0</v>
      </c>
      <c r="E9" s="119">
        <v>0</v>
      </c>
      <c r="F9" s="1959"/>
      <c r="G9" s="1961"/>
      <c r="H9" s="1961"/>
      <c r="I9" s="1959"/>
      <c r="J9" s="1959"/>
      <c r="K9" s="1959"/>
      <c r="L9" s="1959"/>
    </row>
    <row r="10" spans="1:16">
      <c r="A10" s="117"/>
      <c r="B10" s="118"/>
      <c r="C10" s="111" t="s">
        <v>212</v>
      </c>
      <c r="D10" s="111">
        <f t="shared" si="0"/>
        <v>0</v>
      </c>
      <c r="E10" s="116">
        <f>SUMPRODUCT(('数据-基础表'!BB10:BK10="地下")*('数据-基础表'!BB11:BK11="商业")*('数据-基础表'!BB5:BK5))</f>
        <v>0</v>
      </c>
      <c r="F10" s="1959"/>
      <c r="G10" s="1961"/>
      <c r="H10" s="1961"/>
      <c r="I10" s="1959"/>
      <c r="J10" s="1959"/>
      <c r="K10" s="1959"/>
      <c r="L10" s="1959"/>
    </row>
    <row r="11" spans="1:16">
      <c r="A11" s="117"/>
      <c r="B11" s="118"/>
      <c r="C11" s="2291" t="s">
        <v>2302</v>
      </c>
      <c r="D11" s="111">
        <f t="shared" si="0"/>
        <v>0</v>
      </c>
      <c r="E11" s="116">
        <f>SUMPRODUCT(('数据-基础表'!BB10:BK10="地下")*('数据-基础表'!BB11:BK11="办公")*('数据-基础表'!BB5:BK5))+'数据-基础表'!AJ5</f>
        <v>0</v>
      </c>
      <c r="F11" s="1959"/>
      <c r="G11" s="1961"/>
      <c r="H11" s="1961"/>
      <c r="I11" s="1959"/>
      <c r="J11" s="1959"/>
      <c r="K11" s="1959"/>
      <c r="L11" s="1959"/>
    </row>
    <row r="12" spans="1:16">
      <c r="A12" s="117"/>
      <c r="B12" s="118"/>
      <c r="C12" s="111" t="s">
        <v>213</v>
      </c>
      <c r="D12" s="111">
        <f t="shared" si="0"/>
        <v>0</v>
      </c>
      <c r="E12" s="116">
        <f>SUMPRODUCT(('数据-基础表'!BB10:BK10="地下")*('数据-基础表'!BB11:BK11="仓储")*('数据-基础表'!BB5:BK5))</f>
        <v>0</v>
      </c>
      <c r="F12" s="1959"/>
      <c r="G12" s="1961"/>
      <c r="H12" s="1961"/>
      <c r="I12" s="1959"/>
      <c r="J12" s="1959"/>
      <c r="K12" s="1959"/>
      <c r="L12" s="1959"/>
    </row>
    <row r="13" spans="1:16">
      <c r="A13" s="117"/>
      <c r="B13" s="118"/>
      <c r="C13" s="2291" t="s">
        <v>2309</v>
      </c>
      <c r="D13" s="111">
        <f t="shared" si="0"/>
        <v>0</v>
      </c>
      <c r="E13" s="116">
        <f>SUMPRODUCT(('数据-基础表'!BB10:BK10="地下")*('数据-基础表'!BB11:BK11="车库")*('数据-基础表'!BB5:BK5))</f>
        <v>0</v>
      </c>
      <c r="F13" s="1959"/>
      <c r="G13" s="1961"/>
      <c r="H13" s="1961"/>
      <c r="I13" s="1959"/>
      <c r="J13" s="1959"/>
      <c r="K13" s="1959"/>
      <c r="L13" s="1959"/>
    </row>
    <row r="14" spans="1:16">
      <c r="A14" s="117"/>
      <c r="B14" s="118"/>
      <c r="C14" s="111" t="s">
        <v>231</v>
      </c>
      <c r="D14" s="111">
        <f t="shared" si="0"/>
        <v>0</v>
      </c>
      <c r="E14" s="116">
        <f>SUMPRODUCT(('数据-基础表'!BB10:BK10="地下")*('数据-基础表'!BB11:BK11="车库—商业")*('数据-基础表'!BB5:BK5))</f>
        <v>0</v>
      </c>
      <c r="F14" s="1959"/>
      <c r="G14" s="1961"/>
      <c r="H14" s="1961"/>
      <c r="I14" s="1959"/>
      <c r="J14" s="1959"/>
      <c r="K14" s="1959"/>
      <c r="L14" s="1959"/>
    </row>
    <row r="15" spans="1:16" ht="15" thickBot="1">
      <c r="A15" s="117"/>
      <c r="B15" s="118"/>
      <c r="C15" s="111" t="s">
        <v>232</v>
      </c>
      <c r="D15" s="111">
        <f t="shared" si="0"/>
        <v>0</v>
      </c>
      <c r="E15" s="116">
        <f>SUMPRODUCT(('数据-基础表'!BB10:BK10="地下")*('数据-基础表'!BB11:BK11="车库—办公")*('数据-基础表'!BB5:BK5))</f>
        <v>0</v>
      </c>
      <c r="F15" s="1959"/>
      <c r="G15" s="1961"/>
      <c r="H15" s="1961"/>
      <c r="I15" s="1959"/>
      <c r="J15" s="1959"/>
      <c r="K15" s="1959"/>
      <c r="L15" s="1959"/>
    </row>
    <row r="16" spans="1:16" ht="15.75" thickBot="1">
      <c r="A16" s="113"/>
      <c r="B16" s="118"/>
      <c r="C16" s="115" t="s">
        <v>214</v>
      </c>
      <c r="D16" s="115">
        <f>SUM(D8:D15)</f>
        <v>370783.53</v>
      </c>
      <c r="E16" s="120">
        <f>SUM(E8:E15)</f>
        <v>556650.11</v>
      </c>
      <c r="F16" s="1959"/>
      <c r="G16" s="1961"/>
      <c r="H16" s="959" t="s">
        <v>218</v>
      </c>
      <c r="I16" s="960"/>
      <c r="J16" s="1959"/>
      <c r="K16" s="3671" t="s">
        <v>2541</v>
      </c>
      <c r="L16" s="3672"/>
      <c r="M16" s="3672"/>
      <c r="N16" s="3672"/>
      <c r="O16" s="3672"/>
      <c r="P16" s="3673"/>
    </row>
    <row r="17" spans="1:19" ht="15">
      <c r="A17" s="121" t="s">
        <v>215</v>
      </c>
      <c r="B17" s="122" t="s">
        <v>216</v>
      </c>
      <c r="C17" s="2258" t="s">
        <v>2288</v>
      </c>
      <c r="D17" s="108" t="s">
        <v>203</v>
      </c>
      <c r="E17" s="124" t="s">
        <v>204</v>
      </c>
      <c r="F17" s="125"/>
      <c r="G17" s="1352"/>
      <c r="H17" s="961" t="s">
        <v>217</v>
      </c>
      <c r="I17" s="962" t="s">
        <v>2287</v>
      </c>
      <c r="J17" s="1959"/>
      <c r="K17" s="3674" t="s">
        <v>2542</v>
      </c>
      <c r="L17" s="3675"/>
      <c r="M17" s="3676"/>
      <c r="N17" s="3674" t="s">
        <v>2543</v>
      </c>
      <c r="O17" s="3675"/>
      <c r="P17" s="3676"/>
      <c r="R17" s="2259" t="s">
        <v>2286</v>
      </c>
      <c r="S17" s="144"/>
    </row>
    <row r="18" spans="1:19" ht="15">
      <c r="A18" s="117"/>
      <c r="B18" s="128"/>
      <c r="C18" s="129"/>
      <c r="D18" s="2580"/>
      <c r="E18" s="130" t="s">
        <v>219</v>
      </c>
      <c r="F18" s="131" t="s">
        <v>220</v>
      </c>
      <c r="G18" s="1353" t="s">
        <v>221</v>
      </c>
      <c r="H18" s="963" t="s">
        <v>222</v>
      </c>
      <c r="I18" s="964" t="s">
        <v>223</v>
      </c>
      <c r="J18" s="1959"/>
      <c r="K18" s="2543" t="s">
        <v>2544</v>
      </c>
      <c r="L18" s="2544" t="s">
        <v>2545</v>
      </c>
      <c r="M18" s="2545" t="s">
        <v>2546</v>
      </c>
      <c r="N18" s="2543" t="s">
        <v>2544</v>
      </c>
      <c r="O18" s="2544" t="s">
        <v>2545</v>
      </c>
      <c r="P18" s="2545" t="s">
        <v>2546</v>
      </c>
      <c r="R18" s="2260" t="s">
        <v>2284</v>
      </c>
      <c r="S18" s="2260" t="s">
        <v>2285</v>
      </c>
    </row>
    <row r="19" spans="1:19">
      <c r="A19" s="133"/>
      <c r="B19" s="115" t="s">
        <v>224</v>
      </c>
      <c r="C19" s="2951" t="s">
        <v>3018</v>
      </c>
      <c r="D19" s="111">
        <f t="shared" ref="D19:D26" si="1">ROUND($D$3*E19/$E$3,2)</f>
        <v>238724.82</v>
      </c>
      <c r="E19" s="134">
        <f t="shared" ref="E19:E26" si="2">SUM(F19:G19)</f>
        <v>358392.93</v>
      </c>
      <c r="F19" s="135">
        <f>'数据-基础表'!I5</f>
        <v>358392.93</v>
      </c>
      <c r="G19" s="1354"/>
      <c r="H19" s="965">
        <f>ROUND($D$3*I19/$E$3,2)</f>
        <v>0</v>
      </c>
      <c r="I19" s="116">
        <f>IF($I$17="自定义",P19,M19)</f>
        <v>0</v>
      </c>
      <c r="J19" s="1959"/>
      <c r="K19" s="2546">
        <f t="shared" ref="K19:K26" si="3">ROUND(E$28*E19/E$27,2)</f>
        <v>0</v>
      </c>
      <c r="L19" s="275">
        <f t="shared" ref="L19:L26" si="4">ROUND(IF(COUNTIF(C19,"*住宅*")&gt;0,E$29*E19/E$32,0),2)</f>
        <v>0</v>
      </c>
      <c r="M19" s="2547">
        <f>K19+L19</f>
        <v>0</v>
      </c>
      <c r="N19" s="2548"/>
      <c r="O19" s="2549"/>
      <c r="P19" s="2550">
        <f>N19+O19</f>
        <v>0</v>
      </c>
      <c r="R19" s="275">
        <f t="shared" ref="R19:S26" si="5">D19+H19</f>
        <v>238724.82</v>
      </c>
      <c r="S19" s="2261">
        <f t="shared" si="5"/>
        <v>358392.93</v>
      </c>
    </row>
    <row r="20" spans="1:19">
      <c r="A20" s="138"/>
      <c r="B20" s="115" t="s">
        <v>225</v>
      </c>
      <c r="C20" s="2951" t="s">
        <v>3019</v>
      </c>
      <c r="D20" s="111">
        <f t="shared" si="1"/>
        <v>132058.71</v>
      </c>
      <c r="E20" s="134">
        <f t="shared" si="2"/>
        <v>198257.18</v>
      </c>
      <c r="F20" s="135">
        <f>'数据-基础表'!K5</f>
        <v>198257.18</v>
      </c>
      <c r="G20" s="1354"/>
      <c r="H20" s="965">
        <f t="shared" ref="H20:H26" si="6">ROUND($D$3*I20/$E$3,2)</f>
        <v>0</v>
      </c>
      <c r="I20" s="116">
        <f t="shared" ref="I20:I26" si="7">IF($I$17="自定义",P20,M20)</f>
        <v>0</v>
      </c>
      <c r="J20" s="1959"/>
      <c r="K20" s="2546">
        <f t="shared" si="3"/>
        <v>0</v>
      </c>
      <c r="L20" s="275">
        <f t="shared" si="4"/>
        <v>0</v>
      </c>
      <c r="M20" s="2547">
        <f t="shared" ref="M20:M26" si="8">K20+L20</f>
        <v>0</v>
      </c>
      <c r="N20" s="2548"/>
      <c r="O20" s="2549"/>
      <c r="P20" s="2550">
        <f t="shared" ref="P20:P26" si="9">N20+O20</f>
        <v>0</v>
      </c>
      <c r="R20" s="275">
        <f t="shared" si="5"/>
        <v>132058.71</v>
      </c>
      <c r="S20" s="2261">
        <f t="shared" si="5"/>
        <v>198257.18</v>
      </c>
    </row>
    <row r="21" spans="1:19">
      <c r="A21" s="138"/>
      <c r="B21" s="115" t="s">
        <v>225</v>
      </c>
      <c r="C21" s="2951"/>
      <c r="D21" s="111">
        <f t="shared" si="1"/>
        <v>0</v>
      </c>
      <c r="E21" s="134">
        <f t="shared" si="2"/>
        <v>0</v>
      </c>
      <c r="F21" s="135"/>
      <c r="G21" s="1354"/>
      <c r="H21" s="965">
        <f t="shared" si="6"/>
        <v>0</v>
      </c>
      <c r="I21" s="116">
        <f t="shared" si="7"/>
        <v>0</v>
      </c>
      <c r="J21" s="1959"/>
      <c r="K21" s="2546">
        <f t="shared" si="3"/>
        <v>0</v>
      </c>
      <c r="L21" s="275">
        <f t="shared" si="4"/>
        <v>0</v>
      </c>
      <c r="M21" s="2547">
        <f t="shared" si="8"/>
        <v>0</v>
      </c>
      <c r="N21" s="2548"/>
      <c r="O21" s="2549"/>
      <c r="P21" s="2550">
        <f t="shared" si="9"/>
        <v>0</v>
      </c>
      <c r="R21" s="275">
        <f t="shared" si="5"/>
        <v>0</v>
      </c>
      <c r="S21" s="2261">
        <f t="shared" si="5"/>
        <v>0</v>
      </c>
    </row>
    <row r="22" spans="1:19">
      <c r="A22" s="138"/>
      <c r="B22" s="115" t="s">
        <v>225</v>
      </c>
      <c r="C22" s="1351"/>
      <c r="D22" s="111">
        <f t="shared" si="1"/>
        <v>0</v>
      </c>
      <c r="E22" s="134">
        <f t="shared" si="2"/>
        <v>0</v>
      </c>
      <c r="F22" s="140"/>
      <c r="G22" s="1355"/>
      <c r="H22" s="965">
        <f t="shared" si="6"/>
        <v>0</v>
      </c>
      <c r="I22" s="116">
        <f t="shared" si="7"/>
        <v>0</v>
      </c>
      <c r="J22" s="1959"/>
      <c r="K22" s="2546">
        <f t="shared" si="3"/>
        <v>0</v>
      </c>
      <c r="L22" s="275">
        <f t="shared" si="4"/>
        <v>0</v>
      </c>
      <c r="M22" s="2547">
        <f t="shared" si="8"/>
        <v>0</v>
      </c>
      <c r="N22" s="2548"/>
      <c r="O22" s="2549"/>
      <c r="P22" s="2550">
        <f t="shared" si="9"/>
        <v>0</v>
      </c>
      <c r="R22" s="275">
        <f t="shared" si="5"/>
        <v>0</v>
      </c>
      <c r="S22" s="2261">
        <f t="shared" si="5"/>
        <v>0</v>
      </c>
    </row>
    <row r="23" spans="1:19">
      <c r="A23" s="138"/>
      <c r="B23" s="115" t="s">
        <v>225</v>
      </c>
      <c r="C23" s="139"/>
      <c r="D23" s="111">
        <f>ROUND($D$3*E23/$E$3,2)</f>
        <v>0</v>
      </c>
      <c r="E23" s="134">
        <f>SUM(F23:G23)</f>
        <v>0</v>
      </c>
      <c r="F23" s="140"/>
      <c r="G23" s="1355"/>
      <c r="H23" s="965">
        <f>ROUND($D$3*I23/$E$3,2)</f>
        <v>0</v>
      </c>
      <c r="I23" s="116">
        <f t="shared" si="7"/>
        <v>0</v>
      </c>
      <c r="J23" s="1959"/>
      <c r="K23" s="2546">
        <f t="shared" si="3"/>
        <v>0</v>
      </c>
      <c r="L23" s="275">
        <f t="shared" si="4"/>
        <v>0</v>
      </c>
      <c r="M23" s="2547">
        <f t="shared" si="8"/>
        <v>0</v>
      </c>
      <c r="N23" s="2548"/>
      <c r="O23" s="2549"/>
      <c r="P23" s="2550">
        <f t="shared" si="9"/>
        <v>0</v>
      </c>
      <c r="R23" s="275">
        <f t="shared" si="5"/>
        <v>0</v>
      </c>
      <c r="S23" s="2261">
        <f t="shared" si="5"/>
        <v>0</v>
      </c>
    </row>
    <row r="24" spans="1:19">
      <c r="A24" s="138"/>
      <c r="B24" s="115" t="s">
        <v>225</v>
      </c>
      <c r="C24" s="139"/>
      <c r="D24" s="111">
        <f>ROUND($D$3*E24/$E$3,2)</f>
        <v>0</v>
      </c>
      <c r="E24" s="134">
        <f>SUM(F24:G24)</f>
        <v>0</v>
      </c>
      <c r="F24" s="140"/>
      <c r="G24" s="1355"/>
      <c r="H24" s="965">
        <f>ROUND($D$3*I24/$E$3,2)</f>
        <v>0</v>
      </c>
      <c r="I24" s="116">
        <f t="shared" si="7"/>
        <v>0</v>
      </c>
      <c r="J24" s="1959"/>
      <c r="K24" s="2546">
        <f t="shared" si="3"/>
        <v>0</v>
      </c>
      <c r="L24" s="275">
        <f t="shared" si="4"/>
        <v>0</v>
      </c>
      <c r="M24" s="2547">
        <f t="shared" si="8"/>
        <v>0</v>
      </c>
      <c r="N24" s="2548"/>
      <c r="O24" s="2549"/>
      <c r="P24" s="2550">
        <f t="shared" si="9"/>
        <v>0</v>
      </c>
      <c r="R24" s="275">
        <f t="shared" si="5"/>
        <v>0</v>
      </c>
      <c r="S24" s="2261">
        <f t="shared" si="5"/>
        <v>0</v>
      </c>
    </row>
    <row r="25" spans="1:19">
      <c r="A25" s="138"/>
      <c r="B25" s="115" t="s">
        <v>225</v>
      </c>
      <c r="C25" s="139"/>
      <c r="D25" s="111">
        <f t="shared" si="1"/>
        <v>0</v>
      </c>
      <c r="E25" s="134">
        <f t="shared" si="2"/>
        <v>0</v>
      </c>
      <c r="F25" s="140"/>
      <c r="G25" s="1355"/>
      <c r="H25" s="110">
        <f t="shared" si="6"/>
        <v>0</v>
      </c>
      <c r="I25" s="116">
        <f t="shared" si="7"/>
        <v>0</v>
      </c>
      <c r="J25" s="1959"/>
      <c r="K25" s="2546">
        <f t="shared" si="3"/>
        <v>0</v>
      </c>
      <c r="L25" s="275">
        <f t="shared" si="4"/>
        <v>0</v>
      </c>
      <c r="M25" s="2547">
        <f t="shared" si="8"/>
        <v>0</v>
      </c>
      <c r="N25" s="2548"/>
      <c r="O25" s="2549"/>
      <c r="P25" s="2550">
        <f t="shared" si="9"/>
        <v>0</v>
      </c>
      <c r="R25" s="275">
        <f t="shared" si="5"/>
        <v>0</v>
      </c>
      <c r="S25" s="2261">
        <f t="shared" si="5"/>
        <v>0</v>
      </c>
    </row>
    <row r="26" spans="1:19">
      <c r="A26" s="138"/>
      <c r="B26" s="115" t="s">
        <v>225</v>
      </c>
      <c r="C26" s="142"/>
      <c r="D26" s="111">
        <f t="shared" si="1"/>
        <v>0</v>
      </c>
      <c r="E26" s="134">
        <f t="shared" si="2"/>
        <v>0</v>
      </c>
      <c r="F26" s="140"/>
      <c r="G26" s="1355"/>
      <c r="H26" s="110">
        <f t="shared" si="6"/>
        <v>0</v>
      </c>
      <c r="I26" s="116">
        <f t="shared" si="7"/>
        <v>0</v>
      </c>
      <c r="J26" s="1959"/>
      <c r="K26" s="2551">
        <f t="shared" si="3"/>
        <v>0</v>
      </c>
      <c r="L26" s="280">
        <f t="shared" si="4"/>
        <v>0</v>
      </c>
      <c r="M26" s="146">
        <f t="shared" si="8"/>
        <v>0</v>
      </c>
      <c r="N26" s="2552"/>
      <c r="O26" s="2553"/>
      <c r="P26" s="2554">
        <f t="shared" si="9"/>
        <v>0</v>
      </c>
      <c r="R26" s="275">
        <f t="shared" si="5"/>
        <v>0</v>
      </c>
      <c r="S26" s="2261">
        <f t="shared" si="5"/>
        <v>0</v>
      </c>
    </row>
    <row r="27" spans="1:19" ht="15.75" thickBot="1">
      <c r="A27" s="138"/>
      <c r="B27" s="111"/>
      <c r="C27" s="127" t="s">
        <v>214</v>
      </c>
      <c r="D27" s="134">
        <f>SUM(D19:D26)</f>
        <v>370783.53</v>
      </c>
      <c r="E27" s="143">
        <f>IF(SUM(E19:E26)='数据-基础表'!BA5,SUM(E19:E26),IF(F27="地上面积有误","面积有误","地下面积有误"))</f>
        <v>556650.11</v>
      </c>
      <c r="F27" s="134">
        <f>IF(SUM(F19:F26)=E8,SUM(F19:F26),"地上面积有误")</f>
        <v>556650.11</v>
      </c>
      <c r="G27" s="112">
        <f>SUM(G19:G26)</f>
        <v>0</v>
      </c>
      <c r="H27" s="966">
        <f>SUM(H19:H26)</f>
        <v>0</v>
      </c>
      <c r="I27" s="967">
        <f>SUM(I19:I26)</f>
        <v>0</v>
      </c>
      <c r="J27" s="1959"/>
      <c r="K27" s="2555">
        <f>SUM(K19:K26)</f>
        <v>0</v>
      </c>
      <c r="L27" s="2556">
        <f>SUM(L19:L26)</f>
        <v>0</v>
      </c>
      <c r="M27" s="2557">
        <f>SUM(M19:M26)</f>
        <v>0</v>
      </c>
      <c r="N27" s="2555">
        <f t="shared" ref="N27:O27" si="10">SUM(N19:N26)</f>
        <v>0</v>
      </c>
      <c r="O27" s="2556">
        <f t="shared" si="10"/>
        <v>0</v>
      </c>
      <c r="P27" s="2558">
        <f>SUM(P19:P26)</f>
        <v>0</v>
      </c>
      <c r="R27" s="2265">
        <f>IF(SUM(R19:R26)=$D$3,SUM(R19:R26),SUM(R19:R26)&amp;"误差"&amp;ROUND(SUM(R19:R26)-$D$3,2))</f>
        <v>370783.53</v>
      </c>
      <c r="S27" s="275">
        <f>IF(SUM(S19:S26)=$E$3,SUM(S19:S26),SUM(S19:S26)&amp;"误差"&amp;ROUND(SUM(S19:S26)-E3,2))</f>
        <v>556650.11</v>
      </c>
    </row>
    <row r="28" spans="1:19">
      <c r="A28" s="138"/>
      <c r="B28" s="115" t="s">
        <v>226</v>
      </c>
      <c r="C28" s="136" t="s">
        <v>227</v>
      </c>
      <c r="D28" s="111">
        <f>ROUND($D$3*E28/$E$3,2)</f>
        <v>0</v>
      </c>
      <c r="E28" s="134">
        <f>SUM(F28:G28)</f>
        <v>0</v>
      </c>
      <c r="F28" s="144">
        <f>'数据-基础表'!BQ5+'数据-基础表'!BS5</f>
        <v>0</v>
      </c>
      <c r="G28" s="145">
        <f>'数据-基础表'!BR5+'数据-基础表'!BT5</f>
        <v>0</v>
      </c>
      <c r="H28" s="1959"/>
      <c r="I28" s="1959"/>
      <c r="J28" s="1959"/>
      <c r="K28" s="1959"/>
      <c r="L28" s="1959"/>
    </row>
    <row r="29" spans="1:19">
      <c r="A29" s="138"/>
      <c r="B29" s="115" t="s">
        <v>226</v>
      </c>
      <c r="C29" s="2273" t="s">
        <v>2295</v>
      </c>
      <c r="D29" s="111">
        <f>ROUND($D$3*E29/$E$3,2)</f>
        <v>0</v>
      </c>
      <c r="E29" s="134">
        <f>SUM(F29:G29)</f>
        <v>0</v>
      </c>
      <c r="F29" s="144">
        <f>'数据-基础表'!BM5+'数据-基础表'!BO5</f>
        <v>0</v>
      </c>
      <c r="G29" s="146">
        <f>'数据-基础表'!BN5+'数据-基础表'!BP5</f>
        <v>0</v>
      </c>
      <c r="H29" s="1959"/>
      <c r="I29" s="1959"/>
      <c r="J29" s="1959"/>
      <c r="K29" s="1959"/>
      <c r="L29" s="1959"/>
    </row>
    <row r="30" spans="1:19">
      <c r="A30" s="138"/>
      <c r="B30" s="111"/>
      <c r="C30" s="147" t="s">
        <v>214</v>
      </c>
      <c r="D30" s="134">
        <f>SUM(D28:D29)</f>
        <v>0</v>
      </c>
      <c r="E30" s="134">
        <f>SUM(E28:E29)</f>
        <v>0</v>
      </c>
      <c r="F30" s="134">
        <f>SUM(F28:F29)</f>
        <v>0</v>
      </c>
      <c r="G30" s="112">
        <f>SUM(G28:G29)</f>
        <v>0</v>
      </c>
      <c r="H30" s="1959"/>
      <c r="I30" s="1959"/>
      <c r="J30" s="1959"/>
      <c r="K30" s="1959"/>
      <c r="L30" s="1959"/>
    </row>
    <row r="31" spans="1:19" ht="32.25" customHeight="1" thickBot="1">
      <c r="A31" s="1356"/>
      <c r="B31" s="1357" t="s">
        <v>228</v>
      </c>
      <c r="C31" s="2290" t="s">
        <v>2297</v>
      </c>
      <c r="D31" s="1358">
        <f>D27+D30</f>
        <v>370783.53</v>
      </c>
      <c r="E31" s="1358">
        <f>E27+E30</f>
        <v>556650.11</v>
      </c>
      <c r="F31" s="1359">
        <f>F27+F30</f>
        <v>556650.11</v>
      </c>
      <c r="G31" s="1360">
        <f>G27+G30</f>
        <v>0</v>
      </c>
      <c r="H31" s="1959"/>
      <c r="I31" s="1959"/>
      <c r="J31" s="1959"/>
      <c r="K31" s="1959"/>
      <c r="L31" s="1959"/>
    </row>
    <row r="32" spans="1:19">
      <c r="A32" s="1959"/>
      <c r="B32" s="2302" t="s">
        <v>2296</v>
      </c>
      <c r="C32" s="2585"/>
      <c r="D32" s="1188"/>
      <c r="E32" s="1188">
        <f>SUMIF(C19:C26,"*住宅*",E19:E26)</f>
        <v>0</v>
      </c>
      <c r="F32" s="1188"/>
      <c r="G32" s="1188"/>
    </row>
    <row r="33" spans="4:4">
      <c r="D33" s="196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0"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X6" activePane="bottomRight" state="frozen"/>
      <selection pane="topRight" activeCell="D1" sqref="D1"/>
      <selection pane="bottomLeft" activeCell="A4" sqref="A4"/>
      <selection pane="bottomRight" activeCell="AU6" sqref="AU6"/>
    </sheetView>
  </sheetViews>
  <sheetFormatPr defaultColWidth="13.625" defaultRowHeight="12.75"/>
  <cols>
    <col min="1" max="1" width="20.875" style="1202" customWidth="1"/>
    <col min="2" max="3" width="12" style="1190" customWidth="1"/>
    <col min="4" max="4" width="9.125" style="1203" customWidth="1"/>
    <col min="5" max="5" width="15" style="1190" bestFit="1" customWidth="1"/>
    <col min="6" max="10" width="8.875" style="1190" customWidth="1"/>
    <col min="11" max="12" width="12.375" style="1204" customWidth="1"/>
    <col min="13" max="13" width="8.625" style="1190" customWidth="1"/>
    <col min="14" max="16" width="9.625" style="1190" customWidth="1"/>
    <col min="17" max="17" width="10.875" style="1190" customWidth="1"/>
    <col min="18" max="19" width="12.5" style="1190" customWidth="1"/>
    <col min="20" max="20" width="12.125" style="1190" customWidth="1"/>
    <col min="21" max="21" width="7.5" style="1190" customWidth="1"/>
    <col min="22" max="22" width="6.375" style="1190" customWidth="1"/>
    <col min="23" max="24" width="6.625" style="1190" customWidth="1"/>
    <col min="25" max="25" width="8.125" style="1190" customWidth="1"/>
    <col min="26" max="30" width="6.625" style="1190" customWidth="1"/>
    <col min="31" max="31" width="6.5" style="1190" customWidth="1"/>
    <col min="32" max="34" width="7.125" style="1190" customWidth="1"/>
    <col min="35" max="39" width="8" style="1190" customWidth="1"/>
    <col min="40" max="41" width="13.625" style="1973"/>
    <col min="42" max="42" width="0" style="1973" hidden="1" customWidth="1"/>
    <col min="43" max="83" width="13.625" style="1973"/>
    <col min="84" max="16384" width="13.625" style="1190"/>
  </cols>
  <sheetData>
    <row r="1" spans="1:83" ht="19.5" thickBot="1">
      <c r="A1" s="148" t="s">
        <v>233</v>
      </c>
      <c r="B1" s="1189"/>
      <c r="C1" s="1964"/>
      <c r="D1" s="1965"/>
      <c r="E1" s="1964"/>
      <c r="F1" s="1964"/>
      <c r="G1" s="1964"/>
      <c r="H1" s="1964"/>
      <c r="I1" s="1964"/>
      <c r="J1" s="1964"/>
      <c r="K1" s="1966"/>
      <c r="L1" s="1966"/>
      <c r="M1" s="1964"/>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c r="AL1" s="1964"/>
      <c r="AM1" s="1964"/>
    </row>
    <row r="2" spans="1:83" s="1192" customFormat="1" ht="15.75" thickBot="1">
      <c r="A2" s="149" t="s">
        <v>234</v>
      </c>
      <c r="B2" s="2298">
        <f>项目基本情况!D3</f>
        <v>43933</v>
      </c>
      <c r="C2" s="1967"/>
      <c r="D2" s="1968"/>
      <c r="E2" s="1967"/>
      <c r="F2" s="1967"/>
      <c r="G2" s="1967"/>
      <c r="H2" s="1967"/>
      <c r="I2" s="1967"/>
      <c r="J2" s="1967"/>
      <c r="K2" s="1969"/>
      <c r="L2" s="1969"/>
      <c r="M2" s="1967"/>
      <c r="N2" s="1967"/>
      <c r="O2" s="1967"/>
      <c r="P2" s="1967"/>
      <c r="Q2" s="1967"/>
      <c r="R2" s="1967"/>
      <c r="S2" s="1967"/>
      <c r="T2" s="1967"/>
      <c r="U2" s="1967"/>
      <c r="V2" s="1967"/>
      <c r="W2" s="1967"/>
      <c r="X2" s="1967"/>
      <c r="Y2" s="1967"/>
      <c r="Z2" s="1967"/>
      <c r="AA2" s="1967"/>
      <c r="AB2" s="1967"/>
      <c r="AC2" s="1967"/>
      <c r="AD2" s="1967"/>
      <c r="AE2" s="1967"/>
      <c r="AF2" s="1967"/>
      <c r="AG2" s="1967"/>
      <c r="AH2" s="1967"/>
      <c r="AI2" s="1967"/>
      <c r="AJ2" s="1967"/>
      <c r="AK2" s="1967"/>
      <c r="AL2" s="1967"/>
      <c r="AM2" s="1967"/>
      <c r="AN2" s="1975"/>
      <c r="AO2" s="1975"/>
      <c r="AP2" s="1975"/>
      <c r="AQ2" s="1975"/>
      <c r="AR2" s="1975"/>
      <c r="AS2" s="1975"/>
      <c r="AT2" s="1975"/>
      <c r="AU2" s="1975"/>
      <c r="AV2" s="1975"/>
      <c r="AW2" s="1975"/>
      <c r="AX2" s="1975"/>
      <c r="AY2" s="1975"/>
      <c r="AZ2" s="1975"/>
      <c r="BA2" s="1975"/>
      <c r="BB2" s="1975"/>
      <c r="BC2" s="1975"/>
      <c r="BD2" s="1975"/>
      <c r="BE2" s="1975"/>
      <c r="BF2" s="1975"/>
      <c r="BG2" s="1975"/>
      <c r="BH2" s="1975"/>
      <c r="BI2" s="1975"/>
      <c r="BJ2" s="1975"/>
      <c r="BK2" s="1975"/>
      <c r="BL2" s="1975"/>
      <c r="BM2" s="1975"/>
      <c r="BN2" s="1975"/>
      <c r="BO2" s="1975"/>
      <c r="BP2" s="1975"/>
      <c r="BQ2" s="1975"/>
      <c r="BR2" s="1975"/>
      <c r="BS2" s="1975"/>
      <c r="BT2" s="1975"/>
      <c r="BU2" s="1975"/>
      <c r="BV2" s="1975"/>
      <c r="BW2" s="1975"/>
      <c r="BX2" s="1975"/>
      <c r="BY2" s="1975"/>
      <c r="BZ2" s="1975"/>
      <c r="CA2" s="1975"/>
      <c r="CB2" s="1975"/>
      <c r="CC2" s="1975"/>
      <c r="CD2" s="1975"/>
      <c r="CE2" s="1975"/>
    </row>
    <row r="3" spans="1:83" s="1192" customFormat="1" ht="15" thickBot="1">
      <c r="A3" s="1193"/>
      <c r="B3" s="1191"/>
      <c r="C3" s="1967"/>
      <c r="D3" s="1968"/>
      <c r="E3" s="1967"/>
      <c r="F3" s="1967"/>
      <c r="G3" s="1967"/>
      <c r="H3" s="1967"/>
      <c r="I3" s="1967"/>
      <c r="J3" s="1967"/>
      <c r="K3" s="1969"/>
      <c r="L3" s="1969"/>
      <c r="M3" s="1967"/>
      <c r="N3" s="1967"/>
      <c r="O3" s="1967"/>
      <c r="P3" s="1967"/>
      <c r="Q3" s="1967"/>
      <c r="R3" s="1967"/>
      <c r="S3" s="1967"/>
      <c r="T3" s="1967"/>
      <c r="U3" s="1967"/>
      <c r="V3" s="1967"/>
      <c r="W3" s="1967"/>
      <c r="X3" s="1967"/>
      <c r="Y3" s="1967"/>
      <c r="Z3" s="1967"/>
      <c r="AA3" s="1967"/>
      <c r="AB3" s="1967"/>
      <c r="AC3" s="1967"/>
      <c r="AD3" s="1967"/>
      <c r="AE3" s="1967"/>
      <c r="AF3" s="1967"/>
      <c r="AG3" s="1967"/>
      <c r="AH3" s="1967"/>
      <c r="AI3" s="1967"/>
      <c r="AJ3" s="1967"/>
      <c r="AK3" s="1967"/>
      <c r="AL3" s="1967"/>
      <c r="AM3" s="1967"/>
      <c r="AN3" s="1975"/>
      <c r="AO3" s="1975"/>
      <c r="AP3" s="1975"/>
      <c r="AQ3" s="1975"/>
      <c r="AR3" s="1975"/>
      <c r="AS3" s="1975"/>
      <c r="AT3" s="1975"/>
      <c r="AU3" s="1975"/>
      <c r="AV3" s="1975"/>
      <c r="AW3" s="1975"/>
      <c r="AX3" s="1975"/>
      <c r="AY3" s="1975"/>
      <c r="AZ3" s="1975"/>
      <c r="BA3" s="1975"/>
      <c r="BB3" s="1975"/>
      <c r="BC3" s="1975"/>
      <c r="BD3" s="1975"/>
      <c r="BE3" s="1975"/>
      <c r="BF3" s="1975"/>
      <c r="BG3" s="1975"/>
      <c r="BH3" s="1975"/>
      <c r="BI3" s="1975"/>
      <c r="BJ3" s="1975"/>
      <c r="BK3" s="1975"/>
      <c r="BL3" s="1975"/>
      <c r="BM3" s="1975"/>
      <c r="BN3" s="1975"/>
      <c r="BO3" s="1975"/>
      <c r="BP3" s="1975"/>
      <c r="BQ3" s="1975"/>
      <c r="BR3" s="1975"/>
      <c r="BS3" s="1975"/>
      <c r="BT3" s="1975"/>
      <c r="BU3" s="1975"/>
      <c r="BV3" s="1975"/>
      <c r="BW3" s="1975"/>
      <c r="BX3" s="1975"/>
      <c r="BY3" s="1975"/>
      <c r="BZ3" s="1975"/>
      <c r="CA3" s="1975"/>
      <c r="CB3" s="1975"/>
      <c r="CC3" s="1975"/>
      <c r="CD3" s="1975"/>
      <c r="CE3" s="1975"/>
    </row>
    <row r="4" spans="1:83" s="1192" customFormat="1" ht="15" thickBot="1">
      <c r="A4" s="150" t="s">
        <v>842</v>
      </c>
      <c r="B4" s="152"/>
      <c r="C4" s="153"/>
      <c r="D4" s="1194"/>
      <c r="E4" s="1195" t="s">
        <v>843</v>
      </c>
      <c r="F4" s="153"/>
      <c r="G4" s="153"/>
      <c r="H4" s="153"/>
      <c r="I4" s="153"/>
      <c r="J4" s="154"/>
      <c r="K4" s="1196"/>
      <c r="L4" s="1197"/>
      <c r="M4" s="153"/>
      <c r="N4" s="1195" t="s">
        <v>844</v>
      </c>
      <c r="O4" s="153"/>
      <c r="P4" s="153"/>
      <c r="Q4" s="153"/>
      <c r="R4" s="153"/>
      <c r="S4" s="154"/>
      <c r="T4" s="968" t="str">
        <f>'数据-汇总表'!I17</f>
        <v>按面积比例</v>
      </c>
      <c r="U4" s="152" t="s">
        <v>845</v>
      </c>
      <c r="V4" s="153"/>
      <c r="W4" s="153"/>
      <c r="X4" s="153"/>
      <c r="Y4" s="154"/>
      <c r="Z4" s="123" t="s">
        <v>846</v>
      </c>
      <c r="AA4" s="123"/>
      <c r="AB4" s="123"/>
      <c r="AC4" s="123"/>
      <c r="AD4" s="123"/>
      <c r="AE4" s="121" t="s">
        <v>847</v>
      </c>
      <c r="AF4" s="123"/>
      <c r="AG4" s="155"/>
      <c r="AH4" s="152"/>
      <c r="AI4" s="153"/>
      <c r="AJ4" s="153"/>
      <c r="AK4" s="153"/>
      <c r="AL4" s="153"/>
      <c r="AM4" s="154"/>
      <c r="AN4" s="1975"/>
      <c r="AO4" s="1975"/>
      <c r="AP4" s="1975"/>
      <c r="AQ4" s="1975"/>
      <c r="AR4" s="1975"/>
      <c r="AS4" s="1975"/>
      <c r="AT4" s="1975"/>
      <c r="AU4" s="1975"/>
      <c r="AV4" s="1975"/>
      <c r="AW4" s="1975"/>
      <c r="AX4" s="1975"/>
      <c r="AY4" s="1975"/>
      <c r="AZ4" s="1975"/>
      <c r="BA4" s="1975"/>
      <c r="BB4" s="1975"/>
      <c r="BC4" s="1975"/>
      <c r="BD4" s="1975"/>
      <c r="BE4" s="1975"/>
      <c r="BF4" s="1975"/>
      <c r="BG4" s="1975"/>
      <c r="BH4" s="1975"/>
      <c r="BI4" s="1975"/>
      <c r="BJ4" s="1975"/>
      <c r="BK4" s="1975"/>
      <c r="BL4" s="1975"/>
      <c r="BM4" s="1975"/>
      <c r="BN4" s="1975"/>
      <c r="BO4" s="1975"/>
      <c r="BP4" s="1975"/>
      <c r="BQ4" s="1975"/>
      <c r="BR4" s="1975"/>
      <c r="BS4" s="1975"/>
      <c r="BT4" s="1975"/>
      <c r="BU4" s="1975"/>
      <c r="BV4" s="1975"/>
      <c r="BW4" s="1975"/>
      <c r="BX4" s="1975"/>
      <c r="BY4" s="1975"/>
      <c r="BZ4" s="1975"/>
      <c r="CA4" s="1975"/>
      <c r="CB4" s="1975"/>
      <c r="CC4" s="1975"/>
      <c r="CD4" s="1975"/>
      <c r="CE4" s="1975"/>
    </row>
    <row r="5" spans="1:83" s="1198" customFormat="1" ht="54">
      <c r="A5" s="2264" t="s">
        <v>2299</v>
      </c>
      <c r="B5" s="156" t="s">
        <v>235</v>
      </c>
      <c r="C5" s="157" t="s">
        <v>236</v>
      </c>
      <c r="D5" s="158" t="s">
        <v>237</v>
      </c>
      <c r="E5" s="159" t="s">
        <v>238</v>
      </c>
      <c r="F5" s="160" t="s">
        <v>239</v>
      </c>
      <c r="G5" s="159" t="s">
        <v>240</v>
      </c>
      <c r="H5" s="159" t="s">
        <v>840</v>
      </c>
      <c r="I5" s="159" t="s">
        <v>841</v>
      </c>
      <c r="J5" s="161" t="s">
        <v>241</v>
      </c>
      <c r="K5" s="162" t="s">
        <v>242</v>
      </c>
      <c r="L5" s="163" t="s">
        <v>243</v>
      </c>
      <c r="M5" s="164" t="s">
        <v>244</v>
      </c>
      <c r="N5" s="1205" t="s">
        <v>2802</v>
      </c>
      <c r="O5" s="163" t="s">
        <v>245</v>
      </c>
      <c r="P5" s="165" t="s">
        <v>246</v>
      </c>
      <c r="Q5" s="166" t="s">
        <v>247</v>
      </c>
      <c r="R5" s="167" t="s">
        <v>248</v>
      </c>
      <c r="S5" s="2559" t="s">
        <v>2547</v>
      </c>
      <c r="T5" s="168" t="s">
        <v>249</v>
      </c>
      <c r="U5" s="169" t="s">
        <v>250</v>
      </c>
      <c r="V5" s="159" t="s">
        <v>251</v>
      </c>
      <c r="W5" s="159" t="s">
        <v>252</v>
      </c>
      <c r="X5" s="1793"/>
      <c r="Y5" s="170" t="s">
        <v>253</v>
      </c>
      <c r="Z5" s="171" t="s">
        <v>254</v>
      </c>
      <c r="AA5" s="159" t="s">
        <v>251</v>
      </c>
      <c r="AB5" s="159" t="s">
        <v>252</v>
      </c>
      <c r="AC5" s="1794"/>
      <c r="AD5" s="172" t="s">
        <v>253</v>
      </c>
      <c r="AE5" s="1" t="s">
        <v>848</v>
      </c>
      <c r="AF5" s="159" t="s">
        <v>255</v>
      </c>
      <c r="AG5" s="170" t="s">
        <v>256</v>
      </c>
      <c r="AH5" s="1794" t="s">
        <v>2298</v>
      </c>
      <c r="AI5" s="171" t="s">
        <v>2267</v>
      </c>
      <c r="AJ5" s="171" t="s">
        <v>257</v>
      </c>
      <c r="AK5" s="159" t="s">
        <v>258</v>
      </c>
      <c r="AL5" s="159" t="s">
        <v>259</v>
      </c>
      <c r="AM5" s="172" t="s">
        <v>260</v>
      </c>
      <c r="AN5" s="2329" t="s">
        <v>2348</v>
      </c>
      <c r="AO5" s="1976"/>
      <c r="AP5" s="1976"/>
      <c r="AQ5" s="1976"/>
      <c r="AR5" s="1976"/>
      <c r="AS5" s="1976"/>
      <c r="AT5" s="1976"/>
      <c r="AU5" s="1976"/>
      <c r="AV5" s="1976"/>
      <c r="AW5" s="1976"/>
      <c r="AX5" s="1976"/>
      <c r="AY5" s="1976"/>
      <c r="AZ5" s="1976"/>
      <c r="BA5" s="1976"/>
      <c r="BB5" s="1976"/>
      <c r="BC5" s="1976"/>
      <c r="BD5" s="1976"/>
      <c r="BE5" s="1976"/>
      <c r="BF5" s="1976"/>
      <c r="BG5" s="1976"/>
      <c r="BH5" s="1976"/>
      <c r="BI5" s="1976"/>
      <c r="BJ5" s="1976"/>
      <c r="BK5" s="1976"/>
      <c r="BL5" s="1976"/>
      <c r="BM5" s="1976"/>
      <c r="BN5" s="1976"/>
      <c r="BO5" s="1976"/>
      <c r="BP5" s="1976"/>
      <c r="BQ5" s="1976"/>
      <c r="BR5" s="1976"/>
      <c r="BS5" s="1976"/>
      <c r="BT5" s="1976"/>
      <c r="BU5" s="1976"/>
      <c r="BV5" s="1976"/>
      <c r="BW5" s="1976"/>
      <c r="BX5" s="1976"/>
      <c r="BY5" s="1976"/>
      <c r="BZ5" s="1976"/>
      <c r="CA5" s="1976"/>
      <c r="CB5" s="1976"/>
      <c r="CC5" s="1976"/>
      <c r="CD5" s="1976"/>
      <c r="CE5" s="1976"/>
    </row>
    <row r="6" spans="1:83" s="1192" customFormat="1" ht="14.25">
      <c r="A6" s="2262" t="str">
        <f>'数据-汇总表'!C19</f>
        <v>商业</v>
      </c>
      <c r="B6" s="2297" t="str">
        <f>IF(A6=0,"","经营性")</f>
        <v>经营性</v>
      </c>
      <c r="C6" s="173" t="s">
        <v>3014</v>
      </c>
      <c r="D6" s="2268">
        <f>SUMIF(项目基本情况!D$15:I$15,C6,项目基本情况!D$18:I$18)</f>
        <v>40</v>
      </c>
      <c r="E6" s="2269">
        <f>IF(B6="","",SUMIF(项目基本情况!D$15:I$15,C6,项目基本情况!D$17:I$17))</f>
        <v>58542</v>
      </c>
      <c r="F6" s="174">
        <f>SUMIF(项目基本情况!D$15:I$15,C6,项目基本情况!D$19:I$19)</f>
        <v>40</v>
      </c>
      <c r="G6" s="175">
        <f>IF(ISERROR(ROUND(POWER(1+H6,D6-F6)*(POWER(1+H6,F6)-1)/(POWER(1+H6,D6)-1),3)),0,ROUND(POWER(1+H6,D6-F6)*(POWER(1+H6,F6)-1)/(POWER(1+H6,D6)-1),3))</f>
        <v>1</v>
      </c>
      <c r="H6" s="2952">
        <v>4.4999999999999998E-2</v>
      </c>
      <c r="I6" s="2952">
        <v>0.05</v>
      </c>
      <c r="J6" s="176">
        <v>7.0000000000000007E-2</v>
      </c>
      <c r="K6" s="179">
        <f>SUMIF('数据-汇总表'!C$19:C$33,'数据-取费表'!A6,'数据-汇总表'!E$19:E$33)</f>
        <v>358392.93</v>
      </c>
      <c r="L6" s="2953">
        <v>7000</v>
      </c>
      <c r="M6" s="177">
        <f t="shared" ref="M6:M14" si="0">ROUND(K6*L6/10000,0)</f>
        <v>250875</v>
      </c>
      <c r="N6" s="2954">
        <v>0</v>
      </c>
      <c r="O6" s="177">
        <f>IF($N$5="成新度","——",ROUND(M6*N6,0))</f>
        <v>0</v>
      </c>
      <c r="P6" s="178">
        <f>IF($N$5="成新度","——",M6-O6)</f>
        <v>250875</v>
      </c>
      <c r="Q6" s="2955">
        <v>0.1</v>
      </c>
      <c r="R6" s="179">
        <f>SUMIF('数据-汇总表'!C$19:C$33,A6,'数据-汇总表'!R$19:R$33)</f>
        <v>238724.82</v>
      </c>
      <c r="S6" s="132">
        <f>IF('数据-汇总表'!$I$17="按面积比例",SUMIF('数据-汇总表'!C$19:C$33,A6,'数据-汇总表'!K$19:K$33),SUMIF('数据-汇总表'!C$19:C$33,A6,'数据-汇总表'!N$19:N$33))</f>
        <v>0</v>
      </c>
      <c r="T6" s="2194" t="str">
        <f>IF($T$4="按面积比例",IF(ISERROR(ROUND($M$14*S6/S$16,0)),"0",ROUND($M$14*S6/S$16,0)),"需自行计算录入")</f>
        <v>0</v>
      </c>
      <c r="U6" s="180">
        <f>'不动产比较法-商业'!C49</f>
        <v>4.0999999999999996</v>
      </c>
      <c r="V6" s="181">
        <v>0</v>
      </c>
      <c r="W6" s="181">
        <v>0.1</v>
      </c>
      <c r="X6" s="2281"/>
      <c r="Y6" s="182">
        <v>1</v>
      </c>
      <c r="Z6" s="183"/>
      <c r="AA6" s="176"/>
      <c r="AB6" s="176"/>
      <c r="AC6" s="2284"/>
      <c r="AD6" s="184"/>
      <c r="AE6" s="963">
        <f ca="1">IF(AN6="",0,SUMIF(INDIRECT("'"&amp;AN6&amp;"'"&amp;"!E:E"),$AE$5,INDIRECT("'"&amp;AN6&amp;"'"&amp;"!F:F")))</f>
        <v>40</v>
      </c>
      <c r="AF6" s="141"/>
      <c r="AG6" s="1199">
        <f>IF(AF6="",0,AE6-AF6)</f>
        <v>0</v>
      </c>
      <c r="AH6" s="141">
        <f>'数据-汇总表'!F19</f>
        <v>358392.93</v>
      </c>
      <c r="AI6" s="187">
        <v>365</v>
      </c>
      <c r="AJ6" s="188"/>
      <c r="AK6" s="189">
        <v>0.02</v>
      </c>
      <c r="AL6" s="190">
        <v>2E-3</v>
      </c>
      <c r="AM6" s="2966">
        <v>0.02</v>
      </c>
      <c r="AN6" s="2330" t="s">
        <v>3022</v>
      </c>
      <c r="AO6" s="1975"/>
      <c r="AP6" s="1191">
        <f>ROUND(1-1/(1+H6)^F6,3)</f>
        <v>0.82799999999999996</v>
      </c>
      <c r="AQ6" s="1975"/>
      <c r="AR6" s="1975"/>
      <c r="AS6" s="1975"/>
      <c r="AT6" s="1975"/>
      <c r="AU6" s="1975"/>
      <c r="AV6" s="1975"/>
      <c r="AW6" s="1975"/>
      <c r="AX6" s="1975"/>
      <c r="AY6" s="1975"/>
      <c r="AZ6" s="1975"/>
      <c r="BA6" s="1975"/>
      <c r="BB6" s="1975"/>
      <c r="BC6" s="1975"/>
      <c r="BD6" s="1975"/>
      <c r="BE6" s="1975"/>
      <c r="BF6" s="1975"/>
      <c r="BG6" s="1975"/>
      <c r="BH6" s="1975"/>
      <c r="BI6" s="1975"/>
      <c r="BJ6" s="1975"/>
      <c r="BK6" s="1975"/>
      <c r="BL6" s="1975"/>
      <c r="BM6" s="1975"/>
      <c r="BN6" s="1975"/>
      <c r="BO6" s="1975"/>
      <c r="BP6" s="1975"/>
      <c r="BQ6" s="1975"/>
      <c r="BR6" s="1975"/>
      <c r="BS6" s="1975"/>
      <c r="BT6" s="1975"/>
      <c r="BU6" s="1975"/>
      <c r="BV6" s="1975"/>
      <c r="BW6" s="1975"/>
      <c r="BX6" s="1975"/>
      <c r="BY6" s="1975"/>
      <c r="BZ6" s="1975"/>
      <c r="CA6" s="1975"/>
      <c r="CB6" s="1975"/>
      <c r="CC6" s="1975"/>
      <c r="CD6" s="1975"/>
      <c r="CE6" s="1975"/>
    </row>
    <row r="7" spans="1:83" s="1192" customFormat="1" ht="14.25">
      <c r="A7" s="2262" t="str">
        <f>'数据-汇总表'!C20</f>
        <v>办公</v>
      </c>
      <c r="B7" s="2297" t="str">
        <f t="shared" ref="B7:B13" si="1">IF(A7=0,"","经营性")</f>
        <v>经营性</v>
      </c>
      <c r="C7" s="173" t="s">
        <v>1655</v>
      </c>
      <c r="D7" s="2268">
        <f>SUMIF(项目基本情况!D$15:I$15,C7,项目基本情况!D$18:I$18)</f>
        <v>50</v>
      </c>
      <c r="E7" s="2269">
        <f>IF(B7="","",SUMIF(项目基本情况!D$15:I$15,C7,项目基本情况!D$17:I$17))</f>
        <v>62194</v>
      </c>
      <c r="F7" s="174">
        <f>SUMIF(项目基本情况!D$15:I$15,C7,项目基本情况!D$19:I$19)</f>
        <v>50</v>
      </c>
      <c r="G7" s="175">
        <f t="shared" ref="G7:G11" si="2">IF(ISERROR(ROUND(POWER(1+H7,D7-F7)*(POWER(1+H7,F7)-1)/(POWER(1+H7,D7)-1),3)),0,ROUND(POWER(1+H7,D7-F7)*(POWER(1+H7,F7)-1)/(POWER(1+H7,D7)-1),3))</f>
        <v>1</v>
      </c>
      <c r="H7" s="2952">
        <f>H6</f>
        <v>4.4999999999999998E-2</v>
      </c>
      <c r="I7" s="2952">
        <f>I6</f>
        <v>0.05</v>
      </c>
      <c r="J7" s="176">
        <f>J6</f>
        <v>7.0000000000000007E-2</v>
      </c>
      <c r="K7" s="179">
        <f>SUMIF('数据-汇总表'!C$19:C$33,'数据-取费表'!A7,'数据-汇总表'!E$19:E$33)</f>
        <v>198257.18</v>
      </c>
      <c r="L7" s="2953">
        <v>6500</v>
      </c>
      <c r="M7" s="177">
        <f t="shared" si="0"/>
        <v>128867</v>
      </c>
      <c r="N7" s="2954">
        <v>0</v>
      </c>
      <c r="O7" s="177">
        <f t="shared" ref="O7:O14" si="3">IF($N$5="成新度","——",ROUND(M7*N7,0))</f>
        <v>0</v>
      </c>
      <c r="P7" s="178">
        <f t="shared" ref="P7:P14" si="4">IF($N$5="成新度","——",M7-O7)</f>
        <v>128867</v>
      </c>
      <c r="Q7" s="2955">
        <v>0.15</v>
      </c>
      <c r="R7" s="179">
        <f>SUMIF('数据-汇总表'!C$19:C$33,A7,'数据-汇总表'!R$19:R$33)</f>
        <v>132058.71</v>
      </c>
      <c r="S7" s="132">
        <f>IF('数据-汇总表'!$I$17="按面积比例",SUMIF('数据-汇总表'!C$19:C$33,A7,'数据-汇总表'!K$19:K$33),SUMIF('数据-汇总表'!C$19:C$33,A7,'数据-汇总表'!N$19:N$33))</f>
        <v>0</v>
      </c>
      <c r="T7" s="2194" t="str">
        <f t="shared" ref="T7:T13" si="5">IF($T$4="按面积比例",IF(ISERROR(ROUND($M$14*S7/S$16,0)),"0",ROUND($M$14*S7/S$16,0)),"需自行计算录入")</f>
        <v>0</v>
      </c>
      <c r="U7" s="180">
        <f>'不动产比较法-办公'!C50</f>
        <v>4</v>
      </c>
      <c r="V7" s="181">
        <v>0</v>
      </c>
      <c r="W7" s="181">
        <v>0.1</v>
      </c>
      <c r="X7" s="2281"/>
      <c r="Y7" s="182">
        <v>1</v>
      </c>
      <c r="Z7" s="183"/>
      <c r="AA7" s="176"/>
      <c r="AB7" s="176"/>
      <c r="AC7" s="2284"/>
      <c r="AD7" s="184"/>
      <c r="AE7" s="963">
        <f t="shared" ref="AE7:AE13" ca="1" si="6">IF(AN7="",0,SUMIF(INDIRECT("'"&amp;AN7&amp;"'"&amp;"!E:E"),$AE$5,INDIRECT("'"&amp;AN7&amp;"'"&amp;"!F:F")))</f>
        <v>50</v>
      </c>
      <c r="AF7" s="141"/>
      <c r="AG7" s="1199">
        <f t="shared" ref="AG7:AG13" si="7">IF(AF7="",0,AE7-AF7)</f>
        <v>0</v>
      </c>
      <c r="AH7" s="141">
        <f>'数据-汇总表'!F20</f>
        <v>198257.18</v>
      </c>
      <c r="AI7" s="187">
        <v>365</v>
      </c>
      <c r="AJ7" s="188"/>
      <c r="AK7" s="189">
        <f>AK6</f>
        <v>0.02</v>
      </c>
      <c r="AL7" s="190">
        <f>AL6</f>
        <v>2E-3</v>
      </c>
      <c r="AM7" s="2328">
        <f>AM6</f>
        <v>0.02</v>
      </c>
      <c r="AN7" s="2330" t="s">
        <v>3023</v>
      </c>
      <c r="AO7" s="1975"/>
      <c r="AP7" s="1191">
        <f t="shared" ref="AP7:AP13" si="8">ROUND(1-1/(1+H7)^F7,3)</f>
        <v>0.88900000000000001</v>
      </c>
      <c r="AQ7" s="1975"/>
      <c r="AR7" s="1975"/>
      <c r="AS7" s="1975"/>
      <c r="AT7" s="1975"/>
      <c r="AU7" s="1975"/>
      <c r="AV7" s="1975"/>
      <c r="AW7" s="1975"/>
      <c r="AX7" s="1975"/>
      <c r="AY7" s="1975"/>
      <c r="AZ7" s="1975"/>
      <c r="BA7" s="1975"/>
      <c r="BB7" s="1975"/>
      <c r="BC7" s="1975"/>
      <c r="BD7" s="1975"/>
      <c r="BE7" s="1975"/>
      <c r="BF7" s="1975"/>
      <c r="BG7" s="1975"/>
      <c r="BH7" s="1975"/>
      <c r="BI7" s="1975"/>
      <c r="BJ7" s="1975"/>
      <c r="BK7" s="1975"/>
      <c r="BL7" s="1975"/>
      <c r="BM7" s="1975"/>
      <c r="BN7" s="1975"/>
      <c r="BO7" s="1975"/>
      <c r="BP7" s="1975"/>
      <c r="BQ7" s="1975"/>
      <c r="BR7" s="1975"/>
      <c r="BS7" s="1975"/>
      <c r="BT7" s="1975"/>
      <c r="BU7" s="1975"/>
      <c r="BV7" s="1975"/>
      <c r="BW7" s="1975"/>
      <c r="BX7" s="1975"/>
      <c r="BY7" s="1975"/>
      <c r="BZ7" s="1975"/>
      <c r="CA7" s="1975"/>
      <c r="CB7" s="1975"/>
      <c r="CC7" s="1975"/>
      <c r="CD7" s="1975"/>
      <c r="CE7" s="1975"/>
    </row>
    <row r="8" spans="1:83" s="1192" customFormat="1" ht="14.25">
      <c r="A8" s="2262">
        <f>'数据-汇总表'!C21</f>
        <v>0</v>
      </c>
      <c r="B8" s="2297" t="str">
        <f t="shared" si="1"/>
        <v/>
      </c>
      <c r="C8" s="173"/>
      <c r="D8" s="2268">
        <f>SUMIF(项目基本情况!D$15:I$15,C8,项目基本情况!D$18:I$18)</f>
        <v>0</v>
      </c>
      <c r="E8" s="2269" t="str">
        <f>IF(B8="","",SUMIF(项目基本情况!D$15:I$15,C8,项目基本情况!D$17:I$17))</f>
        <v/>
      </c>
      <c r="F8" s="174">
        <f>SUMIF(项目基本情况!D$15:I$15,C8,项目基本情况!D$19:I$19)</f>
        <v>0</v>
      </c>
      <c r="G8" s="175">
        <f t="shared" si="2"/>
        <v>0</v>
      </c>
      <c r="H8" s="2952"/>
      <c r="I8" s="2952"/>
      <c r="J8" s="176"/>
      <c r="K8" s="179">
        <f>SUMIF('数据-汇总表'!C$19:C$33,'数据-取费表'!A8,'数据-汇总表'!E$19:E$33)</f>
        <v>0</v>
      </c>
      <c r="L8" s="2953"/>
      <c r="M8" s="177">
        <f>ROUND(K8*L8/10000,0)</f>
        <v>0</v>
      </c>
      <c r="N8" s="2954"/>
      <c r="O8" s="177">
        <f t="shared" si="3"/>
        <v>0</v>
      </c>
      <c r="P8" s="178">
        <f t="shared" si="4"/>
        <v>0</v>
      </c>
      <c r="Q8" s="2955"/>
      <c r="R8" s="179">
        <f>SUMIF('数据-汇总表'!C$19:C$33,A8,'数据-汇总表'!R$19:R$33)</f>
        <v>0</v>
      </c>
      <c r="S8" s="132">
        <f>IF('数据-汇总表'!$I$17="按面积比例",SUMIF('数据-汇总表'!C$19:C$33,A8,'数据-汇总表'!K$19:K$33),SUMIF('数据-汇总表'!C$19:C$33,A8,'数据-汇总表'!N$19:N$33))</f>
        <v>0</v>
      </c>
      <c r="T8" s="2194" t="str">
        <f t="shared" si="5"/>
        <v>0</v>
      </c>
      <c r="U8" s="180"/>
      <c r="V8" s="181"/>
      <c r="W8" s="181"/>
      <c r="X8" s="2281"/>
      <c r="Y8" s="182"/>
      <c r="Z8" s="183"/>
      <c r="AA8" s="176"/>
      <c r="AB8" s="176"/>
      <c r="AC8" s="2284"/>
      <c r="AD8" s="184"/>
      <c r="AE8" s="963">
        <f t="shared" ca="1" si="6"/>
        <v>0</v>
      </c>
      <c r="AF8" s="141"/>
      <c r="AG8" s="1199">
        <f t="shared" si="7"/>
        <v>0</v>
      </c>
      <c r="AH8" s="141"/>
      <c r="AI8" s="187"/>
      <c r="AJ8" s="188"/>
      <c r="AK8" s="189"/>
      <c r="AL8" s="190"/>
      <c r="AM8" s="2328"/>
      <c r="AN8" s="2330"/>
      <c r="AO8" s="1975"/>
      <c r="AP8" s="1191">
        <f t="shared" si="8"/>
        <v>0</v>
      </c>
      <c r="AQ8" s="1975"/>
      <c r="AR8" s="1975"/>
      <c r="AS8" s="1975"/>
      <c r="AT8" s="1975"/>
      <c r="AU8" s="1975"/>
      <c r="AV8" s="1975"/>
      <c r="AW8" s="1975"/>
      <c r="AX8" s="1975"/>
      <c r="AY8" s="1975"/>
      <c r="AZ8" s="1975"/>
      <c r="BA8" s="1975"/>
      <c r="BB8" s="1975"/>
      <c r="BC8" s="1975"/>
      <c r="BD8" s="1975"/>
      <c r="BE8" s="1975"/>
      <c r="BF8" s="1975"/>
      <c r="BG8" s="1975"/>
      <c r="BH8" s="1975"/>
      <c r="BI8" s="1975"/>
      <c r="BJ8" s="1975"/>
      <c r="BK8" s="1975"/>
      <c r="BL8" s="1975"/>
      <c r="BM8" s="1975"/>
      <c r="BN8" s="1975"/>
      <c r="BO8" s="1975"/>
      <c r="BP8" s="1975"/>
      <c r="BQ8" s="1975"/>
      <c r="BR8" s="1975"/>
      <c r="BS8" s="1975"/>
      <c r="BT8" s="1975"/>
      <c r="BU8" s="1975"/>
      <c r="BV8" s="1975"/>
      <c r="BW8" s="1975"/>
      <c r="BX8" s="1975"/>
      <c r="BY8" s="1975"/>
      <c r="BZ8" s="1975"/>
      <c r="CA8" s="1975"/>
      <c r="CB8" s="1975"/>
      <c r="CC8" s="1975"/>
      <c r="CD8" s="1975"/>
      <c r="CE8" s="1975"/>
    </row>
    <row r="9" spans="1:83" s="1192" customFormat="1" ht="14.25">
      <c r="A9" s="2262">
        <f>'数据-汇总表'!C22</f>
        <v>0</v>
      </c>
      <c r="B9" s="2297" t="str">
        <f t="shared" si="1"/>
        <v/>
      </c>
      <c r="C9" s="173"/>
      <c r="D9" s="2268">
        <f>SUMIF(项目基本情况!D$15:I$15,C9,项目基本情况!D$18:I$18)</f>
        <v>0</v>
      </c>
      <c r="E9" s="226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194" t="str">
        <f t="shared" si="5"/>
        <v>0</v>
      </c>
      <c r="U9" s="180"/>
      <c r="V9" s="181"/>
      <c r="W9" s="181"/>
      <c r="X9" s="2281"/>
      <c r="Y9" s="182"/>
      <c r="Z9" s="183"/>
      <c r="AA9" s="176"/>
      <c r="AB9" s="176"/>
      <c r="AC9" s="2284"/>
      <c r="AD9" s="184"/>
      <c r="AE9" s="963">
        <f t="shared" ca="1" si="6"/>
        <v>0</v>
      </c>
      <c r="AF9" s="141"/>
      <c r="AG9" s="1199">
        <f t="shared" si="7"/>
        <v>0</v>
      </c>
      <c r="AH9" s="141"/>
      <c r="AI9" s="187"/>
      <c r="AJ9" s="188"/>
      <c r="AK9" s="189"/>
      <c r="AL9" s="190"/>
      <c r="AM9" s="2328"/>
      <c r="AN9" s="2330"/>
      <c r="AO9" s="1975"/>
      <c r="AP9" s="1191">
        <f t="shared" si="8"/>
        <v>0</v>
      </c>
      <c r="AQ9" s="1975"/>
      <c r="AR9" s="1975"/>
      <c r="AS9" s="1975"/>
      <c r="AT9" s="1975"/>
      <c r="AU9" s="1975"/>
      <c r="AV9" s="1975"/>
      <c r="AW9" s="1975"/>
      <c r="AX9" s="1975"/>
      <c r="AY9" s="1975"/>
      <c r="AZ9" s="1975"/>
      <c r="BA9" s="1975"/>
      <c r="BB9" s="1975"/>
      <c r="BC9" s="1975"/>
      <c r="BD9" s="1975"/>
      <c r="BE9" s="1975"/>
      <c r="BF9" s="1975"/>
      <c r="BG9" s="1975"/>
      <c r="BH9" s="1975"/>
      <c r="BI9" s="1975"/>
      <c r="BJ9" s="1975"/>
      <c r="BK9" s="1975"/>
      <c r="BL9" s="1975"/>
      <c r="BM9" s="1975"/>
      <c r="BN9" s="1975"/>
      <c r="BO9" s="1975"/>
      <c r="BP9" s="1975"/>
      <c r="BQ9" s="1975"/>
      <c r="BR9" s="1975"/>
      <c r="BS9" s="1975"/>
      <c r="BT9" s="1975"/>
      <c r="BU9" s="1975"/>
      <c r="BV9" s="1975"/>
      <c r="BW9" s="1975"/>
      <c r="BX9" s="1975"/>
      <c r="BY9" s="1975"/>
      <c r="BZ9" s="1975"/>
      <c r="CA9" s="1975"/>
      <c r="CB9" s="1975"/>
      <c r="CC9" s="1975"/>
      <c r="CD9" s="1975"/>
      <c r="CE9" s="1975"/>
    </row>
    <row r="10" spans="1:83" s="1192" customFormat="1" ht="14.25">
      <c r="A10" s="2262">
        <f>'数据-汇总表'!C23</f>
        <v>0</v>
      </c>
      <c r="B10" s="2297" t="str">
        <f t="shared" si="1"/>
        <v/>
      </c>
      <c r="C10" s="173"/>
      <c r="D10" s="2268">
        <f>SUMIF(项目基本情况!D$15:I$15,C10,项目基本情况!D$18:I$18)</f>
        <v>0</v>
      </c>
      <c r="E10" s="226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194" t="str">
        <f t="shared" si="5"/>
        <v>0</v>
      </c>
      <c r="U10" s="180"/>
      <c r="V10" s="181"/>
      <c r="W10" s="181"/>
      <c r="X10" s="2281"/>
      <c r="Y10" s="182"/>
      <c r="Z10" s="183"/>
      <c r="AA10" s="176"/>
      <c r="AB10" s="176"/>
      <c r="AC10" s="2284"/>
      <c r="AD10" s="184"/>
      <c r="AE10" s="963">
        <f t="shared" ca="1" si="6"/>
        <v>0</v>
      </c>
      <c r="AF10" s="141"/>
      <c r="AG10" s="1199">
        <f t="shared" si="7"/>
        <v>0</v>
      </c>
      <c r="AH10" s="141"/>
      <c r="AI10" s="187"/>
      <c r="AJ10" s="188"/>
      <c r="AK10" s="189"/>
      <c r="AL10" s="190"/>
      <c r="AM10" s="2328"/>
      <c r="AN10" s="2330"/>
      <c r="AO10" s="1975"/>
      <c r="AP10" s="1191">
        <f t="shared" si="8"/>
        <v>0</v>
      </c>
      <c r="AQ10" s="1975"/>
      <c r="AR10" s="1975"/>
      <c r="AS10" s="1975"/>
      <c r="AT10" s="1975"/>
      <c r="AU10" s="1975"/>
      <c r="AV10" s="1975"/>
      <c r="AW10" s="1975"/>
      <c r="AX10" s="1975"/>
      <c r="AY10" s="1975"/>
      <c r="AZ10" s="1975"/>
      <c r="BA10" s="1975"/>
      <c r="BB10" s="1975"/>
      <c r="BC10" s="1975"/>
      <c r="BD10" s="1975"/>
      <c r="BE10" s="1975"/>
      <c r="BF10" s="1975"/>
      <c r="BG10" s="1975"/>
      <c r="BH10" s="1975"/>
      <c r="BI10" s="1975"/>
      <c r="BJ10" s="1975"/>
      <c r="BK10" s="1975"/>
      <c r="BL10" s="1975"/>
      <c r="BM10" s="1975"/>
      <c r="BN10" s="1975"/>
      <c r="BO10" s="1975"/>
      <c r="BP10" s="1975"/>
      <c r="BQ10" s="1975"/>
      <c r="BR10" s="1975"/>
      <c r="BS10" s="1975"/>
      <c r="BT10" s="1975"/>
      <c r="BU10" s="1975"/>
      <c r="BV10" s="1975"/>
      <c r="BW10" s="1975"/>
      <c r="BX10" s="1975"/>
      <c r="BY10" s="1975"/>
      <c r="BZ10" s="1975"/>
      <c r="CA10" s="1975"/>
      <c r="CB10" s="1975"/>
      <c r="CC10" s="1975"/>
      <c r="CD10" s="1975"/>
      <c r="CE10" s="1975"/>
    </row>
    <row r="11" spans="1:83" s="1192" customFormat="1" ht="14.25">
      <c r="A11" s="2262">
        <f>'数据-汇总表'!C24</f>
        <v>0</v>
      </c>
      <c r="B11" s="2297" t="str">
        <f t="shared" si="1"/>
        <v/>
      </c>
      <c r="C11" s="173"/>
      <c r="D11" s="2268">
        <f>SUMIF(项目基本情况!D$15:I$15,C11,项目基本情况!D$18:I$18)</f>
        <v>0</v>
      </c>
      <c r="E11" s="226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194" t="str">
        <f t="shared" si="5"/>
        <v>0</v>
      </c>
      <c r="U11" s="185"/>
      <c r="V11" s="176"/>
      <c r="W11" s="176"/>
      <c r="X11" s="2284"/>
      <c r="Y11" s="182"/>
      <c r="Z11" s="195"/>
      <c r="AA11" s="176"/>
      <c r="AB11" s="176"/>
      <c r="AC11" s="2284"/>
      <c r="AD11" s="184"/>
      <c r="AE11" s="963">
        <f t="shared" ca="1" si="6"/>
        <v>0</v>
      </c>
      <c r="AF11" s="141"/>
      <c r="AG11" s="1199">
        <f t="shared" si="7"/>
        <v>0</v>
      </c>
      <c r="AH11" s="141"/>
      <c r="AI11" s="187"/>
      <c r="AJ11" s="188"/>
      <c r="AK11" s="196"/>
      <c r="AL11" s="197"/>
      <c r="AM11" s="1792"/>
      <c r="AN11" s="2330"/>
      <c r="AO11" s="1975"/>
      <c r="AP11" s="1191">
        <f t="shared" si="8"/>
        <v>0</v>
      </c>
      <c r="AQ11" s="1975"/>
      <c r="AR11" s="1975"/>
      <c r="AS11" s="1975"/>
      <c r="AT11" s="1975"/>
      <c r="AU11" s="1975"/>
      <c r="AV11" s="1975"/>
      <c r="AW11" s="1975"/>
      <c r="AX11" s="1975"/>
      <c r="AY11" s="1975"/>
      <c r="AZ11" s="1975"/>
      <c r="BA11" s="1975"/>
      <c r="BB11" s="1975"/>
      <c r="BC11" s="1975"/>
      <c r="BD11" s="1975"/>
      <c r="BE11" s="1975"/>
      <c r="BF11" s="1975"/>
      <c r="BG11" s="1975"/>
      <c r="BH11" s="1975"/>
      <c r="BI11" s="1975"/>
      <c r="BJ11" s="1975"/>
      <c r="BK11" s="1975"/>
      <c r="BL11" s="1975"/>
      <c r="BM11" s="1975"/>
      <c r="BN11" s="1975"/>
      <c r="BO11" s="1975"/>
      <c r="BP11" s="1975"/>
      <c r="BQ11" s="1975"/>
      <c r="BR11" s="1975"/>
      <c r="BS11" s="1975"/>
      <c r="BT11" s="1975"/>
      <c r="BU11" s="1975"/>
      <c r="BV11" s="1975"/>
      <c r="BW11" s="1975"/>
      <c r="BX11" s="1975"/>
      <c r="BY11" s="1975"/>
      <c r="BZ11" s="1975"/>
      <c r="CA11" s="1975"/>
      <c r="CB11" s="1975"/>
      <c r="CC11" s="1975"/>
      <c r="CD11" s="1975"/>
      <c r="CE11" s="1975"/>
    </row>
    <row r="12" spans="1:83" s="1192" customFormat="1" ht="14.25">
      <c r="A12" s="2262">
        <f>'数据-汇总表'!C25</f>
        <v>0</v>
      </c>
      <c r="B12" s="2297" t="str">
        <f t="shared" si="1"/>
        <v/>
      </c>
      <c r="C12" s="173"/>
      <c r="D12" s="2268">
        <f>SUMIF(项目基本情况!D$15:I$15,C12,项目基本情况!D$18:I$18)</f>
        <v>0</v>
      </c>
      <c r="E12" s="226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194" t="str">
        <f t="shared" si="5"/>
        <v>0</v>
      </c>
      <c r="U12" s="185"/>
      <c r="V12" s="176"/>
      <c r="W12" s="176"/>
      <c r="X12" s="2284"/>
      <c r="Y12" s="182"/>
      <c r="Z12" s="195"/>
      <c r="AA12" s="176"/>
      <c r="AB12" s="176"/>
      <c r="AC12" s="2284"/>
      <c r="AD12" s="184"/>
      <c r="AE12" s="963">
        <f t="shared" ca="1" si="6"/>
        <v>0</v>
      </c>
      <c r="AF12" s="141"/>
      <c r="AG12" s="1199">
        <f t="shared" si="7"/>
        <v>0</v>
      </c>
      <c r="AH12" s="141"/>
      <c r="AI12" s="187"/>
      <c r="AJ12" s="188"/>
      <c r="AK12" s="196"/>
      <c r="AL12" s="197"/>
      <c r="AM12" s="1792"/>
      <c r="AN12" s="2330"/>
      <c r="AO12" s="1975"/>
      <c r="AP12" s="1191">
        <f t="shared" si="8"/>
        <v>0</v>
      </c>
      <c r="AQ12" s="1975"/>
      <c r="AR12" s="1975"/>
      <c r="AS12" s="1975"/>
      <c r="AT12" s="1975"/>
      <c r="AU12" s="1975"/>
      <c r="AV12" s="1975"/>
      <c r="AW12" s="1975"/>
      <c r="AX12" s="1975"/>
      <c r="AY12" s="1975"/>
      <c r="AZ12" s="1975"/>
      <c r="BA12" s="1975"/>
      <c r="BB12" s="1975"/>
      <c r="BC12" s="1975"/>
      <c r="BD12" s="1975"/>
      <c r="BE12" s="1975"/>
      <c r="BF12" s="1975"/>
      <c r="BG12" s="1975"/>
      <c r="BH12" s="1975"/>
      <c r="BI12" s="1975"/>
      <c r="BJ12" s="1975"/>
      <c r="BK12" s="1975"/>
      <c r="BL12" s="1975"/>
      <c r="BM12" s="1975"/>
      <c r="BN12" s="1975"/>
      <c r="BO12" s="1975"/>
      <c r="BP12" s="1975"/>
      <c r="BQ12" s="1975"/>
      <c r="BR12" s="1975"/>
      <c r="BS12" s="1975"/>
      <c r="BT12" s="1975"/>
      <c r="BU12" s="1975"/>
      <c r="BV12" s="1975"/>
      <c r="BW12" s="1975"/>
      <c r="BX12" s="1975"/>
      <c r="BY12" s="1975"/>
      <c r="BZ12" s="1975"/>
      <c r="CA12" s="1975"/>
      <c r="CB12" s="1975"/>
      <c r="CC12" s="1975"/>
      <c r="CD12" s="1975"/>
      <c r="CE12" s="1975"/>
    </row>
    <row r="13" spans="1:83" s="1192" customFormat="1" ht="14.25">
      <c r="A13" s="2262">
        <f>'数据-汇总表'!C26</f>
        <v>0</v>
      </c>
      <c r="B13" s="2297" t="str">
        <f t="shared" si="1"/>
        <v/>
      </c>
      <c r="C13" s="173"/>
      <c r="D13" s="2268">
        <f>SUMIF(项目基本情况!D$15:I$15,C13,项目基本情况!D$18:I$18)</f>
        <v>0</v>
      </c>
      <c r="E13" s="226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194" t="str">
        <f t="shared" si="5"/>
        <v>0</v>
      </c>
      <c r="U13" s="180"/>
      <c r="V13" s="181"/>
      <c r="W13" s="181"/>
      <c r="X13" s="2281"/>
      <c r="Y13" s="182"/>
      <c r="Z13" s="183"/>
      <c r="AA13" s="176"/>
      <c r="AB13" s="176"/>
      <c r="AC13" s="2284"/>
      <c r="AD13" s="184"/>
      <c r="AE13" s="963">
        <f t="shared" ca="1" si="6"/>
        <v>0</v>
      </c>
      <c r="AF13" s="141"/>
      <c r="AG13" s="1199">
        <f t="shared" si="7"/>
        <v>0</v>
      </c>
      <c r="AH13" s="141"/>
      <c r="AI13" s="187"/>
      <c r="AJ13" s="188"/>
      <c r="AK13" s="189"/>
      <c r="AL13" s="190"/>
      <c r="AM13" s="2328"/>
      <c r="AN13" s="2330"/>
      <c r="AO13" s="1975"/>
      <c r="AP13" s="1191">
        <f t="shared" si="8"/>
        <v>0</v>
      </c>
      <c r="AQ13" s="1975"/>
      <c r="AR13" s="1975"/>
      <c r="AS13" s="1975"/>
      <c r="AT13" s="1975"/>
      <c r="AU13" s="1975"/>
      <c r="AV13" s="1975"/>
      <c r="AW13" s="1975"/>
      <c r="AX13" s="1975"/>
      <c r="AY13" s="1975"/>
      <c r="AZ13" s="1975"/>
      <c r="BA13" s="1975"/>
      <c r="BB13" s="1975"/>
      <c r="BC13" s="1975"/>
      <c r="BD13" s="1975"/>
      <c r="BE13" s="1975"/>
      <c r="BF13" s="1975"/>
      <c r="BG13" s="1975"/>
      <c r="BH13" s="1975"/>
      <c r="BI13" s="1975"/>
      <c r="BJ13" s="1975"/>
      <c r="BK13" s="1975"/>
      <c r="BL13" s="1975"/>
      <c r="BM13" s="1975"/>
      <c r="BN13" s="1975"/>
      <c r="BO13" s="1975"/>
      <c r="BP13" s="1975"/>
      <c r="BQ13" s="1975"/>
      <c r="BR13" s="1975"/>
      <c r="BS13" s="1975"/>
      <c r="BT13" s="1975"/>
      <c r="BU13" s="1975"/>
      <c r="BV13" s="1975"/>
      <c r="BW13" s="1975"/>
      <c r="BX13" s="1975"/>
      <c r="BY13" s="1975"/>
      <c r="BZ13" s="1975"/>
      <c r="CA13" s="1975"/>
      <c r="CB13" s="1975"/>
      <c r="CC13" s="1975"/>
      <c r="CD13" s="1975"/>
      <c r="CE13" s="1975"/>
    </row>
    <row r="14" spans="1:83" s="1192" customFormat="1" ht="14.25">
      <c r="A14" s="2263" t="s">
        <v>2289</v>
      </c>
      <c r="B14" s="2266" t="s">
        <v>1657</v>
      </c>
      <c r="C14" s="2267" t="s">
        <v>2289</v>
      </c>
      <c r="D14" s="2268"/>
      <c r="E14" s="2269"/>
      <c r="F14" s="174"/>
      <c r="G14" s="175"/>
      <c r="H14" s="2270"/>
      <c r="I14" s="2270"/>
      <c r="J14" s="2270"/>
      <c r="K14" s="179">
        <f>SUMIF('数据-汇总表'!C$19:C$33,'数据-取费表'!A14,'数据-汇总表'!E$19:E$33)</f>
        <v>0</v>
      </c>
      <c r="L14" s="193"/>
      <c r="M14" s="177">
        <f t="shared" si="0"/>
        <v>0</v>
      </c>
      <c r="N14" s="194"/>
      <c r="O14" s="177">
        <f t="shared" si="3"/>
        <v>0</v>
      </c>
      <c r="P14" s="178">
        <f t="shared" si="4"/>
        <v>0</v>
      </c>
      <c r="Q14" s="2278"/>
      <c r="R14" s="179"/>
      <c r="S14" s="132"/>
      <c r="T14" s="2277"/>
      <c r="U14" s="965"/>
      <c r="V14" s="2280"/>
      <c r="W14" s="2280"/>
      <c r="X14" s="2281"/>
      <c r="Y14" s="2282"/>
      <c r="Z14" s="136"/>
      <c r="AA14" s="2283"/>
      <c r="AB14" s="2283"/>
      <c r="AC14" s="2284"/>
      <c r="AD14" s="2281"/>
      <c r="AE14" s="963"/>
      <c r="AF14" s="2256"/>
      <c r="AG14" s="1199"/>
      <c r="AH14" s="2256"/>
      <c r="AI14" s="1548"/>
      <c r="AJ14" s="1548"/>
      <c r="AK14" s="2285"/>
      <c r="AL14" s="2286"/>
      <c r="AM14" s="2287"/>
      <c r="AN14" s="1975"/>
      <c r="AO14" s="1975"/>
      <c r="AQ14" s="1975"/>
      <c r="AR14" s="1975"/>
      <c r="AS14" s="1975"/>
      <c r="AT14" s="1975"/>
      <c r="AU14" s="1975"/>
      <c r="AV14" s="1975"/>
      <c r="AW14" s="1975"/>
      <c r="AX14" s="1975"/>
      <c r="AY14" s="1975"/>
      <c r="AZ14" s="1975"/>
      <c r="BA14" s="1975"/>
      <c r="BB14" s="1975"/>
      <c r="BC14" s="1975"/>
      <c r="BD14" s="1975"/>
      <c r="BE14" s="1975"/>
      <c r="BF14" s="1975"/>
      <c r="BG14" s="1975"/>
      <c r="BH14" s="1975"/>
      <c r="BI14" s="1975"/>
      <c r="BJ14" s="1975"/>
      <c r="BK14" s="1975"/>
      <c r="BL14" s="1975"/>
      <c r="BM14" s="1975"/>
      <c r="BN14" s="1975"/>
      <c r="BO14" s="1975"/>
      <c r="BP14" s="1975"/>
      <c r="BQ14" s="1975"/>
      <c r="BR14" s="1975"/>
      <c r="BS14" s="1975"/>
      <c r="BT14" s="1975"/>
      <c r="BU14" s="1975"/>
      <c r="BV14" s="1975"/>
      <c r="BW14" s="1975"/>
      <c r="BX14" s="1975"/>
      <c r="BY14" s="1975"/>
      <c r="BZ14" s="1975"/>
      <c r="CA14" s="1975"/>
      <c r="CB14" s="1975"/>
      <c r="CC14" s="1975"/>
      <c r="CD14" s="1975"/>
      <c r="CE14" s="1975"/>
    </row>
    <row r="15" spans="1:83" s="1192" customFormat="1" ht="27">
      <c r="A15" s="2272" t="s">
        <v>2291</v>
      </c>
      <c r="B15" s="2266" t="s">
        <v>1657</v>
      </c>
      <c r="C15" s="2267" t="s">
        <v>2290</v>
      </c>
      <c r="D15" s="2268"/>
      <c r="E15" s="2269"/>
      <c r="F15" s="174"/>
      <c r="G15" s="175"/>
      <c r="H15" s="2270"/>
      <c r="I15" s="2270"/>
      <c r="J15" s="2270"/>
      <c r="K15" s="179">
        <f>SUMIF('数据-汇总表'!C$19:C$33,'数据-取费表'!A15,'数据-汇总表'!E$19:E$33)</f>
        <v>0</v>
      </c>
      <c r="L15" s="2276"/>
      <c r="M15" s="177"/>
      <c r="N15" s="2279"/>
      <c r="O15" s="177"/>
      <c r="P15" s="178"/>
      <c r="Q15" s="2278"/>
      <c r="R15" s="179"/>
      <c r="S15" s="132"/>
      <c r="T15" s="2277"/>
      <c r="U15" s="965"/>
      <c r="V15" s="2280"/>
      <c r="W15" s="2280"/>
      <c r="X15" s="2281"/>
      <c r="Y15" s="2282"/>
      <c r="Z15" s="136"/>
      <c r="AA15" s="2283"/>
      <c r="AB15" s="2283"/>
      <c r="AC15" s="2284"/>
      <c r="AD15" s="2281"/>
      <c r="AE15" s="963"/>
      <c r="AF15" s="2256"/>
      <c r="AG15" s="1199"/>
      <c r="AH15" s="2256"/>
      <c r="AI15" s="1548"/>
      <c r="AJ15" s="1548"/>
      <c r="AK15" s="2285"/>
      <c r="AL15" s="2286"/>
      <c r="AM15" s="2287"/>
      <c r="AN15" s="1975"/>
      <c r="AO15" s="1975"/>
      <c r="AQ15" s="1975"/>
      <c r="AR15" s="1975"/>
      <c r="AS15" s="1975"/>
      <c r="AT15" s="1975"/>
      <c r="AU15" s="1975"/>
      <c r="AV15" s="1975"/>
      <c r="AW15" s="1975"/>
      <c r="AX15" s="1975"/>
      <c r="AY15" s="1975"/>
      <c r="AZ15" s="1975"/>
      <c r="BA15" s="1975"/>
      <c r="BB15" s="1975"/>
      <c r="BC15" s="1975"/>
      <c r="BD15" s="1975"/>
      <c r="BE15" s="1975"/>
      <c r="BF15" s="1975"/>
      <c r="BG15" s="1975"/>
      <c r="BH15" s="1975"/>
      <c r="BI15" s="1975"/>
      <c r="BJ15" s="1975"/>
      <c r="BK15" s="1975"/>
      <c r="BL15" s="1975"/>
      <c r="BM15" s="1975"/>
      <c r="BN15" s="1975"/>
      <c r="BO15" s="1975"/>
      <c r="BP15" s="1975"/>
      <c r="BQ15" s="1975"/>
      <c r="BR15" s="1975"/>
      <c r="BS15" s="1975"/>
      <c r="BT15" s="1975"/>
      <c r="BU15" s="1975"/>
      <c r="BV15" s="1975"/>
      <c r="BW15" s="1975"/>
      <c r="BX15" s="1975"/>
      <c r="BY15" s="1975"/>
      <c r="BZ15" s="1975"/>
      <c r="CA15" s="1975"/>
      <c r="CB15" s="1975"/>
      <c r="CC15" s="1975"/>
      <c r="CD15" s="1975"/>
      <c r="CE15" s="1975"/>
    </row>
    <row r="16" spans="1:83" s="1192" customFormat="1" ht="15.75" thickBot="1">
      <c r="A16" s="198" t="s">
        <v>261</v>
      </c>
      <c r="B16" s="199"/>
      <c r="C16" s="200"/>
      <c r="D16" s="201"/>
      <c r="E16" s="199"/>
      <c r="F16" s="199"/>
      <c r="G16" s="202">
        <f>ROUND(SUMPRODUCT(G6:G13,K6:K13)/SUMPRODUCT((G6:G13&gt;0)*(K6:K13)),3)</f>
        <v>1</v>
      </c>
      <c r="H16" s="203">
        <f>ROUND(SUMPRODUCT(H6:H13,K6:K13)/SUMPRODUCT((H6:H13&gt;0)*(K6:K13)),3)</f>
        <v>4.4999999999999998E-2</v>
      </c>
      <c r="I16" s="204"/>
      <c r="J16" s="204"/>
      <c r="K16" s="205">
        <f>SUM(K6:K15)</f>
        <v>556650.11</v>
      </c>
      <c r="L16" s="206">
        <f>ROUND(M16*10000/SUM(K6:K14),0)</f>
        <v>6822</v>
      </c>
      <c r="M16" s="206">
        <f>SUM(M6:M14)</f>
        <v>379742</v>
      </c>
      <c r="N16" s="207">
        <f>ROUND(SUMPRODUCT(M6:M14,N6:N14)/M16,3)</f>
        <v>0</v>
      </c>
      <c r="O16" s="206">
        <f>SUM(O6:O14)</f>
        <v>0</v>
      </c>
      <c r="P16" s="206">
        <f>SUM(P6:P14)</f>
        <v>379742</v>
      </c>
      <c r="Q16" s="208">
        <f>ROUND(SUMPRODUCT(Q6:Q13,K6:K13)/SUMPRODUCT((Q6:Q13&gt;0)*(K6:K13)),2)</f>
        <v>0.12</v>
      </c>
      <c r="R16" s="2271">
        <f>SUM(R6:R13)</f>
        <v>370783.53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5"/>
      <c r="AO16" s="1975"/>
      <c r="AP16" s="1191">
        <f>ROUND(SUMPRODUCT(AP6:AP13,K6:K13)/SUMPRODUCT((AP6:AP13&gt;0)*(K6:K13)),3)</f>
        <v>0.85</v>
      </c>
      <c r="AQ16" s="1975"/>
      <c r="AR16" s="1975"/>
      <c r="AS16" s="1975"/>
      <c r="AT16" s="1975"/>
      <c r="AU16" s="1975"/>
      <c r="AV16" s="1975"/>
      <c r="AW16" s="1975"/>
      <c r="AX16" s="1975"/>
      <c r="AY16" s="1975"/>
      <c r="AZ16" s="1975"/>
      <c r="BA16" s="1975"/>
      <c r="BB16" s="1975"/>
      <c r="BC16" s="1975"/>
      <c r="BD16" s="1975"/>
      <c r="BE16" s="1975"/>
      <c r="BF16" s="1975"/>
      <c r="BG16" s="1975"/>
      <c r="BH16" s="1975"/>
      <c r="BI16" s="1975"/>
      <c r="BJ16" s="1975"/>
      <c r="BK16" s="1975"/>
      <c r="BL16" s="1975"/>
      <c r="BM16" s="1975"/>
      <c r="BN16" s="1975"/>
      <c r="BO16" s="1975"/>
      <c r="BP16" s="1975"/>
      <c r="BQ16" s="1975"/>
      <c r="BR16" s="1975"/>
      <c r="BS16" s="1975"/>
      <c r="BT16" s="1975"/>
      <c r="BU16" s="1975"/>
      <c r="BV16" s="1975"/>
      <c r="BW16" s="1975"/>
      <c r="BX16" s="1975"/>
      <c r="BY16" s="1975"/>
      <c r="BZ16" s="1975"/>
      <c r="CA16" s="1975"/>
      <c r="CB16" s="1975"/>
      <c r="CC16" s="1975"/>
      <c r="CD16" s="1975"/>
      <c r="CE16" s="1975"/>
    </row>
    <row r="17" spans="1:83" ht="13.5" thickBot="1">
      <c r="A17" s="1200"/>
      <c r="B17" s="1189"/>
      <c r="C17" s="1964"/>
      <c r="D17" s="1965"/>
      <c r="E17" s="1965"/>
      <c r="F17" s="1964"/>
      <c r="G17" s="1964"/>
      <c r="H17" s="1964"/>
      <c r="I17" s="1964"/>
      <c r="J17" s="1964"/>
      <c r="K17" s="1966"/>
      <c r="L17" s="1966"/>
      <c r="M17" s="1964"/>
      <c r="N17" s="1964"/>
      <c r="O17" s="1964"/>
      <c r="P17" s="1964"/>
      <c r="Q17" s="1964"/>
      <c r="R17" s="1964"/>
      <c r="S17" s="1964"/>
      <c r="T17" s="1964"/>
      <c r="U17" s="1964"/>
      <c r="V17" s="1964"/>
      <c r="W17" s="1964"/>
      <c r="X17" s="1964"/>
      <c r="Y17" s="1964"/>
      <c r="Z17" s="1964"/>
      <c r="AA17" s="1964"/>
      <c r="AB17" s="1964"/>
      <c r="AC17" s="1964"/>
      <c r="AD17" s="1964"/>
      <c r="AE17" s="1964"/>
      <c r="AF17" s="1964"/>
      <c r="AG17" s="1964"/>
      <c r="AH17" s="1964"/>
      <c r="AI17" s="1964"/>
      <c r="AJ17" s="1964"/>
      <c r="AK17" s="1964"/>
      <c r="AL17" s="1964"/>
      <c r="AM17" s="1964"/>
    </row>
    <row r="18" spans="1:83" ht="15" thickBot="1">
      <c r="A18" s="150" t="s">
        <v>262</v>
      </c>
      <c r="B18" s="1191"/>
      <c r="C18" s="1967"/>
      <c r="D18" s="1968"/>
      <c r="E18" s="1967"/>
      <c r="F18" s="1967"/>
      <c r="G18" s="1967"/>
      <c r="H18" s="1967"/>
      <c r="I18" s="1967"/>
      <c r="J18" s="1967"/>
      <c r="K18" s="1966"/>
      <c r="L18" s="1966"/>
      <c r="M18" s="1964"/>
      <c r="N18" s="1964"/>
      <c r="O18" s="1964"/>
      <c r="P18" s="1964"/>
      <c r="Q18" s="1964"/>
      <c r="R18" s="1964"/>
      <c r="S18" s="1964"/>
      <c r="T18" s="1964"/>
      <c r="U18" s="1964"/>
      <c r="V18" s="1964"/>
      <c r="W18" s="1964"/>
      <c r="X18" s="1964"/>
      <c r="Y18" s="1964"/>
      <c r="Z18" s="1964"/>
      <c r="AA18" s="1964"/>
      <c r="AB18" s="1964"/>
      <c r="AC18" s="1964"/>
      <c r="AD18" s="1964"/>
      <c r="AE18" s="1964"/>
      <c r="AF18" s="1964"/>
      <c r="AG18" s="1964"/>
      <c r="AH18" s="1964"/>
      <c r="AI18" s="1964"/>
      <c r="AJ18" s="1964"/>
      <c r="AK18" s="1964"/>
      <c r="AL18" s="1964"/>
      <c r="AM18" s="1964"/>
    </row>
    <row r="19" spans="1:83" ht="14.25">
      <c r="A19" s="217" t="s">
        <v>263</v>
      </c>
      <c r="B19" s="218">
        <v>2</v>
      </c>
      <c r="C19" s="2303" t="s">
        <v>2311</v>
      </c>
      <c r="D19" s="1968"/>
      <c r="E19" s="1967"/>
      <c r="F19" s="1967"/>
      <c r="G19" s="1967"/>
      <c r="H19" s="1967"/>
      <c r="I19" s="1967"/>
      <c r="J19" s="1967"/>
      <c r="K19" s="1966"/>
      <c r="L19" s="1966"/>
      <c r="M19" s="1964"/>
      <c r="N19" s="1964"/>
      <c r="O19" s="1964"/>
      <c r="P19" s="1964"/>
      <c r="Q19" s="1964"/>
      <c r="R19" s="1964"/>
      <c r="S19" s="1964"/>
      <c r="T19" s="1964"/>
      <c r="U19" s="1964"/>
      <c r="V19" s="1964"/>
      <c r="W19" s="1964"/>
      <c r="X19" s="1964"/>
      <c r="Y19" s="1964"/>
      <c r="Z19" s="1964"/>
      <c r="AA19" s="1964"/>
      <c r="AB19" s="1964"/>
      <c r="AC19" s="1964"/>
      <c r="AD19" s="1964"/>
      <c r="AE19" s="1964"/>
      <c r="AF19" s="1964"/>
      <c r="AG19" s="1964"/>
      <c r="AH19" s="1964"/>
      <c r="AI19" s="1964"/>
      <c r="AJ19" s="1964"/>
      <c r="AK19" s="1964"/>
      <c r="AL19" s="1964"/>
      <c r="AM19" s="1964"/>
    </row>
    <row r="20" spans="1:83" ht="14.25">
      <c r="A20" s="219" t="s">
        <v>264</v>
      </c>
      <c r="B20" s="220">
        <v>2</v>
      </c>
      <c r="C20" s="2303" t="s">
        <v>2310</v>
      </c>
      <c r="D20" s="1968"/>
      <c r="E20" s="1967"/>
      <c r="F20" s="1967"/>
      <c r="G20" s="1967"/>
      <c r="H20" s="1967"/>
      <c r="I20" s="1967"/>
      <c r="J20" s="1967"/>
      <c r="K20" s="1966"/>
      <c r="L20" s="1966"/>
      <c r="M20" s="1964"/>
      <c r="N20" s="1964"/>
      <c r="O20" s="1964"/>
      <c r="P20" s="1964"/>
      <c r="Q20" s="1964"/>
      <c r="R20" s="1964"/>
      <c r="S20" s="1964"/>
      <c r="T20" s="1964"/>
      <c r="U20" s="1964"/>
      <c r="V20" s="1964"/>
      <c r="W20" s="1964"/>
      <c r="X20" s="1964"/>
      <c r="Y20" s="1964"/>
      <c r="Z20" s="1964"/>
      <c r="AA20" s="1964"/>
      <c r="AB20" s="1964"/>
      <c r="AC20" s="1964"/>
      <c r="AD20" s="1964"/>
      <c r="AE20" s="1964"/>
      <c r="AF20" s="1964"/>
      <c r="AG20" s="1964"/>
      <c r="AH20" s="1964"/>
      <c r="AI20" s="1964"/>
      <c r="AJ20" s="1964"/>
      <c r="AK20" s="1964"/>
      <c r="AL20" s="1964"/>
      <c r="AM20" s="1964"/>
    </row>
    <row r="21" spans="1:83" ht="14.25">
      <c r="A21" s="221" t="s">
        <v>265</v>
      </c>
      <c r="B21" s="220">
        <v>0</v>
      </c>
      <c r="C21" s="1967"/>
      <c r="D21" s="1968"/>
      <c r="E21" s="1967"/>
      <c r="F21" s="1967"/>
      <c r="G21" s="1967"/>
      <c r="H21" s="1967"/>
      <c r="I21" s="1967"/>
      <c r="J21" s="1967"/>
      <c r="K21" s="1966"/>
      <c r="L21" s="1966"/>
      <c r="M21" s="1964"/>
      <c r="N21" s="1964"/>
      <c r="O21" s="1964"/>
      <c r="P21" s="1964"/>
      <c r="Q21" s="1964"/>
      <c r="R21" s="1964"/>
      <c r="S21" s="1964"/>
      <c r="T21" s="1964"/>
      <c r="U21" s="1964"/>
      <c r="V21" s="1964"/>
      <c r="W21" s="1964"/>
      <c r="X21" s="1964"/>
      <c r="Y21" s="1964"/>
      <c r="Z21" s="1964"/>
      <c r="AA21" s="1964"/>
      <c r="AB21" s="1964"/>
      <c r="AC21" s="1964"/>
      <c r="AD21" s="1964"/>
      <c r="AE21" s="1964"/>
      <c r="AF21" s="1964"/>
      <c r="AG21" s="1964"/>
      <c r="AH21" s="1964"/>
      <c r="AI21" s="1964"/>
      <c r="AJ21" s="1964"/>
      <c r="AK21" s="1964"/>
      <c r="AL21" s="1964"/>
      <c r="AM21" s="1964"/>
    </row>
    <row r="22" spans="1:83" ht="14.25">
      <c r="A22" s="219" t="s">
        <v>266</v>
      </c>
      <c r="B22" s="222">
        <f>B19+B20</f>
        <v>4</v>
      </c>
      <c r="C22" s="1967"/>
      <c r="D22" s="1968"/>
      <c r="E22" s="1967"/>
      <c r="F22" s="1967"/>
      <c r="G22" s="1967"/>
      <c r="H22" s="1967"/>
      <c r="I22" s="1967"/>
      <c r="J22" s="1967"/>
      <c r="K22" s="1966"/>
      <c r="L22" s="1966"/>
      <c r="M22" s="1964"/>
      <c r="N22" s="1964"/>
      <c r="O22" s="1964"/>
      <c r="P22" s="1964"/>
      <c r="Q22" s="1964"/>
      <c r="R22" s="1964"/>
      <c r="S22" s="1964"/>
      <c r="T22" s="1964"/>
      <c r="U22" s="1964"/>
      <c r="V22" s="1964"/>
      <c r="W22" s="1964"/>
      <c r="X22" s="1964"/>
      <c r="Y22" s="1964"/>
      <c r="Z22" s="1964"/>
      <c r="AA22" s="1964"/>
      <c r="AB22" s="1964"/>
      <c r="AC22" s="1964"/>
      <c r="AD22" s="1964"/>
      <c r="AE22" s="1964"/>
      <c r="AF22" s="1964"/>
      <c r="AG22" s="1964"/>
      <c r="AH22" s="1964"/>
      <c r="AI22" s="1964"/>
      <c r="AJ22" s="1964"/>
      <c r="AK22" s="1964"/>
      <c r="AL22" s="1964"/>
      <c r="AM22" s="1964"/>
    </row>
    <row r="23" spans="1:83" ht="14.25">
      <c r="A23" s="221" t="s">
        <v>267</v>
      </c>
      <c r="B23" s="222">
        <f>B19+B21</f>
        <v>2</v>
      </c>
      <c r="C23" s="1967"/>
      <c r="D23" s="1968"/>
      <c r="E23" s="1967"/>
      <c r="F23" s="1967"/>
      <c r="G23" s="1967"/>
      <c r="H23" s="1967"/>
      <c r="I23" s="1967"/>
      <c r="J23" s="1967"/>
      <c r="K23" s="1966"/>
      <c r="L23" s="1966"/>
      <c r="M23" s="1964"/>
      <c r="N23" s="1964"/>
      <c r="O23" s="1964"/>
      <c r="P23" s="1964"/>
      <c r="Q23" s="1964"/>
      <c r="R23" s="1964"/>
      <c r="S23" s="1964"/>
      <c r="T23" s="1964"/>
      <c r="U23" s="1964"/>
      <c r="V23" s="1964"/>
      <c r="W23" s="1964"/>
      <c r="X23" s="1964"/>
      <c r="Y23" s="1964"/>
      <c r="Z23" s="1964"/>
      <c r="AA23" s="1964"/>
      <c r="AB23" s="1964"/>
      <c r="AC23" s="1964"/>
      <c r="AD23" s="1964"/>
      <c r="AE23" s="1964"/>
      <c r="AF23" s="1964"/>
      <c r="AG23" s="1964"/>
      <c r="AH23" s="1964"/>
      <c r="AI23" s="1964"/>
      <c r="AJ23" s="1964"/>
      <c r="AK23" s="1964"/>
      <c r="AL23" s="1964"/>
      <c r="AM23" s="1964"/>
    </row>
    <row r="24" spans="1:83" ht="15" thickBot="1">
      <c r="A24" s="223" t="s">
        <v>268</v>
      </c>
      <c r="B24" s="224">
        <f>B20-B21</f>
        <v>2</v>
      </c>
      <c r="C24" s="1967"/>
      <c r="D24" s="1968"/>
      <c r="E24" s="1967"/>
      <c r="F24" s="1967"/>
      <c r="G24" s="1967"/>
      <c r="H24" s="1967"/>
      <c r="I24" s="1967"/>
      <c r="J24" s="1967"/>
      <c r="K24" s="1966"/>
      <c r="L24" s="1966"/>
      <c r="M24" s="1964"/>
      <c r="N24" s="1964"/>
      <c r="O24" s="1964"/>
      <c r="P24" s="1964"/>
      <c r="Q24" s="1964"/>
      <c r="R24" s="1964"/>
      <c r="S24" s="1964"/>
      <c r="T24" s="1964"/>
      <c r="U24" s="1964"/>
      <c r="V24" s="1964"/>
      <c r="W24" s="1964"/>
      <c r="X24" s="1964"/>
      <c r="Y24" s="1964"/>
      <c r="Z24" s="1964"/>
      <c r="AA24" s="1964"/>
      <c r="AB24" s="1964"/>
      <c r="AC24" s="1964"/>
      <c r="AD24" s="1964"/>
      <c r="AE24" s="1964"/>
      <c r="AF24" s="1964"/>
      <c r="AG24" s="1964"/>
      <c r="AH24" s="1964"/>
      <c r="AI24" s="1964"/>
      <c r="AJ24" s="1964"/>
      <c r="AK24" s="1964"/>
      <c r="AL24" s="1964"/>
      <c r="AM24" s="1964"/>
    </row>
    <row r="25" spans="1:83" ht="15" thickBot="1">
      <c r="A25" s="1193"/>
      <c r="B25" s="1191"/>
      <c r="C25" s="1967"/>
      <c r="D25" s="1968"/>
      <c r="E25" s="1967"/>
      <c r="F25" s="1967"/>
      <c r="G25" s="1967"/>
      <c r="H25" s="1967"/>
      <c r="I25" s="1967"/>
      <c r="J25" s="1967"/>
      <c r="K25" s="1966"/>
      <c r="L25" s="1966"/>
      <c r="M25" s="1964"/>
      <c r="N25" s="1964"/>
      <c r="O25" s="1964"/>
      <c r="P25" s="1964"/>
      <c r="Q25" s="1964"/>
      <c r="R25" s="1964"/>
      <c r="S25" s="1964"/>
      <c r="T25" s="1964"/>
      <c r="U25" s="1964"/>
      <c r="V25" s="1964"/>
      <c r="W25" s="1964"/>
      <c r="X25" s="1964"/>
      <c r="Y25" s="1964"/>
      <c r="Z25" s="1964"/>
      <c r="AA25" s="1964"/>
      <c r="AB25" s="1964"/>
      <c r="AC25" s="1964"/>
      <c r="AD25" s="1964"/>
      <c r="AE25" s="1964"/>
      <c r="AF25" s="1964"/>
      <c r="AG25" s="1964"/>
      <c r="AH25" s="1964"/>
      <c r="AI25" s="1964"/>
      <c r="AJ25" s="1964"/>
      <c r="AK25" s="1964"/>
      <c r="AL25" s="1964"/>
      <c r="AM25" s="1964"/>
    </row>
    <row r="26" spans="1:83" ht="15" thickBot="1">
      <c r="A26" s="149" t="s">
        <v>269</v>
      </c>
      <c r="B26" s="225" t="s">
        <v>270</v>
      </c>
      <c r="C26" s="1970" t="s">
        <v>271</v>
      </c>
      <c r="D26" s="1968"/>
      <c r="E26" s="1967"/>
      <c r="F26" s="1967"/>
      <c r="G26" s="1967"/>
      <c r="H26" s="1967"/>
      <c r="I26" s="1967"/>
      <c r="J26" s="1967"/>
      <c r="K26" s="1966"/>
      <c r="L26" s="1966"/>
      <c r="M26" s="1964"/>
      <c r="N26" s="1964"/>
      <c r="O26" s="1964"/>
      <c r="P26" s="1964"/>
      <c r="Q26" s="1964"/>
      <c r="R26" s="1964"/>
      <c r="S26" s="1964"/>
      <c r="T26" s="1964"/>
      <c r="U26" s="1964"/>
      <c r="V26" s="1964"/>
      <c r="W26" s="1964"/>
      <c r="X26" s="1964"/>
      <c r="Y26" s="1964"/>
      <c r="Z26" s="1964"/>
      <c r="AA26" s="1964"/>
      <c r="AB26" s="1964"/>
      <c r="AC26" s="1964"/>
      <c r="AD26" s="1964"/>
      <c r="AE26" s="1964"/>
      <c r="AF26" s="1964"/>
      <c r="AG26" s="1964"/>
      <c r="AH26" s="1964"/>
      <c r="AI26" s="1964"/>
      <c r="AJ26" s="1964"/>
      <c r="AK26" s="1964"/>
      <c r="AL26" s="1964"/>
      <c r="AM26" s="1964"/>
    </row>
    <row r="27" spans="1:83" s="1201" customFormat="1" ht="27.75">
      <c r="A27" s="226" t="s">
        <v>2313</v>
      </c>
      <c r="B27" s="227">
        <v>160</v>
      </c>
      <c r="C27" s="2306" t="s">
        <v>2317</v>
      </c>
      <c r="D27" s="1971"/>
      <c r="E27" s="1969"/>
      <c r="F27" s="1969"/>
      <c r="G27" s="1967"/>
      <c r="H27" s="1967"/>
      <c r="I27" s="1967"/>
      <c r="J27" s="1967"/>
      <c r="K27" s="1966"/>
      <c r="L27" s="1966"/>
      <c r="M27" s="1964"/>
      <c r="N27" s="1964"/>
      <c r="O27" s="1964"/>
      <c r="P27" s="1964"/>
      <c r="Q27" s="1964"/>
      <c r="R27" s="1964"/>
      <c r="S27" s="1964"/>
      <c r="T27" s="1964"/>
      <c r="U27" s="1964"/>
      <c r="V27" s="1964"/>
      <c r="W27" s="1964"/>
      <c r="X27" s="1964"/>
      <c r="Y27" s="1964"/>
      <c r="Z27" s="1964"/>
      <c r="AA27" s="1964"/>
      <c r="AB27" s="1964"/>
      <c r="AC27" s="1964"/>
      <c r="AD27" s="1964"/>
      <c r="AE27" s="1964"/>
      <c r="AF27" s="1964"/>
      <c r="AG27" s="1964"/>
      <c r="AH27" s="1964"/>
      <c r="AI27" s="1964"/>
      <c r="AJ27" s="1964"/>
      <c r="AK27" s="1964"/>
      <c r="AL27" s="1964"/>
      <c r="AM27" s="1964"/>
      <c r="AN27" s="1972"/>
      <c r="AO27" s="1972"/>
      <c r="AP27" s="1972"/>
      <c r="AQ27" s="1972"/>
      <c r="AR27" s="1972"/>
      <c r="AS27" s="1972"/>
      <c r="AT27" s="1972"/>
      <c r="AU27" s="1972"/>
      <c r="AV27" s="1972"/>
      <c r="AW27" s="1972"/>
      <c r="AX27" s="1972"/>
      <c r="AY27" s="1972"/>
      <c r="AZ27" s="1972"/>
      <c r="BA27" s="1972"/>
      <c r="BB27" s="1972"/>
      <c r="BC27" s="1972"/>
      <c r="BD27" s="1972"/>
      <c r="BE27" s="1972"/>
      <c r="BF27" s="1972"/>
      <c r="BG27" s="1972"/>
      <c r="BH27" s="1972"/>
      <c r="BI27" s="1972"/>
      <c r="BJ27" s="1972"/>
      <c r="BK27" s="1972"/>
      <c r="BL27" s="1972"/>
      <c r="BM27" s="1972"/>
      <c r="BN27" s="1972"/>
      <c r="BO27" s="1972"/>
      <c r="BP27" s="1972"/>
      <c r="BQ27" s="1972"/>
      <c r="BR27" s="1972"/>
      <c r="BS27" s="1972"/>
      <c r="BT27" s="1972"/>
      <c r="BU27" s="1972"/>
      <c r="BV27" s="1972"/>
      <c r="BW27" s="1972"/>
      <c r="BX27" s="1972"/>
      <c r="BY27" s="1972"/>
      <c r="BZ27" s="1972"/>
      <c r="CA27" s="1972"/>
      <c r="CB27" s="1972"/>
      <c r="CC27" s="1972"/>
      <c r="CD27" s="1972"/>
      <c r="CE27" s="1972"/>
    </row>
    <row r="28" spans="1:83" s="1201" customFormat="1" ht="27.75">
      <c r="A28" s="228" t="s">
        <v>2314</v>
      </c>
      <c r="B28" s="229">
        <v>200</v>
      </c>
      <c r="C28" s="2305"/>
      <c r="D28" s="1971"/>
      <c r="E28" s="1969"/>
      <c r="F28" s="1969"/>
      <c r="G28" s="1967"/>
      <c r="H28" s="1967"/>
      <c r="I28" s="1967"/>
      <c r="J28" s="1967"/>
      <c r="K28" s="1966"/>
      <c r="L28" s="1966"/>
      <c r="M28" s="1964"/>
      <c r="N28" s="1964"/>
      <c r="O28" s="1964"/>
      <c r="P28" s="1964"/>
      <c r="Q28" s="1964"/>
      <c r="R28" s="1964"/>
      <c r="S28" s="1964"/>
      <c r="T28" s="1964"/>
      <c r="U28" s="1964"/>
      <c r="V28" s="1964"/>
      <c r="W28" s="1964"/>
      <c r="X28" s="1964"/>
      <c r="Y28" s="1964"/>
      <c r="Z28" s="1964"/>
      <c r="AA28" s="1964"/>
      <c r="AB28" s="1964"/>
      <c r="AC28" s="1964"/>
      <c r="AD28" s="1964"/>
      <c r="AE28" s="1964"/>
      <c r="AF28" s="1964"/>
      <c r="AG28" s="1964"/>
      <c r="AH28" s="1964"/>
      <c r="AI28" s="1964"/>
      <c r="AJ28" s="1964"/>
      <c r="AK28" s="1964"/>
      <c r="AL28" s="1964"/>
      <c r="AM28" s="1964"/>
      <c r="AN28" s="1972"/>
      <c r="AO28" s="1972"/>
      <c r="AP28" s="1972"/>
      <c r="AQ28" s="1972"/>
      <c r="AR28" s="1972"/>
      <c r="AS28" s="1972"/>
      <c r="AT28" s="1972"/>
      <c r="AU28" s="1972"/>
      <c r="AV28" s="1972"/>
      <c r="AW28" s="1972"/>
      <c r="AX28" s="1972"/>
      <c r="AY28" s="1972"/>
      <c r="AZ28" s="1972"/>
      <c r="BA28" s="1972"/>
      <c r="BB28" s="1972"/>
      <c r="BC28" s="1972"/>
      <c r="BD28" s="1972"/>
      <c r="BE28" s="1972"/>
      <c r="BF28" s="1972"/>
      <c r="BG28" s="1972"/>
      <c r="BH28" s="1972"/>
      <c r="BI28" s="1972"/>
      <c r="BJ28" s="1972"/>
      <c r="BK28" s="1972"/>
      <c r="BL28" s="1972"/>
      <c r="BM28" s="1972"/>
      <c r="BN28" s="1972"/>
      <c r="BO28" s="1972"/>
      <c r="BP28" s="1972"/>
      <c r="BQ28" s="1972"/>
      <c r="BR28" s="1972"/>
      <c r="BS28" s="1972"/>
      <c r="BT28" s="1972"/>
      <c r="BU28" s="1972"/>
      <c r="BV28" s="1972"/>
      <c r="BW28" s="1972"/>
      <c r="BX28" s="1972"/>
      <c r="BY28" s="1972"/>
      <c r="BZ28" s="1972"/>
      <c r="CA28" s="1972"/>
      <c r="CB28" s="1972"/>
      <c r="CC28" s="1972"/>
      <c r="CD28" s="1972"/>
      <c r="CE28" s="1972"/>
    </row>
    <row r="29" spans="1:83" s="1201" customFormat="1" ht="28.5" thickBot="1">
      <c r="A29" s="231" t="s">
        <v>2312</v>
      </c>
      <c r="B29" s="232">
        <v>0</v>
      </c>
      <c r="C29" s="1529" t="s">
        <v>2315</v>
      </c>
      <c r="D29" s="1971"/>
      <c r="E29" s="1969"/>
      <c r="F29" s="1969"/>
      <c r="G29" s="1967"/>
      <c r="H29" s="1967"/>
      <c r="I29" s="1967"/>
      <c r="J29" s="1967"/>
      <c r="K29" s="1966"/>
      <c r="L29" s="1966"/>
      <c r="M29" s="1964"/>
      <c r="N29" s="1964"/>
      <c r="O29" s="1964"/>
      <c r="P29" s="1964"/>
      <c r="Q29" s="1964"/>
      <c r="R29" s="1964"/>
      <c r="S29" s="1964"/>
      <c r="T29" s="1964"/>
      <c r="U29" s="1964"/>
      <c r="V29" s="1964"/>
      <c r="W29" s="1964"/>
      <c r="X29" s="1964"/>
      <c r="Y29" s="1964"/>
      <c r="Z29" s="1964"/>
      <c r="AA29" s="1964"/>
      <c r="AB29" s="1964"/>
      <c r="AC29" s="1964"/>
      <c r="AD29" s="1964"/>
      <c r="AE29" s="1964"/>
      <c r="AF29" s="1964"/>
      <c r="AG29" s="1964"/>
      <c r="AH29" s="1964"/>
      <c r="AI29" s="1964"/>
      <c r="AJ29" s="1964"/>
      <c r="AK29" s="1964"/>
      <c r="AL29" s="1964"/>
      <c r="AM29" s="1964"/>
      <c r="AN29" s="1972"/>
      <c r="AO29" s="1972"/>
      <c r="AP29" s="1972"/>
      <c r="AQ29" s="1972"/>
      <c r="AR29" s="1972"/>
      <c r="AS29" s="1972"/>
      <c r="AT29" s="1972"/>
      <c r="AU29" s="1972"/>
      <c r="AV29" s="1972"/>
      <c r="AW29" s="1972"/>
      <c r="AX29" s="1972"/>
      <c r="AY29" s="1972"/>
      <c r="AZ29" s="1972"/>
      <c r="BA29" s="1972"/>
      <c r="BB29" s="1972"/>
      <c r="BC29" s="1972"/>
      <c r="BD29" s="1972"/>
      <c r="BE29" s="1972"/>
      <c r="BF29" s="1972"/>
      <c r="BG29" s="1972"/>
      <c r="BH29" s="1972"/>
      <c r="BI29" s="1972"/>
      <c r="BJ29" s="1972"/>
      <c r="BK29" s="1972"/>
      <c r="BL29" s="1972"/>
      <c r="BM29" s="1972"/>
      <c r="BN29" s="1972"/>
      <c r="BO29" s="1972"/>
      <c r="BP29" s="1972"/>
      <c r="BQ29" s="1972"/>
      <c r="BR29" s="1972"/>
      <c r="BS29" s="1972"/>
      <c r="BT29" s="1972"/>
      <c r="BU29" s="1972"/>
      <c r="BV29" s="1972"/>
      <c r="BW29" s="1972"/>
      <c r="BX29" s="1972"/>
      <c r="BY29" s="1972"/>
      <c r="BZ29" s="1972"/>
      <c r="CA29" s="1972"/>
      <c r="CB29" s="1972"/>
      <c r="CC29" s="1972"/>
      <c r="CD29" s="1972"/>
      <c r="CE29" s="1972"/>
    </row>
    <row r="30" spans="1:83" s="1201" customFormat="1" ht="27">
      <c r="A30" s="235" t="s">
        <v>272</v>
      </c>
      <c r="B30" s="969">
        <v>200</v>
      </c>
      <c r="C30" s="2305"/>
      <c r="D30" s="1971"/>
      <c r="E30" s="1969"/>
      <c r="F30" s="1969"/>
      <c r="G30" s="1967"/>
      <c r="H30" s="1967"/>
      <c r="I30" s="1967"/>
      <c r="J30" s="1967"/>
      <c r="K30" s="1966"/>
      <c r="L30" s="1966"/>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c r="AN30" s="1972"/>
      <c r="AO30" s="1972"/>
      <c r="AP30" s="1972"/>
      <c r="AQ30" s="1972"/>
      <c r="AR30" s="1972"/>
      <c r="AS30" s="1972"/>
      <c r="AT30" s="1972"/>
      <c r="AU30" s="1972"/>
      <c r="AV30" s="1972"/>
      <c r="AW30" s="1972"/>
      <c r="AX30" s="1972"/>
      <c r="AY30" s="1972"/>
      <c r="AZ30" s="1972"/>
      <c r="BA30" s="1972"/>
      <c r="BB30" s="1972"/>
      <c r="BC30" s="1972"/>
      <c r="BD30" s="1972"/>
      <c r="BE30" s="1972"/>
      <c r="BF30" s="1972"/>
      <c r="BG30" s="1972"/>
      <c r="BH30" s="1972"/>
      <c r="BI30" s="1972"/>
      <c r="BJ30" s="1972"/>
      <c r="BK30" s="1972"/>
      <c r="BL30" s="1972"/>
      <c r="BM30" s="1972"/>
      <c r="BN30" s="1972"/>
      <c r="BO30" s="1972"/>
      <c r="BP30" s="1972"/>
      <c r="BQ30" s="1972"/>
      <c r="BR30" s="1972"/>
      <c r="BS30" s="1972"/>
      <c r="BT30" s="1972"/>
      <c r="BU30" s="1972"/>
      <c r="BV30" s="1972"/>
      <c r="BW30" s="1972"/>
      <c r="BX30" s="1972"/>
      <c r="BY30" s="1972"/>
      <c r="BZ30" s="1972"/>
      <c r="CA30" s="1972"/>
      <c r="CB30" s="1972"/>
      <c r="CC30" s="1972"/>
      <c r="CD30" s="1972"/>
      <c r="CE30" s="1972"/>
    </row>
    <row r="31" spans="1:83" s="1201" customFormat="1" ht="27">
      <c r="A31" s="228" t="s">
        <v>273</v>
      </c>
      <c r="B31" s="230">
        <f>B30-B32</f>
        <v>200</v>
      </c>
      <c r="C31" s="2306"/>
      <c r="D31" s="1971"/>
      <c r="E31" s="1969"/>
      <c r="F31" s="1969"/>
      <c r="G31" s="1967"/>
      <c r="H31" s="1967"/>
      <c r="I31" s="1967"/>
      <c r="J31" s="1967"/>
      <c r="K31" s="1966"/>
      <c r="L31" s="1966"/>
      <c r="M31" s="1964"/>
      <c r="N31" s="1964"/>
      <c r="O31" s="1964"/>
      <c r="P31" s="1964"/>
      <c r="Q31" s="1964"/>
      <c r="R31" s="1964"/>
      <c r="S31" s="1964"/>
      <c r="T31" s="1964"/>
      <c r="U31" s="1964"/>
      <c r="V31" s="1964"/>
      <c r="W31" s="1964"/>
      <c r="X31" s="1964"/>
      <c r="Y31" s="1964"/>
      <c r="Z31" s="1964"/>
      <c r="AA31" s="1964"/>
      <c r="AB31" s="1964"/>
      <c r="AC31" s="1964"/>
      <c r="AD31" s="1964"/>
      <c r="AE31" s="1964"/>
      <c r="AF31" s="1964"/>
      <c r="AG31" s="1964"/>
      <c r="AH31" s="1964"/>
      <c r="AI31" s="1964"/>
      <c r="AJ31" s="1964"/>
      <c r="AK31" s="1964"/>
      <c r="AL31" s="1964"/>
      <c r="AM31" s="1964"/>
      <c r="AN31" s="1972"/>
      <c r="AO31" s="1972"/>
      <c r="AP31" s="1972"/>
      <c r="AQ31" s="1972"/>
      <c r="AR31" s="1972"/>
      <c r="AS31" s="1972"/>
      <c r="AT31" s="1972"/>
      <c r="AU31" s="1972"/>
      <c r="AV31" s="1972"/>
      <c r="AW31" s="1972"/>
      <c r="AX31" s="1972"/>
      <c r="AY31" s="1972"/>
      <c r="AZ31" s="1972"/>
      <c r="BA31" s="1972"/>
      <c r="BB31" s="1972"/>
      <c r="BC31" s="1972"/>
      <c r="BD31" s="1972"/>
      <c r="BE31" s="1972"/>
      <c r="BF31" s="1972"/>
      <c r="BG31" s="1972"/>
      <c r="BH31" s="1972"/>
      <c r="BI31" s="1972"/>
      <c r="BJ31" s="1972"/>
      <c r="BK31" s="1972"/>
      <c r="BL31" s="1972"/>
      <c r="BM31" s="1972"/>
      <c r="BN31" s="1972"/>
      <c r="BO31" s="1972"/>
      <c r="BP31" s="1972"/>
      <c r="BQ31" s="1972"/>
      <c r="BR31" s="1972"/>
      <c r="BS31" s="1972"/>
      <c r="BT31" s="1972"/>
      <c r="BU31" s="1972"/>
      <c r="BV31" s="1972"/>
      <c r="BW31" s="1972"/>
      <c r="BX31" s="1972"/>
      <c r="BY31" s="1972"/>
      <c r="BZ31" s="1972"/>
      <c r="CA31" s="1972"/>
      <c r="CB31" s="1972"/>
      <c r="CC31" s="1972"/>
      <c r="CD31" s="1972"/>
      <c r="CE31" s="1972"/>
    </row>
    <row r="32" spans="1:83" s="1201" customFormat="1" ht="27.75" thickBot="1">
      <c r="A32" s="237" t="s">
        <v>274</v>
      </c>
      <c r="B32" s="1364">
        <v>0</v>
      </c>
      <c r="C32" s="2305"/>
      <c r="D32" s="1968"/>
      <c r="E32" s="1967"/>
      <c r="F32" s="1967"/>
      <c r="G32" s="1967"/>
      <c r="H32" s="1967"/>
      <c r="I32" s="1967"/>
      <c r="J32" s="1967"/>
      <c r="K32" s="1966"/>
      <c r="L32" s="1966"/>
      <c r="M32" s="1964"/>
      <c r="N32" s="1964"/>
      <c r="O32" s="1964"/>
      <c r="P32" s="1964"/>
      <c r="Q32" s="1964"/>
      <c r="R32" s="1964"/>
      <c r="S32" s="1964"/>
      <c r="T32" s="1964"/>
      <c r="U32" s="1964"/>
      <c r="V32" s="1964"/>
      <c r="W32" s="1964"/>
      <c r="X32" s="1964"/>
      <c r="Y32" s="1964"/>
      <c r="Z32" s="1964"/>
      <c r="AA32" s="1964"/>
      <c r="AB32" s="1964"/>
      <c r="AC32" s="1964"/>
      <c r="AD32" s="1964"/>
      <c r="AE32" s="1964"/>
      <c r="AF32" s="1964"/>
      <c r="AG32" s="1964"/>
      <c r="AH32" s="1964"/>
      <c r="AI32" s="1964"/>
      <c r="AJ32" s="1964"/>
      <c r="AK32" s="1964"/>
      <c r="AL32" s="1964"/>
      <c r="AM32" s="1964"/>
      <c r="AN32" s="1972"/>
      <c r="AO32" s="1972"/>
      <c r="AP32" s="1972"/>
      <c r="AQ32" s="1972"/>
      <c r="AR32" s="1972"/>
      <c r="AS32" s="1972"/>
      <c r="AT32" s="1972"/>
      <c r="AU32" s="1972"/>
      <c r="AV32" s="1972"/>
      <c r="AW32" s="1972"/>
      <c r="AX32" s="1972"/>
      <c r="AY32" s="1972"/>
      <c r="AZ32" s="1972"/>
      <c r="BA32" s="1972"/>
      <c r="BB32" s="1972"/>
      <c r="BC32" s="1972"/>
      <c r="BD32" s="1972"/>
      <c r="BE32" s="1972"/>
      <c r="BF32" s="1972"/>
      <c r="BG32" s="1972"/>
      <c r="BH32" s="1972"/>
      <c r="BI32" s="1972"/>
      <c r="BJ32" s="1972"/>
      <c r="BK32" s="1972"/>
      <c r="BL32" s="1972"/>
      <c r="BM32" s="1972"/>
      <c r="BN32" s="1972"/>
      <c r="BO32" s="1972"/>
      <c r="BP32" s="1972"/>
      <c r="BQ32" s="1972"/>
      <c r="BR32" s="1972"/>
      <c r="BS32" s="1972"/>
      <c r="BT32" s="1972"/>
      <c r="BU32" s="1972"/>
      <c r="BV32" s="1972"/>
      <c r="BW32" s="1972"/>
      <c r="BX32" s="1972"/>
      <c r="BY32" s="1972"/>
      <c r="BZ32" s="1972"/>
      <c r="CA32" s="1972"/>
      <c r="CB32" s="1972"/>
      <c r="CC32" s="1972"/>
      <c r="CD32" s="1972"/>
      <c r="CE32" s="1972"/>
    </row>
    <row r="33" spans="1:83" s="1201" customFormat="1" ht="14.25">
      <c r="A33" s="226" t="s">
        <v>277</v>
      </c>
      <c r="B33" s="1365">
        <v>0.05</v>
      </c>
      <c r="C33" s="2304" t="s">
        <v>2868</v>
      </c>
      <c r="D33" s="1971"/>
      <c r="E33" s="1969"/>
      <c r="F33" s="1969"/>
      <c r="G33" s="1967"/>
      <c r="H33" s="1967"/>
      <c r="I33" s="1967"/>
      <c r="J33" s="1967"/>
      <c r="K33" s="1966"/>
      <c r="L33" s="1966"/>
      <c r="M33" s="1964"/>
      <c r="N33" s="1964"/>
      <c r="O33" s="1964"/>
      <c r="P33" s="1964"/>
      <c r="Q33" s="1964"/>
      <c r="R33" s="1964"/>
      <c r="S33" s="1964"/>
      <c r="T33" s="1964"/>
      <c r="U33" s="1964"/>
      <c r="V33" s="1964"/>
      <c r="W33" s="1964"/>
      <c r="X33" s="1964"/>
      <c r="Y33" s="1964"/>
      <c r="Z33" s="1964"/>
      <c r="AA33" s="1964"/>
      <c r="AB33" s="1964"/>
      <c r="AC33" s="1964"/>
      <c r="AD33" s="1964"/>
      <c r="AE33" s="1964"/>
      <c r="AF33" s="1964"/>
      <c r="AG33" s="1964"/>
      <c r="AH33" s="1964"/>
      <c r="AI33" s="1964"/>
      <c r="AJ33" s="1964"/>
      <c r="AK33" s="1964"/>
      <c r="AL33" s="1964"/>
      <c r="AM33" s="1964"/>
      <c r="AN33" s="1972"/>
      <c r="AO33" s="1972"/>
      <c r="AP33" s="1972"/>
      <c r="AQ33" s="1972"/>
      <c r="AR33" s="1972"/>
      <c r="AS33" s="1972"/>
      <c r="AT33" s="1972"/>
      <c r="AU33" s="1972"/>
      <c r="AV33" s="1972"/>
      <c r="AW33" s="1972"/>
      <c r="AX33" s="1972"/>
      <c r="AY33" s="1972"/>
      <c r="AZ33" s="1972"/>
      <c r="BA33" s="1972"/>
      <c r="BB33" s="1972"/>
      <c r="BC33" s="1972"/>
      <c r="BD33" s="1972"/>
      <c r="BE33" s="1972"/>
      <c r="BF33" s="1972"/>
      <c r="BG33" s="1972"/>
      <c r="BH33" s="1972"/>
      <c r="BI33" s="1972"/>
      <c r="BJ33" s="1972"/>
      <c r="BK33" s="1972"/>
      <c r="BL33" s="1972"/>
      <c r="BM33" s="1972"/>
      <c r="BN33" s="1972"/>
      <c r="BO33" s="1972"/>
      <c r="BP33" s="1972"/>
      <c r="BQ33" s="1972"/>
      <c r="BR33" s="1972"/>
      <c r="BS33" s="1972"/>
      <c r="BT33" s="1972"/>
      <c r="BU33" s="1972"/>
      <c r="BV33" s="1972"/>
      <c r="BW33" s="1972"/>
      <c r="BX33" s="1972"/>
      <c r="BY33" s="1972"/>
      <c r="BZ33" s="1972"/>
      <c r="CA33" s="1972"/>
      <c r="CB33" s="1972"/>
      <c r="CC33" s="1972"/>
      <c r="CD33" s="1972"/>
      <c r="CE33" s="1972"/>
    </row>
    <row r="34" spans="1:83" ht="14.25">
      <c r="A34" s="228" t="s">
        <v>278</v>
      </c>
      <c r="B34" s="233">
        <v>0</v>
      </c>
      <c r="C34" s="2304" t="s">
        <v>2869</v>
      </c>
      <c r="D34" s="1968" t="s">
        <v>849</v>
      </c>
      <c r="E34" s="1964"/>
      <c r="F34" s="1967"/>
      <c r="G34" s="1967"/>
      <c r="H34" s="1967"/>
      <c r="I34" s="1967"/>
      <c r="J34" s="1967"/>
      <c r="K34" s="1966"/>
      <c r="L34" s="1966"/>
      <c r="M34" s="1964"/>
      <c r="N34" s="1964"/>
      <c r="O34" s="1964"/>
      <c r="P34" s="1964"/>
      <c r="Q34" s="1964"/>
      <c r="R34" s="1964"/>
      <c r="S34" s="1964"/>
      <c r="T34" s="1964"/>
      <c r="U34" s="1964"/>
      <c r="V34" s="1964"/>
      <c r="W34" s="1964"/>
      <c r="X34" s="1964"/>
      <c r="Y34" s="1964"/>
      <c r="Z34" s="1964"/>
      <c r="AA34" s="1964"/>
      <c r="AB34" s="1964"/>
      <c r="AC34" s="1964"/>
      <c r="AD34" s="1964"/>
      <c r="AE34" s="1964"/>
      <c r="AF34" s="1964"/>
      <c r="AG34" s="1964"/>
      <c r="AH34" s="1964"/>
      <c r="AI34" s="1964"/>
      <c r="AJ34" s="1964"/>
      <c r="AK34" s="1964"/>
      <c r="AL34" s="1964"/>
      <c r="AM34" s="1964"/>
    </row>
    <row r="35" spans="1:83" ht="14.25">
      <c r="A35" s="228" t="s">
        <v>275</v>
      </c>
      <c r="B35" s="229">
        <v>350</v>
      </c>
      <c r="C35" s="2304" t="s">
        <v>2870</v>
      </c>
      <c r="D35" s="1968"/>
      <c r="E35" s="1967"/>
      <c r="F35" s="1967"/>
      <c r="G35" s="1967"/>
      <c r="H35" s="1967"/>
      <c r="I35" s="1967"/>
      <c r="J35" s="1967"/>
      <c r="K35" s="1966"/>
      <c r="L35" s="1966"/>
      <c r="M35" s="1964"/>
      <c r="N35" s="1964"/>
      <c r="O35" s="1964"/>
      <c r="P35" s="1964"/>
      <c r="Q35" s="1964"/>
      <c r="R35" s="1964"/>
      <c r="S35" s="1964"/>
      <c r="T35" s="1964"/>
      <c r="U35" s="1964"/>
      <c r="V35" s="1964"/>
      <c r="W35" s="1964"/>
      <c r="X35" s="1964"/>
      <c r="Y35" s="1964"/>
      <c r="Z35" s="1964"/>
      <c r="AA35" s="1964"/>
      <c r="AB35" s="1964"/>
      <c r="AC35" s="1964"/>
      <c r="AD35" s="1964"/>
      <c r="AE35" s="1964"/>
      <c r="AF35" s="1964"/>
      <c r="AG35" s="1964"/>
      <c r="AH35" s="1964"/>
      <c r="AI35" s="1964"/>
      <c r="AJ35" s="1964"/>
      <c r="AK35" s="1964"/>
      <c r="AL35" s="1964"/>
      <c r="AM35" s="1964"/>
    </row>
    <row r="36" spans="1:83" ht="15" thickBot="1">
      <c r="A36" s="231" t="s">
        <v>276</v>
      </c>
      <c r="B36" s="234">
        <v>1.4999999999999999E-2</v>
      </c>
      <c r="C36" s="2304" t="s">
        <v>2871</v>
      </c>
      <c r="D36" s="1965"/>
      <c r="E36" s="1189"/>
      <c r="F36" s="1967"/>
      <c r="G36" s="1967"/>
      <c r="H36" s="1967"/>
      <c r="I36" s="1967"/>
      <c r="J36" s="1967"/>
      <c r="K36" s="1966"/>
      <c r="L36" s="1966"/>
      <c r="M36" s="1964"/>
      <c r="N36" s="1964"/>
      <c r="O36" s="1964"/>
      <c r="P36" s="1964"/>
      <c r="Q36" s="1964"/>
      <c r="R36" s="1964"/>
      <c r="S36" s="1964"/>
      <c r="T36" s="1964"/>
      <c r="U36" s="1964"/>
      <c r="V36" s="1964"/>
      <c r="W36" s="1964"/>
      <c r="X36" s="1964"/>
      <c r="Y36" s="1964"/>
      <c r="Z36" s="1964"/>
      <c r="AA36" s="1964"/>
      <c r="AB36" s="1964"/>
      <c r="AC36" s="1964"/>
      <c r="AD36" s="1964"/>
      <c r="AE36" s="1964"/>
      <c r="AF36" s="1964"/>
      <c r="AG36" s="1964"/>
      <c r="AH36" s="1964"/>
      <c r="AI36" s="1964"/>
      <c r="AJ36" s="1964"/>
      <c r="AK36" s="1964"/>
      <c r="AL36" s="1964"/>
      <c r="AM36" s="1964"/>
    </row>
    <row r="37" spans="1:83" ht="14.25">
      <c r="A37" s="235" t="s">
        <v>279</v>
      </c>
      <c r="B37" s="236">
        <v>0.02</v>
      </c>
      <c r="C37" s="2304" t="s">
        <v>2872</v>
      </c>
      <c r="D37" s="1968"/>
      <c r="E37" s="1967"/>
      <c r="F37" s="1967"/>
      <c r="G37" s="1967"/>
      <c r="H37" s="1967"/>
      <c r="I37" s="1967"/>
      <c r="J37" s="1967"/>
      <c r="K37" s="1966"/>
      <c r="L37" s="1966"/>
      <c r="M37" s="1964"/>
      <c r="N37" s="1964"/>
      <c r="O37" s="1964"/>
      <c r="P37" s="1964"/>
      <c r="Q37" s="1964"/>
      <c r="R37" s="1964"/>
      <c r="S37" s="1964"/>
      <c r="T37" s="1964"/>
      <c r="U37" s="1964"/>
      <c r="V37" s="1964"/>
      <c r="W37" s="1964"/>
      <c r="X37" s="1964"/>
      <c r="Y37" s="1964"/>
      <c r="Z37" s="1964"/>
      <c r="AA37" s="1964"/>
      <c r="AB37" s="1964"/>
      <c r="AC37" s="1964"/>
      <c r="AD37" s="1964"/>
      <c r="AE37" s="1964"/>
      <c r="AF37" s="1964"/>
      <c r="AG37" s="1964"/>
      <c r="AH37" s="1964"/>
      <c r="AI37" s="1964"/>
      <c r="AJ37" s="1964"/>
      <c r="AK37" s="1964"/>
      <c r="AL37" s="1964"/>
      <c r="AM37" s="1964"/>
    </row>
    <row r="38" spans="1:83" ht="14.25">
      <c r="A38" s="228" t="s">
        <v>280</v>
      </c>
      <c r="B38" s="233">
        <v>0.02</v>
      </c>
      <c r="C38" s="2304" t="s">
        <v>2872</v>
      </c>
      <c r="D38" s="1968"/>
      <c r="E38" s="1967"/>
      <c r="F38" s="1967"/>
      <c r="G38" s="1967"/>
      <c r="H38" s="1967"/>
      <c r="I38" s="1967"/>
      <c r="J38" s="1967"/>
      <c r="K38" s="1966"/>
      <c r="L38" s="1966"/>
      <c r="M38" s="1964"/>
      <c r="N38" s="1964"/>
      <c r="O38" s="1964"/>
      <c r="P38" s="1964"/>
      <c r="Q38" s="1964"/>
      <c r="R38" s="1964"/>
      <c r="S38" s="1964"/>
      <c r="T38" s="1964"/>
      <c r="U38" s="1964"/>
      <c r="V38" s="1964"/>
      <c r="W38" s="1964"/>
      <c r="X38" s="1964"/>
      <c r="Y38" s="1964"/>
      <c r="Z38" s="1964"/>
      <c r="AA38" s="1964"/>
      <c r="AB38" s="1964"/>
      <c r="AC38" s="1964"/>
      <c r="AD38" s="1964"/>
      <c r="AE38" s="1964"/>
      <c r="AF38" s="1964"/>
      <c r="AG38" s="1964"/>
      <c r="AH38" s="1964"/>
      <c r="AI38" s="1964"/>
      <c r="AJ38" s="1964"/>
      <c r="AK38" s="1964"/>
      <c r="AL38" s="1964"/>
      <c r="AM38" s="1964"/>
    </row>
    <row r="39" spans="1:83" ht="14.25">
      <c r="A39" s="2427" t="s">
        <v>2431</v>
      </c>
      <c r="B39" s="800">
        <f ca="1">存贷款利率!C4</f>
        <v>1.4999999999999999E-2</v>
      </c>
      <c r="C39" s="2304"/>
      <c r="D39" s="1968"/>
      <c r="E39" s="1967"/>
      <c r="F39" s="1967"/>
      <c r="G39" s="1967"/>
      <c r="H39" s="1967"/>
      <c r="I39" s="1967"/>
      <c r="J39" s="1967"/>
      <c r="K39" s="1966"/>
      <c r="L39" s="1966"/>
      <c r="M39" s="1964"/>
      <c r="N39" s="1964"/>
      <c r="O39" s="1964"/>
      <c r="P39" s="1964"/>
      <c r="Q39" s="1964"/>
      <c r="R39" s="1964"/>
      <c r="S39" s="1964"/>
      <c r="T39" s="1964"/>
      <c r="U39" s="1964"/>
      <c r="V39" s="1964"/>
      <c r="W39" s="1964"/>
      <c r="X39" s="1964"/>
      <c r="Y39" s="1964"/>
      <c r="Z39" s="1964"/>
      <c r="AA39" s="1964"/>
      <c r="AB39" s="1964"/>
      <c r="AC39" s="1964"/>
      <c r="AD39" s="1964"/>
      <c r="AE39" s="1964"/>
      <c r="AF39" s="1964"/>
      <c r="AG39" s="1964"/>
      <c r="AH39" s="1964"/>
      <c r="AI39" s="1964"/>
      <c r="AJ39" s="1964"/>
      <c r="AK39" s="1964"/>
      <c r="AL39" s="1964"/>
      <c r="AM39" s="1964"/>
    </row>
    <row r="40" spans="1:83" ht="15" thickBot="1">
      <c r="A40" s="2427" t="s">
        <v>2432</v>
      </c>
      <c r="B40" s="2419">
        <f ca="1">存贷款利率!E2</f>
        <v>4.7500000000000001E-2</v>
      </c>
      <c r="C40" s="2304" t="s">
        <v>2316</v>
      </c>
      <c r="D40" s="1968"/>
      <c r="E40" s="1967"/>
      <c r="F40" s="1967"/>
      <c r="G40" s="1967"/>
      <c r="H40" s="1967"/>
      <c r="I40" s="1967"/>
      <c r="J40" s="1967"/>
      <c r="K40" s="1966"/>
      <c r="L40" s="1966"/>
      <c r="M40" s="1964"/>
      <c r="N40" s="1964"/>
      <c r="O40" s="1964"/>
      <c r="P40" s="1964"/>
      <c r="Q40" s="1964"/>
      <c r="R40" s="1964"/>
      <c r="S40" s="1964"/>
      <c r="T40" s="1964"/>
      <c r="U40" s="1964"/>
      <c r="V40" s="1964"/>
      <c r="W40" s="1964"/>
      <c r="X40" s="1964"/>
      <c r="Y40" s="1964"/>
      <c r="Z40" s="1964"/>
      <c r="AA40" s="1964"/>
      <c r="AB40" s="1964"/>
      <c r="AC40" s="1964"/>
      <c r="AD40" s="1964"/>
      <c r="AE40" s="1964"/>
      <c r="AF40" s="1964"/>
      <c r="AG40" s="1964"/>
      <c r="AH40" s="1964"/>
      <c r="AI40" s="1964"/>
      <c r="AJ40" s="1964"/>
      <c r="AK40" s="1964"/>
      <c r="AL40" s="1964"/>
      <c r="AM40" s="1964"/>
    </row>
    <row r="41" spans="1:83" ht="14.25">
      <c r="A41" s="226" t="s">
        <v>281</v>
      </c>
      <c r="B41" s="238">
        <f>B42+B43</f>
        <v>5.6000000000000001E-2</v>
      </c>
      <c r="C41" s="2306"/>
      <c r="D41" s="1968"/>
      <c r="E41" s="1967"/>
      <c r="F41" s="1967"/>
      <c r="G41" s="1967"/>
      <c r="H41" s="1967"/>
      <c r="I41" s="1967"/>
      <c r="J41" s="1967"/>
      <c r="K41" s="1966"/>
      <c r="L41" s="1966"/>
      <c r="M41" s="1964"/>
      <c r="N41" s="1964"/>
      <c r="O41" s="1964"/>
      <c r="P41" s="1964"/>
      <c r="Q41" s="1964"/>
      <c r="R41" s="1964"/>
      <c r="S41" s="1964"/>
      <c r="T41" s="1964"/>
      <c r="U41" s="1964"/>
      <c r="V41" s="1964"/>
      <c r="W41" s="1964"/>
      <c r="X41" s="1964"/>
      <c r="Y41" s="1964"/>
      <c r="Z41" s="1964"/>
      <c r="AA41" s="1964"/>
      <c r="AB41" s="1964"/>
      <c r="AC41" s="1964"/>
      <c r="AD41" s="1964"/>
      <c r="AE41" s="1964"/>
      <c r="AF41" s="1964"/>
      <c r="AG41" s="1964"/>
      <c r="AH41" s="1964"/>
      <c r="AI41" s="1964"/>
      <c r="AJ41" s="1964"/>
      <c r="AK41" s="1964"/>
      <c r="AL41" s="1964"/>
      <c r="AM41" s="1964"/>
    </row>
    <row r="42" spans="1:83" ht="14.25">
      <c r="A42" s="970" t="s">
        <v>282</v>
      </c>
      <c r="B42" s="240">
        <v>0.05</v>
      </c>
      <c r="C42" s="3026">
        <f>IF(B2&lt;DATE(2016,5,1),0,B42)</f>
        <v>0.05</v>
      </c>
      <c r="D42" s="1968"/>
      <c r="E42" s="1967"/>
      <c r="F42" s="1967"/>
      <c r="G42" s="1967"/>
      <c r="H42" s="1967"/>
      <c r="I42" s="1967"/>
      <c r="J42" s="1967"/>
      <c r="K42" s="1966"/>
      <c r="L42" s="1966"/>
      <c r="M42" s="1964"/>
      <c r="N42" s="1964"/>
      <c r="O42" s="1964"/>
      <c r="P42" s="1964"/>
      <c r="Q42" s="1964"/>
      <c r="R42" s="1964"/>
      <c r="S42" s="1964"/>
      <c r="T42" s="1964"/>
      <c r="U42" s="1964"/>
      <c r="V42" s="1964"/>
      <c r="W42" s="1964"/>
      <c r="X42" s="1964"/>
      <c r="Y42" s="1964"/>
      <c r="Z42" s="1964"/>
      <c r="AA42" s="1964"/>
      <c r="AB42" s="1964"/>
      <c r="AC42" s="1964"/>
      <c r="AD42" s="1964"/>
      <c r="AE42" s="1964"/>
      <c r="AF42" s="1964"/>
      <c r="AG42" s="1964"/>
      <c r="AH42" s="1964"/>
      <c r="AI42" s="1964"/>
      <c r="AJ42" s="1964"/>
      <c r="AK42" s="1964"/>
      <c r="AL42" s="1964"/>
      <c r="AM42" s="1964"/>
    </row>
    <row r="43" spans="1:83" ht="14.25">
      <c r="A43" s="970" t="s">
        <v>283</v>
      </c>
      <c r="B43" s="241">
        <f>B42*(B44+B45+B46)+B47</f>
        <v>6.000000000000001E-3</v>
      </c>
      <c r="C43" s="2306"/>
      <c r="D43" s="1968"/>
      <c r="E43" s="1967"/>
      <c r="F43" s="1967"/>
      <c r="G43" s="1967"/>
      <c r="H43" s="1967"/>
      <c r="I43" s="1967"/>
      <c r="J43" s="1967"/>
      <c r="K43" s="1966"/>
      <c r="L43" s="1966"/>
      <c r="M43" s="1964"/>
      <c r="N43" s="1964"/>
      <c r="O43" s="1964"/>
      <c r="P43" s="1964"/>
      <c r="Q43" s="1964"/>
      <c r="R43" s="1964"/>
      <c r="S43" s="1964"/>
      <c r="T43" s="1964"/>
      <c r="U43" s="1964"/>
      <c r="V43" s="1964"/>
      <c r="W43" s="1964"/>
      <c r="X43" s="1964"/>
      <c r="Y43" s="1964"/>
      <c r="Z43" s="1964"/>
      <c r="AA43" s="1964"/>
      <c r="AB43" s="1964"/>
      <c r="AC43" s="1964"/>
      <c r="AD43" s="1964"/>
      <c r="AE43" s="1964"/>
      <c r="AF43" s="1964"/>
      <c r="AG43" s="1964"/>
      <c r="AH43" s="1964"/>
      <c r="AI43" s="1964"/>
      <c r="AJ43" s="1964"/>
      <c r="AK43" s="1964"/>
      <c r="AL43" s="1964"/>
      <c r="AM43" s="1964"/>
    </row>
    <row r="44" spans="1:83" ht="14.25">
      <c r="A44" s="239" t="s">
        <v>284</v>
      </c>
      <c r="B44" s="242">
        <v>7.0000000000000007E-2</v>
      </c>
      <c r="C44" s="2304" t="s">
        <v>2873</v>
      </c>
      <c r="D44" s="1968"/>
      <c r="E44" s="1967"/>
      <c r="F44" s="1967"/>
      <c r="G44" s="1967"/>
      <c r="H44" s="1967"/>
      <c r="I44" s="1967"/>
      <c r="J44" s="1967"/>
      <c r="K44" s="1966"/>
      <c r="L44" s="1966"/>
      <c r="M44" s="1964"/>
      <c r="N44" s="1964"/>
      <c r="O44" s="1964"/>
      <c r="P44" s="1964"/>
      <c r="Q44" s="1964"/>
      <c r="R44" s="1964"/>
      <c r="S44" s="1964"/>
      <c r="T44" s="1964"/>
      <c r="U44" s="1964"/>
      <c r="V44" s="1964"/>
      <c r="W44" s="1964"/>
      <c r="X44" s="1964"/>
      <c r="Y44" s="1964"/>
      <c r="Z44" s="1964"/>
      <c r="AA44" s="1964"/>
      <c r="AB44" s="1964"/>
      <c r="AC44" s="1964"/>
      <c r="AD44" s="1964"/>
      <c r="AE44" s="1964"/>
      <c r="AF44" s="1964"/>
      <c r="AG44" s="1964"/>
      <c r="AH44" s="1964"/>
      <c r="AI44" s="1964"/>
      <c r="AJ44" s="1964"/>
      <c r="AK44" s="1964"/>
      <c r="AL44" s="1964"/>
      <c r="AM44" s="1964"/>
    </row>
    <row r="45" spans="1:83" ht="14.25">
      <c r="A45" s="239" t="s">
        <v>285</v>
      </c>
      <c r="B45" s="240">
        <v>0.03</v>
      </c>
      <c r="C45" s="2306" t="s">
        <v>2874</v>
      </c>
      <c r="D45" s="1968"/>
      <c r="E45" s="1967"/>
      <c r="F45" s="1967"/>
      <c r="G45" s="1967"/>
      <c r="H45" s="1967"/>
      <c r="I45" s="1967"/>
      <c r="J45" s="1967"/>
      <c r="K45" s="1966"/>
      <c r="L45" s="1966"/>
      <c r="M45" s="1964"/>
      <c r="N45" s="1964"/>
      <c r="O45" s="1964"/>
      <c r="P45" s="1964"/>
      <c r="Q45" s="1964"/>
      <c r="R45" s="1964"/>
      <c r="S45" s="1964"/>
      <c r="T45" s="1964"/>
      <c r="U45" s="1964"/>
      <c r="V45" s="1964"/>
      <c r="W45" s="1964"/>
      <c r="X45" s="1964"/>
      <c r="Y45" s="1964"/>
      <c r="Z45" s="1964"/>
      <c r="AA45" s="1964"/>
      <c r="AB45" s="1964"/>
      <c r="AC45" s="1964"/>
      <c r="AD45" s="1964"/>
      <c r="AE45" s="1964"/>
      <c r="AF45" s="1964"/>
      <c r="AG45" s="1964"/>
      <c r="AH45" s="1964"/>
      <c r="AI45" s="1964"/>
      <c r="AJ45" s="1964"/>
      <c r="AK45" s="1964"/>
      <c r="AL45" s="1964"/>
      <c r="AM45" s="1964"/>
    </row>
    <row r="46" spans="1:83" ht="14.25">
      <c r="A46" s="239" t="s">
        <v>286</v>
      </c>
      <c r="B46" s="240">
        <v>0.02</v>
      </c>
      <c r="C46" s="2306" t="s">
        <v>2875</v>
      </c>
      <c r="D46" s="1968"/>
      <c r="E46" s="1967"/>
      <c r="F46" s="1967"/>
      <c r="G46" s="1967"/>
      <c r="H46" s="1967"/>
      <c r="I46" s="1967"/>
      <c r="J46" s="1967"/>
      <c r="K46" s="1966"/>
      <c r="L46" s="1966"/>
      <c r="M46" s="1964"/>
      <c r="N46" s="1964"/>
      <c r="O46" s="1964"/>
      <c r="P46" s="1964"/>
      <c r="Q46" s="1964"/>
      <c r="R46" s="1964"/>
      <c r="S46" s="1964"/>
      <c r="T46" s="1964"/>
      <c r="U46" s="1964"/>
      <c r="V46" s="1964"/>
      <c r="W46" s="1964"/>
      <c r="X46" s="1964"/>
      <c r="Y46" s="1964"/>
      <c r="Z46" s="1964"/>
      <c r="AA46" s="1964"/>
      <c r="AB46" s="1964"/>
      <c r="AC46" s="1964"/>
      <c r="AD46" s="1964"/>
      <c r="AE46" s="1964"/>
      <c r="AF46" s="1964"/>
      <c r="AG46" s="1964"/>
      <c r="AH46" s="1964"/>
      <c r="AI46" s="1964"/>
      <c r="AJ46" s="1964"/>
      <c r="AK46" s="1964"/>
      <c r="AL46" s="1964"/>
      <c r="AM46" s="1964"/>
    </row>
    <row r="47" spans="1:83" ht="15" thickBot="1">
      <c r="A47" s="243" t="s">
        <v>287</v>
      </c>
      <c r="B47" s="244"/>
      <c r="C47" s="3000" t="s">
        <v>2876</v>
      </c>
      <c r="D47" s="1968"/>
      <c r="E47" s="1967"/>
      <c r="F47" s="1967"/>
      <c r="G47" s="1967"/>
      <c r="H47" s="1967"/>
      <c r="I47" s="1967"/>
      <c r="J47" s="1967"/>
      <c r="K47" s="1966"/>
      <c r="L47" s="1966"/>
      <c r="M47" s="1964"/>
      <c r="N47" s="1964"/>
      <c r="O47" s="1964"/>
      <c r="P47" s="1964"/>
      <c r="Q47" s="1964"/>
      <c r="R47" s="1964"/>
      <c r="S47" s="1964"/>
      <c r="T47" s="1964"/>
      <c r="U47" s="1964"/>
      <c r="V47" s="1964"/>
      <c r="W47" s="1964"/>
      <c r="X47" s="1964"/>
      <c r="Y47" s="1964"/>
      <c r="Z47" s="1964"/>
      <c r="AA47" s="1964"/>
      <c r="AB47" s="1964"/>
      <c r="AC47" s="1964"/>
      <c r="AD47" s="1964"/>
      <c r="AE47" s="1964"/>
      <c r="AF47" s="1964"/>
      <c r="AG47" s="1964"/>
      <c r="AH47" s="1964"/>
      <c r="AI47" s="1964"/>
      <c r="AJ47" s="1964"/>
      <c r="AK47" s="1964"/>
      <c r="AL47" s="1964"/>
      <c r="AM47" s="1964"/>
    </row>
    <row r="48" spans="1:83" ht="14.25">
      <c r="A48" s="245" t="s">
        <v>288</v>
      </c>
      <c r="B48" s="246">
        <v>0.03</v>
      </c>
      <c r="C48" s="3001" t="s">
        <v>2877</v>
      </c>
      <c r="D48" s="1968"/>
      <c r="E48" s="1967"/>
      <c r="F48" s="1967"/>
      <c r="G48" s="1967"/>
      <c r="H48" s="1967"/>
      <c r="I48" s="1967"/>
      <c r="J48" s="1967"/>
      <c r="K48" s="1966"/>
      <c r="L48" s="1966"/>
      <c r="M48" s="1964"/>
      <c r="N48" s="1964"/>
      <c r="O48" s="1964"/>
      <c r="P48" s="1964"/>
      <c r="Q48" s="1964"/>
      <c r="R48" s="1964"/>
      <c r="S48" s="1964"/>
      <c r="T48" s="1964"/>
      <c r="U48" s="1964"/>
      <c r="V48" s="1964"/>
      <c r="W48" s="1964"/>
      <c r="X48" s="1964"/>
      <c r="Y48" s="1964"/>
      <c r="Z48" s="1964"/>
      <c r="AA48" s="1964"/>
      <c r="AB48" s="1964"/>
      <c r="AC48" s="1964"/>
      <c r="AD48" s="1964"/>
      <c r="AE48" s="1964"/>
      <c r="AF48" s="1964"/>
      <c r="AG48" s="1964"/>
      <c r="AH48" s="1964"/>
      <c r="AI48" s="1964"/>
      <c r="AJ48" s="1964"/>
      <c r="AK48" s="1964"/>
      <c r="AL48" s="1964"/>
      <c r="AM48" s="1964"/>
    </row>
    <row r="49" spans="1:39" ht="15" thickBot="1">
      <c r="A49" s="237" t="s">
        <v>289</v>
      </c>
      <c r="B49" s="240">
        <v>5.0000000000000001E-4</v>
      </c>
      <c r="C49" s="3001" t="s">
        <v>2878</v>
      </c>
      <c r="D49" s="1968"/>
      <c r="E49" s="1967"/>
      <c r="F49" s="1967"/>
      <c r="G49" s="1967"/>
      <c r="H49" s="1967"/>
      <c r="I49" s="1967"/>
      <c r="J49" s="1967"/>
      <c r="K49" s="1966"/>
      <c r="L49" s="1966"/>
      <c r="M49" s="1964"/>
      <c r="N49" s="1964"/>
      <c r="O49" s="1964"/>
      <c r="P49" s="1964"/>
      <c r="Q49" s="1964"/>
      <c r="R49" s="1964"/>
      <c r="S49" s="1964"/>
      <c r="T49" s="1964"/>
      <c r="U49" s="1964"/>
      <c r="V49" s="1964"/>
      <c r="W49" s="1964"/>
      <c r="X49" s="1964"/>
      <c r="Y49" s="1964"/>
      <c r="Z49" s="1964"/>
      <c r="AA49" s="1964"/>
      <c r="AB49" s="1964"/>
      <c r="AC49" s="1964"/>
      <c r="AD49" s="1964"/>
      <c r="AE49" s="1964"/>
      <c r="AF49" s="1964"/>
      <c r="AG49" s="1964"/>
      <c r="AH49" s="1964"/>
      <c r="AI49" s="1964"/>
      <c r="AJ49" s="1964"/>
      <c r="AK49" s="1964"/>
      <c r="AL49" s="1964"/>
      <c r="AM49" s="1964"/>
    </row>
    <row r="50" spans="1:39" ht="14.25">
      <c r="A50" s="247" t="s">
        <v>290</v>
      </c>
      <c r="B50" s="248">
        <v>1.2E-2</v>
      </c>
      <c r="C50" s="2305"/>
      <c r="D50" s="1968"/>
      <c r="E50" s="1967"/>
      <c r="F50" s="1967"/>
      <c r="G50" s="1967"/>
      <c r="H50" s="1967"/>
      <c r="I50" s="1967"/>
      <c r="J50" s="1967"/>
      <c r="K50" s="1966"/>
      <c r="L50" s="1966"/>
      <c r="M50" s="1964"/>
      <c r="N50" s="1964"/>
      <c r="O50" s="1964"/>
      <c r="P50" s="1964"/>
      <c r="Q50" s="1964"/>
      <c r="R50" s="1964"/>
      <c r="S50" s="1964"/>
      <c r="T50" s="1964"/>
      <c r="U50" s="1964"/>
      <c r="V50" s="1964"/>
      <c r="W50" s="1964"/>
      <c r="X50" s="1964"/>
      <c r="Y50" s="1964"/>
      <c r="Z50" s="1964"/>
      <c r="AA50" s="1964"/>
      <c r="AB50" s="1964"/>
      <c r="AC50" s="1964"/>
      <c r="AD50" s="1964"/>
      <c r="AE50" s="1964"/>
      <c r="AF50" s="1964"/>
      <c r="AG50" s="1964"/>
      <c r="AH50" s="1964"/>
      <c r="AI50" s="1964"/>
      <c r="AJ50" s="1964"/>
      <c r="AK50" s="1964"/>
      <c r="AL50" s="1964"/>
      <c r="AM50" s="1964"/>
    </row>
    <row r="51" spans="1:39" ht="15" thickBot="1">
      <c r="A51" s="231" t="s">
        <v>291</v>
      </c>
      <c r="B51" s="249">
        <v>0.12</v>
      </c>
      <c r="C51" s="2305"/>
      <c r="D51" s="1968"/>
      <c r="E51" s="1967"/>
      <c r="F51" s="1967"/>
      <c r="G51" s="1967"/>
      <c r="H51" s="1967"/>
      <c r="I51" s="1967"/>
      <c r="J51" s="1967"/>
      <c r="K51" s="1966"/>
      <c r="L51" s="1966"/>
      <c r="M51" s="1964"/>
      <c r="N51" s="1964"/>
      <c r="O51" s="1964"/>
      <c r="P51" s="1964"/>
      <c r="Q51" s="1964"/>
      <c r="R51" s="1964"/>
      <c r="S51" s="1964"/>
      <c r="T51" s="1964"/>
      <c r="U51" s="1964"/>
      <c r="V51" s="1964"/>
      <c r="W51" s="1964"/>
      <c r="X51" s="1964"/>
      <c r="Y51" s="1964"/>
      <c r="Z51" s="1964"/>
      <c r="AA51" s="1964"/>
      <c r="AB51" s="1964"/>
      <c r="AC51" s="1964"/>
      <c r="AD51" s="1964"/>
      <c r="AE51" s="1964"/>
      <c r="AF51" s="1964"/>
      <c r="AG51" s="1964"/>
      <c r="AH51" s="1964"/>
      <c r="AI51" s="1964"/>
      <c r="AJ51" s="1964"/>
      <c r="AK51" s="1964"/>
      <c r="AL51" s="1964"/>
      <c r="AM51" s="1964"/>
    </row>
    <row r="52" spans="1:39" ht="14.25">
      <c r="A52" s="247" t="s">
        <v>292</v>
      </c>
      <c r="B52" s="250">
        <f>SUMIF(A54:A63,B53,B54:B63)</f>
        <v>0</v>
      </c>
      <c r="C52" s="2305"/>
      <c r="D52" s="1968"/>
      <c r="E52" s="1967"/>
      <c r="F52" s="1967"/>
      <c r="G52" s="1967"/>
      <c r="H52" s="1967"/>
      <c r="I52" s="1967"/>
      <c r="J52" s="1967"/>
      <c r="K52" s="1966"/>
      <c r="L52" s="1966"/>
      <c r="M52" s="1964"/>
      <c r="N52" s="1964"/>
      <c r="O52" s="1964"/>
      <c r="P52" s="1964"/>
      <c r="Q52" s="1964"/>
      <c r="R52" s="1964"/>
      <c r="S52" s="1964"/>
      <c r="T52" s="1964"/>
      <c r="U52" s="1964"/>
      <c r="V52" s="1964"/>
      <c r="W52" s="1964"/>
      <c r="X52" s="1964"/>
      <c r="Y52" s="1964"/>
      <c r="Z52" s="1964"/>
      <c r="AA52" s="1964"/>
      <c r="AB52" s="1964"/>
      <c r="AC52" s="1964"/>
      <c r="AD52" s="1964"/>
      <c r="AE52" s="1964"/>
      <c r="AF52" s="1964"/>
      <c r="AG52" s="1964"/>
      <c r="AH52" s="1964"/>
      <c r="AI52" s="1964"/>
      <c r="AJ52" s="1964"/>
      <c r="AK52" s="1964"/>
      <c r="AL52" s="1964"/>
      <c r="AM52" s="1964"/>
    </row>
    <row r="53" spans="1:39" ht="27">
      <c r="A53" s="228" t="s">
        <v>293</v>
      </c>
      <c r="B53" s="251"/>
      <c r="C53" s="3002" t="s">
        <v>2879</v>
      </c>
      <c r="D53" s="3003" t="s">
        <v>2880</v>
      </c>
      <c r="E53" s="1967"/>
      <c r="F53" s="1967"/>
      <c r="G53" s="1967"/>
      <c r="H53" s="1967"/>
      <c r="I53" s="1967"/>
      <c r="J53" s="1967"/>
      <c r="K53" s="1966"/>
      <c r="L53" s="1966"/>
      <c r="M53" s="1964"/>
      <c r="N53" s="1964"/>
      <c r="O53" s="1964"/>
      <c r="P53" s="1964"/>
      <c r="Q53" s="1964"/>
      <c r="R53" s="1964"/>
      <c r="S53" s="1964"/>
      <c r="T53" s="1964"/>
      <c r="U53" s="1964"/>
      <c r="V53" s="1964"/>
      <c r="W53" s="1964"/>
      <c r="X53" s="1964"/>
      <c r="Y53" s="1964"/>
      <c r="Z53" s="1964"/>
      <c r="AA53" s="1964"/>
      <c r="AB53" s="1964"/>
      <c r="AC53" s="1964"/>
      <c r="AD53" s="1964"/>
      <c r="AE53" s="1964"/>
      <c r="AF53" s="1964"/>
      <c r="AG53" s="1964"/>
      <c r="AH53" s="1964"/>
      <c r="AI53" s="1964"/>
      <c r="AJ53" s="1964"/>
      <c r="AK53" s="1964"/>
      <c r="AL53" s="1964"/>
      <c r="AM53" s="1964"/>
    </row>
    <row r="54" spans="1:39" ht="14.25">
      <c r="A54" s="3005" t="s">
        <v>2881</v>
      </c>
      <c r="B54" s="186"/>
      <c r="C54" s="1969">
        <v>30</v>
      </c>
      <c r="D54" s="3004"/>
      <c r="E54" s="1967"/>
      <c r="F54" s="1967"/>
      <c r="G54" s="1967"/>
      <c r="H54" s="1967"/>
      <c r="I54" s="1967"/>
      <c r="J54" s="1967"/>
      <c r="K54" s="1966"/>
      <c r="L54" s="1966"/>
      <c r="M54" s="1964"/>
      <c r="N54" s="1964"/>
      <c r="O54" s="1964"/>
      <c r="P54" s="1964"/>
      <c r="Q54" s="1964"/>
      <c r="R54" s="1964"/>
      <c r="S54" s="1964"/>
      <c r="T54" s="1964"/>
      <c r="U54" s="1964"/>
      <c r="V54" s="1964"/>
      <c r="W54" s="1964"/>
      <c r="X54" s="1964"/>
      <c r="Y54" s="1964"/>
      <c r="Z54" s="1964"/>
      <c r="AA54" s="1964"/>
      <c r="AB54" s="1964"/>
      <c r="AC54" s="1964"/>
      <c r="AD54" s="1964"/>
      <c r="AE54" s="1964"/>
      <c r="AF54" s="1964"/>
      <c r="AG54" s="1964"/>
      <c r="AH54" s="1964"/>
      <c r="AI54" s="1964"/>
      <c r="AJ54" s="1964"/>
      <c r="AK54" s="1964"/>
      <c r="AL54" s="1964"/>
      <c r="AM54" s="1964"/>
    </row>
    <row r="55" spans="1:39" ht="14.25">
      <c r="A55" s="3005" t="s">
        <v>2882</v>
      </c>
      <c r="B55" s="186"/>
      <c r="C55" s="1969">
        <v>24</v>
      </c>
      <c r="D55" s="3004"/>
      <c r="E55" s="1967"/>
      <c r="F55" s="1967"/>
      <c r="G55" s="1967"/>
      <c r="H55" s="1967"/>
      <c r="I55" s="1962"/>
      <c r="J55" s="1967"/>
      <c r="K55" s="1966"/>
      <c r="L55" s="1966"/>
      <c r="M55" s="1964"/>
      <c r="N55" s="1964"/>
      <c r="O55" s="1964"/>
      <c r="P55" s="1964"/>
      <c r="Q55" s="1964"/>
      <c r="R55" s="1964"/>
      <c r="S55" s="1964"/>
      <c r="T55" s="1964"/>
      <c r="U55" s="1964"/>
      <c r="V55" s="1964"/>
      <c r="W55" s="1964"/>
      <c r="X55" s="1964"/>
      <c r="Y55" s="1964"/>
      <c r="Z55" s="1964"/>
      <c r="AA55" s="1964"/>
      <c r="AB55" s="1964"/>
      <c r="AC55" s="1964"/>
      <c r="AD55" s="1964"/>
      <c r="AE55" s="1964"/>
      <c r="AF55" s="1964"/>
      <c r="AG55" s="1964"/>
      <c r="AH55" s="1964"/>
      <c r="AI55" s="1964"/>
      <c r="AJ55" s="1964"/>
      <c r="AK55" s="1964"/>
      <c r="AL55" s="1964"/>
      <c r="AM55" s="1964"/>
    </row>
    <row r="56" spans="1:39" ht="14.25">
      <c r="A56" s="3005" t="s">
        <v>2883</v>
      </c>
      <c r="B56" s="186"/>
      <c r="C56" s="1969">
        <v>18</v>
      </c>
      <c r="D56" s="3004"/>
      <c r="E56" s="1967"/>
      <c r="F56" s="1967"/>
      <c r="G56" s="1967"/>
      <c r="H56" s="1967"/>
      <c r="I56" s="1967"/>
      <c r="J56" s="1967"/>
      <c r="K56" s="1966"/>
      <c r="L56" s="1966"/>
      <c r="M56" s="1964"/>
      <c r="N56" s="1964"/>
      <c r="O56" s="1964"/>
      <c r="P56" s="1964"/>
      <c r="Q56" s="1964"/>
      <c r="R56" s="1964"/>
      <c r="S56" s="1964"/>
      <c r="T56" s="1964"/>
      <c r="U56" s="1964"/>
      <c r="V56" s="1964"/>
      <c r="W56" s="1964"/>
      <c r="X56" s="1964"/>
      <c r="Y56" s="1964"/>
      <c r="Z56" s="1964"/>
      <c r="AA56" s="1964"/>
      <c r="AB56" s="1964"/>
      <c r="AC56" s="1964"/>
      <c r="AD56" s="1964"/>
      <c r="AE56" s="1964"/>
      <c r="AF56" s="1964"/>
      <c r="AG56" s="1964"/>
      <c r="AH56" s="1964"/>
      <c r="AI56" s="1964"/>
      <c r="AJ56" s="1964"/>
      <c r="AK56" s="1964"/>
      <c r="AL56" s="1964"/>
      <c r="AM56" s="1964"/>
    </row>
    <row r="57" spans="1:39" ht="14.25">
      <c r="A57" s="3005" t="s">
        <v>2884</v>
      </c>
      <c r="B57" s="186"/>
      <c r="C57" s="1969">
        <v>12</v>
      </c>
      <c r="D57" s="3004"/>
      <c r="E57" s="1967"/>
      <c r="F57" s="1967"/>
      <c r="G57" s="1967"/>
      <c r="H57" s="1967"/>
      <c r="I57" s="1967"/>
      <c r="J57" s="1967"/>
      <c r="K57" s="1966"/>
      <c r="L57" s="1966"/>
      <c r="M57" s="1964"/>
      <c r="N57" s="1964"/>
      <c r="O57" s="1964"/>
      <c r="P57" s="1964"/>
      <c r="Q57" s="1964"/>
      <c r="R57" s="1964"/>
      <c r="S57" s="1964"/>
      <c r="T57" s="1964"/>
      <c r="U57" s="1964"/>
      <c r="V57" s="1964"/>
      <c r="W57" s="1964"/>
      <c r="X57" s="1964"/>
      <c r="Y57" s="1964"/>
      <c r="Z57" s="1964"/>
      <c r="AA57" s="1964"/>
      <c r="AB57" s="1964"/>
      <c r="AC57" s="1964"/>
      <c r="AD57" s="1964"/>
      <c r="AE57" s="1964"/>
      <c r="AF57" s="1964"/>
      <c r="AG57" s="1964"/>
      <c r="AH57" s="1964"/>
      <c r="AI57" s="1964"/>
      <c r="AJ57" s="1964"/>
      <c r="AK57" s="1964"/>
      <c r="AL57" s="1964"/>
      <c r="AM57" s="1964"/>
    </row>
    <row r="58" spans="1:39" ht="14.25">
      <c r="A58" s="3005" t="s">
        <v>2885</v>
      </c>
      <c r="B58" s="186"/>
      <c r="C58" s="1969">
        <v>3</v>
      </c>
      <c r="D58" s="3004"/>
      <c r="E58" s="1967"/>
      <c r="F58" s="1967"/>
      <c r="G58" s="1967"/>
      <c r="H58" s="1967"/>
      <c r="I58" s="1967"/>
      <c r="J58" s="1967"/>
      <c r="K58" s="1966"/>
      <c r="L58" s="1966"/>
      <c r="M58" s="1964"/>
      <c r="N58" s="1964"/>
      <c r="O58" s="1964"/>
      <c r="P58" s="1964"/>
      <c r="Q58" s="1964"/>
      <c r="R58" s="1964"/>
      <c r="S58" s="1964"/>
      <c r="T58" s="1964"/>
      <c r="U58" s="1964"/>
      <c r="V58" s="1964"/>
      <c r="W58" s="1964"/>
      <c r="X58" s="1964"/>
      <c r="Y58" s="1964"/>
      <c r="Z58" s="1964"/>
      <c r="AA58" s="1964"/>
      <c r="AB58" s="1964"/>
      <c r="AC58" s="1964"/>
      <c r="AD58" s="1964"/>
      <c r="AE58" s="1964"/>
      <c r="AF58" s="1964"/>
      <c r="AG58" s="1964"/>
      <c r="AH58" s="1964"/>
      <c r="AI58" s="1964"/>
      <c r="AJ58" s="1964"/>
      <c r="AK58" s="1964"/>
      <c r="AL58" s="1964"/>
      <c r="AM58" s="1964"/>
    </row>
    <row r="59" spans="1:39" ht="14.25">
      <c r="A59" s="3005" t="s">
        <v>2886</v>
      </c>
      <c r="B59" s="186"/>
      <c r="C59" s="1969">
        <v>1.5</v>
      </c>
      <c r="D59" s="3004"/>
      <c r="E59" s="1967"/>
      <c r="F59" s="1967"/>
      <c r="G59" s="1967"/>
      <c r="H59" s="1967"/>
      <c r="I59" s="1967"/>
      <c r="J59" s="1967"/>
      <c r="K59" s="1966"/>
      <c r="L59" s="1966"/>
      <c r="M59" s="1964"/>
      <c r="N59" s="1964"/>
      <c r="O59" s="1964"/>
      <c r="P59" s="1964"/>
      <c r="Q59" s="1964"/>
      <c r="R59" s="1964"/>
      <c r="S59" s="1964"/>
      <c r="T59" s="1964"/>
      <c r="U59" s="1964"/>
      <c r="V59" s="1964"/>
      <c r="W59" s="1964"/>
      <c r="X59" s="1964"/>
      <c r="Y59" s="1964"/>
      <c r="Z59" s="1964"/>
      <c r="AA59" s="1964"/>
      <c r="AB59" s="1964"/>
      <c r="AC59" s="1964"/>
      <c r="AD59" s="1964"/>
      <c r="AE59" s="1964"/>
      <c r="AF59" s="1964"/>
      <c r="AG59" s="1964"/>
      <c r="AH59" s="1964"/>
      <c r="AI59" s="1964"/>
      <c r="AJ59" s="1964"/>
      <c r="AK59" s="1964"/>
      <c r="AL59" s="1964"/>
      <c r="AM59" s="1964"/>
    </row>
    <row r="60" spans="1:39" ht="14.25">
      <c r="A60" s="3005" t="s">
        <v>2887</v>
      </c>
      <c r="B60" s="186"/>
      <c r="C60" s="1967"/>
      <c r="D60" s="1968"/>
      <c r="E60" s="1967"/>
      <c r="F60" s="1967"/>
      <c r="G60" s="1967"/>
      <c r="H60" s="1967"/>
      <c r="I60" s="1967"/>
      <c r="J60" s="1967"/>
      <c r="K60" s="1966"/>
      <c r="L60" s="1966"/>
      <c r="M60" s="1964"/>
      <c r="N60" s="1964"/>
      <c r="O60" s="1964"/>
      <c r="P60" s="1964"/>
      <c r="Q60" s="1964"/>
      <c r="R60" s="1964"/>
      <c r="S60" s="1964"/>
      <c r="T60" s="1964"/>
      <c r="U60" s="1964"/>
      <c r="V60" s="1964"/>
      <c r="W60" s="1964"/>
      <c r="X60" s="1964"/>
      <c r="Y60" s="1964"/>
      <c r="Z60" s="1964"/>
      <c r="AA60" s="1964"/>
      <c r="AB60" s="1964"/>
      <c r="AC60" s="1964"/>
      <c r="AD60" s="1964"/>
      <c r="AE60" s="1964"/>
      <c r="AF60" s="1964"/>
      <c r="AG60" s="1964"/>
      <c r="AH60" s="1964"/>
      <c r="AI60" s="1964"/>
      <c r="AJ60" s="1964"/>
      <c r="AK60" s="1964"/>
      <c r="AL60" s="1964"/>
      <c r="AM60" s="1964"/>
    </row>
    <row r="61" spans="1:39" ht="14.25">
      <c r="A61" s="3005" t="s">
        <v>2888</v>
      </c>
      <c r="B61" s="186"/>
      <c r="C61" s="1967"/>
      <c r="D61" s="1968"/>
      <c r="E61" s="1967"/>
      <c r="F61" s="1967"/>
      <c r="G61" s="1967"/>
      <c r="H61" s="1967"/>
      <c r="I61" s="1967"/>
      <c r="J61" s="1967"/>
      <c r="K61" s="1966"/>
      <c r="L61" s="1966"/>
      <c r="M61" s="1964"/>
      <c r="N61" s="1964"/>
      <c r="O61" s="1964"/>
      <c r="P61" s="1964"/>
      <c r="Q61" s="1964"/>
      <c r="R61" s="1964"/>
      <c r="S61" s="1964"/>
      <c r="T61" s="1964"/>
      <c r="U61" s="1964"/>
      <c r="V61" s="1964"/>
      <c r="W61" s="1964"/>
      <c r="X61" s="1964"/>
      <c r="Y61" s="1964"/>
      <c r="Z61" s="1964"/>
      <c r="AA61" s="1964"/>
      <c r="AB61" s="1964"/>
      <c r="AC61" s="1964"/>
      <c r="AD61" s="1964"/>
      <c r="AE61" s="1964"/>
      <c r="AF61" s="1964"/>
      <c r="AG61" s="1964"/>
      <c r="AH61" s="1964"/>
      <c r="AI61" s="1964"/>
      <c r="AJ61" s="1964"/>
      <c r="AK61" s="1964"/>
      <c r="AL61" s="1964"/>
      <c r="AM61" s="1964"/>
    </row>
    <row r="62" spans="1:39" ht="14.25">
      <c r="A62" s="3005" t="s">
        <v>2889</v>
      </c>
      <c r="B62" s="186"/>
      <c r="C62" s="1967"/>
      <c r="D62" s="1968"/>
      <c r="E62" s="1967"/>
      <c r="F62" s="1967"/>
      <c r="G62" s="1967"/>
      <c r="H62" s="1967"/>
      <c r="I62" s="1967"/>
      <c r="J62" s="1967"/>
      <c r="K62" s="1966"/>
      <c r="L62" s="1966"/>
      <c r="M62" s="1964"/>
      <c r="N62" s="1964"/>
      <c r="O62" s="1964"/>
      <c r="P62" s="1964"/>
      <c r="Q62" s="1964"/>
      <c r="R62" s="1964"/>
      <c r="S62" s="1964"/>
      <c r="T62" s="1964"/>
      <c r="U62" s="1964"/>
      <c r="V62" s="1964"/>
      <c r="W62" s="1964"/>
      <c r="X62" s="1964"/>
      <c r="Y62" s="1964"/>
      <c r="Z62" s="1964"/>
      <c r="AA62" s="1964"/>
      <c r="AB62" s="1964"/>
      <c r="AC62" s="1964"/>
      <c r="AD62" s="1964"/>
      <c r="AE62" s="1964"/>
      <c r="AF62" s="1964"/>
      <c r="AG62" s="1964"/>
      <c r="AH62" s="1964"/>
      <c r="AI62" s="1964"/>
      <c r="AJ62" s="1964"/>
      <c r="AK62" s="1964"/>
      <c r="AL62" s="1964"/>
      <c r="AM62" s="1964"/>
    </row>
    <row r="63" spans="1:39" ht="15" thickBot="1">
      <c r="A63" s="3006" t="s">
        <v>2890</v>
      </c>
      <c r="B63" s="252"/>
      <c r="C63" s="1967"/>
      <c r="D63" s="1968"/>
      <c r="E63" s="1967"/>
      <c r="F63" s="1967"/>
      <c r="G63" s="1967"/>
      <c r="H63" s="1967"/>
      <c r="I63" s="1967"/>
      <c r="J63" s="1967"/>
      <c r="K63" s="1966"/>
      <c r="L63" s="1966"/>
      <c r="M63" s="1964"/>
      <c r="N63" s="1964"/>
      <c r="O63" s="1964"/>
      <c r="P63" s="1964"/>
      <c r="Q63" s="1964"/>
      <c r="R63" s="1964"/>
      <c r="S63" s="1964"/>
      <c r="T63" s="1964"/>
      <c r="U63" s="1964"/>
      <c r="V63" s="1964"/>
      <c r="W63" s="1964"/>
      <c r="X63" s="1964"/>
      <c r="Y63" s="1964"/>
      <c r="Z63" s="1964"/>
      <c r="AA63" s="1964"/>
      <c r="AB63" s="1964"/>
      <c r="AC63" s="1964"/>
      <c r="AD63" s="1964"/>
      <c r="AE63" s="1964"/>
      <c r="AF63" s="1964"/>
      <c r="AG63" s="1964"/>
      <c r="AH63" s="1964"/>
      <c r="AI63" s="1964"/>
      <c r="AJ63" s="1964"/>
      <c r="AK63" s="1964"/>
      <c r="AL63" s="1964"/>
      <c r="AM63" s="1964"/>
    </row>
    <row r="64" spans="1:39" s="1973" customFormat="1">
      <c r="A64" s="253"/>
      <c r="D64" s="1974"/>
      <c r="K64" s="57"/>
      <c r="L64" s="57"/>
    </row>
    <row r="65" spans="1:12" s="1973" customFormat="1">
      <c r="A65" s="253"/>
      <c r="D65" s="1974"/>
      <c r="K65" s="57"/>
      <c r="L65" s="57"/>
    </row>
    <row r="66" spans="1:12" s="1973" customFormat="1">
      <c r="A66" s="253"/>
      <c r="D66" s="1974"/>
      <c r="K66" s="57"/>
      <c r="L66" s="57"/>
    </row>
    <row r="67" spans="1:12" s="1973" customFormat="1">
      <c r="A67" s="253"/>
      <c r="D67" s="1974"/>
      <c r="K67" s="57"/>
      <c r="L67" s="57"/>
    </row>
    <row r="68" spans="1:12" s="1973" customFormat="1">
      <c r="A68" s="253"/>
      <c r="D68" s="1974"/>
      <c r="K68" s="57"/>
      <c r="L68" s="57"/>
    </row>
    <row r="69" spans="1:12" s="1973" customFormat="1">
      <c r="A69" s="253"/>
      <c r="D69" s="1974"/>
      <c r="K69" s="57"/>
      <c r="L69" s="57"/>
    </row>
    <row r="70" spans="1:12" s="1973" customFormat="1">
      <c r="A70" s="253"/>
      <c r="D70" s="1974"/>
      <c r="K70" s="57"/>
      <c r="L70" s="57"/>
    </row>
    <row r="71" spans="1:12" s="1973" customFormat="1">
      <c r="A71" s="253"/>
      <c r="D71" s="1974"/>
      <c r="K71" s="57"/>
      <c r="L71" s="57"/>
    </row>
    <row r="72" spans="1:12" s="1973" customFormat="1">
      <c r="A72" s="253"/>
      <c r="D72" s="1974"/>
      <c r="K72" s="57"/>
      <c r="L72" s="57"/>
    </row>
    <row r="73" spans="1:12" s="1973" customFormat="1">
      <c r="A73" s="253"/>
      <c r="D73" s="1974"/>
      <c r="K73" s="57"/>
      <c r="L73" s="57"/>
    </row>
    <row r="74" spans="1:12" s="1973" customFormat="1">
      <c r="A74" s="253"/>
      <c r="D74" s="1974"/>
      <c r="K74" s="57"/>
      <c r="L74" s="57"/>
    </row>
    <row r="75" spans="1:12" s="1973" customFormat="1">
      <c r="A75" s="253"/>
      <c r="D75" s="1974"/>
      <c r="K75" s="57"/>
      <c r="L75" s="57"/>
    </row>
    <row r="76" spans="1:12" s="1973" customFormat="1">
      <c r="A76" s="253"/>
      <c r="D76" s="1974"/>
      <c r="K76" s="57"/>
      <c r="L76" s="57"/>
    </row>
    <row r="77" spans="1:12" s="1973" customFormat="1">
      <c r="A77" s="253"/>
      <c r="D77" s="1974"/>
      <c r="K77" s="57"/>
      <c r="L77" s="57"/>
    </row>
    <row r="78" spans="1:12" s="1973" customFormat="1">
      <c r="A78" s="253"/>
      <c r="D78" s="1974"/>
      <c r="K78" s="57"/>
      <c r="L78" s="57"/>
    </row>
    <row r="79" spans="1:12" s="1973" customFormat="1">
      <c r="A79" s="253"/>
      <c r="D79" s="1974"/>
      <c r="K79" s="57"/>
      <c r="L79" s="57"/>
    </row>
    <row r="80" spans="1:12" s="1973" customFormat="1">
      <c r="A80" s="253"/>
      <c r="D80" s="1974"/>
      <c r="K80" s="57"/>
      <c r="L80" s="57"/>
    </row>
    <row r="81" spans="1:12" s="1973" customFormat="1">
      <c r="A81" s="253"/>
      <c r="D81" s="1974"/>
      <c r="K81" s="57"/>
      <c r="L81" s="57"/>
    </row>
    <row r="82" spans="1:12" s="1973" customFormat="1">
      <c r="A82" s="253"/>
      <c r="D82" s="1974"/>
      <c r="K82" s="57"/>
      <c r="L82" s="57"/>
    </row>
    <row r="83" spans="1:12" s="1973" customFormat="1">
      <c r="A83" s="253"/>
      <c r="D83" s="1974"/>
      <c r="K83" s="57"/>
      <c r="L83" s="57"/>
    </row>
    <row r="84" spans="1:12" s="1973" customFormat="1">
      <c r="A84" s="253"/>
      <c r="D84" s="1974"/>
      <c r="K84" s="57"/>
      <c r="L84" s="57"/>
    </row>
    <row r="85" spans="1:12" s="1973" customFormat="1">
      <c r="A85" s="253"/>
      <c r="D85" s="1974"/>
      <c r="K85" s="57"/>
      <c r="L85" s="57"/>
    </row>
    <row r="86" spans="1:12" s="1973" customFormat="1">
      <c r="A86" s="253"/>
      <c r="D86" s="1974"/>
      <c r="K86" s="57"/>
      <c r="L86" s="57"/>
    </row>
    <row r="87" spans="1:12" s="1973" customFormat="1">
      <c r="A87" s="253"/>
      <c r="D87" s="1974"/>
      <c r="K87" s="57"/>
      <c r="L87" s="57"/>
    </row>
    <row r="88" spans="1:12" s="1973" customFormat="1">
      <c r="A88" s="253"/>
      <c r="D88" s="1974"/>
      <c r="K88" s="57"/>
      <c r="L88" s="57"/>
    </row>
    <row r="89" spans="1:12" s="1973" customFormat="1">
      <c r="A89" s="253"/>
      <c r="D89" s="1974"/>
      <c r="K89" s="57"/>
      <c r="L89" s="57"/>
    </row>
    <row r="90" spans="1:12" s="1973" customFormat="1">
      <c r="A90" s="253"/>
      <c r="D90" s="1974"/>
      <c r="K90" s="57"/>
      <c r="L90" s="57"/>
    </row>
    <row r="91" spans="1:12" s="1973" customFormat="1">
      <c r="A91" s="253"/>
      <c r="D91" s="1974"/>
      <c r="K91" s="57"/>
      <c r="L91" s="57"/>
    </row>
    <row r="92" spans="1:12" s="1973" customFormat="1">
      <c r="A92" s="253"/>
      <c r="D92" s="1974"/>
      <c r="K92" s="57"/>
      <c r="L92" s="57"/>
    </row>
    <row r="93" spans="1:12" s="1973" customFormat="1">
      <c r="A93" s="253"/>
      <c r="D93" s="1974"/>
      <c r="K93" s="57"/>
      <c r="L93" s="57"/>
    </row>
    <row r="94" spans="1:12" s="1973" customFormat="1">
      <c r="A94" s="253"/>
      <c r="D94" s="1974"/>
      <c r="K94" s="57"/>
      <c r="L94" s="57"/>
    </row>
    <row r="95" spans="1:12" s="1973" customFormat="1">
      <c r="A95" s="253"/>
      <c r="D95" s="1974"/>
      <c r="K95" s="57"/>
      <c r="L95" s="57"/>
    </row>
    <row r="96" spans="1:12" s="1973" customFormat="1">
      <c r="A96" s="253"/>
      <c r="D96" s="1974"/>
      <c r="K96" s="57"/>
      <c r="L96" s="57"/>
    </row>
    <row r="97" spans="1:12" s="1973" customFormat="1">
      <c r="A97" s="253"/>
      <c r="D97" s="1974"/>
      <c r="K97" s="57"/>
      <c r="L97" s="57"/>
    </row>
    <row r="98" spans="1:12" s="1973" customFormat="1">
      <c r="A98" s="253"/>
      <c r="D98" s="1974"/>
      <c r="K98" s="57"/>
      <c r="L98" s="57"/>
    </row>
    <row r="99" spans="1:12" s="1973" customFormat="1">
      <c r="A99" s="253"/>
      <c r="D99" s="1974"/>
      <c r="K99" s="57"/>
      <c r="L99" s="57"/>
    </row>
    <row r="100" spans="1:12" s="1973" customFormat="1">
      <c r="A100" s="253"/>
      <c r="D100" s="1974"/>
      <c r="K100" s="57"/>
      <c r="L100" s="57"/>
    </row>
    <row r="101" spans="1:12" s="1973" customFormat="1">
      <c r="A101" s="253"/>
      <c r="D101" s="1974"/>
      <c r="K101" s="57"/>
      <c r="L101" s="57"/>
    </row>
    <row r="102" spans="1:12" s="1973" customFormat="1">
      <c r="A102" s="253"/>
      <c r="D102" s="1974"/>
      <c r="K102" s="57"/>
      <c r="L102" s="57"/>
    </row>
    <row r="103" spans="1:12" s="1973" customFormat="1">
      <c r="A103" s="253"/>
      <c r="D103" s="1974"/>
      <c r="K103" s="57"/>
      <c r="L103" s="57"/>
    </row>
    <row r="104" spans="1:12" s="1973" customFormat="1">
      <c r="A104" s="253"/>
      <c r="D104" s="1974"/>
      <c r="K104" s="57"/>
      <c r="L104" s="57"/>
    </row>
    <row r="105" spans="1:12" s="1973" customFormat="1">
      <c r="A105" s="253"/>
      <c r="D105" s="1974"/>
      <c r="K105" s="57"/>
      <c r="L105" s="57"/>
    </row>
    <row r="106" spans="1:12" s="1973" customFormat="1">
      <c r="A106" s="253"/>
      <c r="D106" s="1974"/>
      <c r="K106" s="57"/>
      <c r="L106" s="57"/>
    </row>
    <row r="107" spans="1:12" s="1973" customFormat="1">
      <c r="A107" s="253"/>
      <c r="D107" s="1974"/>
      <c r="K107" s="57"/>
      <c r="L107" s="57"/>
    </row>
    <row r="108" spans="1:12" s="1973" customFormat="1">
      <c r="A108" s="253"/>
      <c r="D108" s="1974"/>
      <c r="K108" s="57"/>
      <c r="L108" s="57"/>
    </row>
    <row r="109" spans="1:12" s="1973" customFormat="1">
      <c r="A109" s="253"/>
      <c r="D109" s="1974"/>
      <c r="K109" s="57"/>
      <c r="L109" s="57"/>
    </row>
    <row r="110" spans="1:12" s="1973" customFormat="1">
      <c r="A110" s="253"/>
      <c r="D110" s="1974"/>
      <c r="K110" s="57"/>
      <c r="L110" s="57"/>
    </row>
    <row r="111" spans="1:12" s="1973" customFormat="1">
      <c r="A111" s="253"/>
      <c r="D111" s="1974"/>
      <c r="K111" s="57"/>
      <c r="L111" s="57"/>
    </row>
    <row r="112" spans="1:12" s="1973" customFormat="1">
      <c r="A112" s="253"/>
      <c r="D112" s="1974"/>
      <c r="K112" s="57"/>
      <c r="L112" s="57"/>
    </row>
    <row r="113" spans="1:12" s="1973" customFormat="1">
      <c r="A113" s="253"/>
      <c r="D113" s="1974"/>
      <c r="K113" s="57"/>
      <c r="L113" s="57"/>
    </row>
    <row r="114" spans="1:12" s="1973" customFormat="1">
      <c r="A114" s="253"/>
      <c r="D114" s="1974"/>
      <c r="K114" s="57"/>
      <c r="L114" s="57"/>
    </row>
    <row r="115" spans="1:12" s="1973" customFormat="1">
      <c r="A115" s="253"/>
      <c r="D115" s="1974"/>
      <c r="K115" s="57"/>
      <c r="L115" s="57"/>
    </row>
    <row r="116" spans="1:12" s="1973" customFormat="1">
      <c r="A116" s="253"/>
      <c r="D116" s="1974"/>
      <c r="K116" s="57"/>
      <c r="L116" s="57"/>
    </row>
    <row r="117" spans="1:12" s="1973" customFormat="1">
      <c r="A117" s="253"/>
      <c r="D117" s="1974"/>
      <c r="K117" s="57"/>
      <c r="L117" s="57"/>
    </row>
    <row r="118" spans="1:12" s="1973" customFormat="1">
      <c r="A118" s="253"/>
      <c r="D118" s="1974"/>
      <c r="K118" s="57"/>
      <c r="L118" s="57"/>
    </row>
    <row r="119" spans="1:12" s="1973" customFormat="1">
      <c r="A119" s="253"/>
      <c r="D119" s="1974"/>
      <c r="K119" s="57"/>
      <c r="L119" s="57"/>
    </row>
    <row r="120" spans="1:12" s="1973" customFormat="1">
      <c r="A120" s="253"/>
      <c r="D120" s="1974"/>
      <c r="K120" s="57"/>
      <c r="L120" s="57"/>
    </row>
    <row r="121" spans="1:12" s="1973" customFormat="1">
      <c r="A121" s="253"/>
      <c r="D121" s="1974"/>
      <c r="K121" s="57"/>
      <c r="L121" s="57"/>
    </row>
    <row r="122" spans="1:12" s="1973" customFormat="1">
      <c r="A122" s="253"/>
      <c r="D122" s="1974"/>
      <c r="K122" s="57"/>
      <c r="L122" s="57"/>
    </row>
    <row r="123" spans="1:12" s="1973" customFormat="1">
      <c r="A123" s="253"/>
      <c r="D123" s="1974"/>
      <c r="K123" s="57"/>
      <c r="L123" s="57"/>
    </row>
    <row r="124" spans="1:12" s="1973" customFormat="1">
      <c r="A124" s="253"/>
      <c r="D124" s="1974"/>
      <c r="K124" s="57"/>
      <c r="L124" s="57"/>
    </row>
    <row r="125" spans="1:12" s="1973" customFormat="1">
      <c r="A125" s="253"/>
      <c r="D125" s="1974"/>
      <c r="K125" s="57"/>
      <c r="L125" s="57"/>
    </row>
    <row r="126" spans="1:12" s="1973" customFormat="1">
      <c r="A126" s="253"/>
      <c r="D126" s="1974"/>
      <c r="K126" s="57"/>
      <c r="L126" s="57"/>
    </row>
    <row r="127" spans="1:12" s="1973" customFormat="1">
      <c r="A127" s="253"/>
      <c r="D127" s="1974"/>
      <c r="K127" s="57"/>
      <c r="L127" s="57"/>
    </row>
    <row r="128" spans="1:12" s="1973" customFormat="1">
      <c r="A128" s="253"/>
      <c r="D128" s="1974"/>
      <c r="K128" s="57"/>
      <c r="L128" s="57"/>
    </row>
    <row r="129" spans="1:12" s="1973" customFormat="1">
      <c r="A129" s="253"/>
      <c r="D129" s="1974"/>
      <c r="K129" s="57"/>
      <c r="L129" s="57"/>
    </row>
    <row r="130" spans="1:12" s="1973" customFormat="1">
      <c r="A130" s="253"/>
      <c r="D130" s="1974"/>
      <c r="K130" s="57"/>
      <c r="L130" s="57"/>
    </row>
    <row r="131" spans="1:12" s="1973" customFormat="1">
      <c r="A131" s="253"/>
      <c r="D131" s="1974"/>
      <c r="K131" s="57"/>
      <c r="L131" s="57"/>
    </row>
    <row r="132" spans="1:12" s="1973" customFormat="1">
      <c r="A132" s="253"/>
      <c r="D132" s="1974"/>
      <c r="K132" s="57"/>
      <c r="L132" s="57"/>
    </row>
    <row r="133" spans="1:12" s="1973" customFormat="1">
      <c r="A133" s="253"/>
      <c r="D133" s="1974"/>
      <c r="K133" s="57"/>
      <c r="L133" s="57"/>
    </row>
    <row r="134" spans="1:12" s="1973" customFormat="1">
      <c r="A134" s="253"/>
      <c r="D134" s="1974"/>
      <c r="K134" s="57"/>
      <c r="L134" s="57"/>
    </row>
    <row r="135" spans="1:12" s="1973" customFormat="1">
      <c r="A135" s="253"/>
      <c r="D135" s="1974"/>
      <c r="K135" s="57"/>
      <c r="L135" s="57"/>
    </row>
    <row r="136" spans="1:12" s="1973" customFormat="1">
      <c r="A136" s="253"/>
      <c r="D136" s="1974"/>
      <c r="K136" s="57"/>
      <c r="L136" s="57"/>
    </row>
    <row r="137" spans="1:12" s="1973" customFormat="1">
      <c r="A137" s="253"/>
      <c r="D137" s="1974"/>
      <c r="K137" s="57"/>
      <c r="L137" s="57"/>
    </row>
    <row r="138" spans="1:12" s="1973" customFormat="1">
      <c r="A138" s="253"/>
      <c r="D138" s="1974"/>
      <c r="K138" s="57"/>
      <c r="L138" s="57"/>
    </row>
    <row r="139" spans="1:12" s="1973" customFormat="1">
      <c r="A139" s="253"/>
      <c r="D139" s="1974"/>
      <c r="K139" s="57"/>
      <c r="L139" s="57"/>
    </row>
    <row r="140" spans="1:12" s="1973" customFormat="1">
      <c r="A140" s="253"/>
      <c r="D140" s="1974"/>
      <c r="K140" s="57"/>
      <c r="L140" s="57"/>
    </row>
    <row r="141" spans="1:12" s="1973" customFormat="1">
      <c r="A141" s="253"/>
      <c r="D141" s="1974"/>
      <c r="K141" s="57"/>
      <c r="L141" s="57"/>
    </row>
    <row r="142" spans="1:12" s="1973" customFormat="1">
      <c r="A142" s="253"/>
      <c r="D142" s="1974"/>
      <c r="K142" s="57"/>
      <c r="L142" s="57"/>
    </row>
    <row r="143" spans="1:12" s="1973" customFormat="1">
      <c r="A143" s="253"/>
      <c r="D143" s="1974"/>
      <c r="K143" s="57"/>
      <c r="L143" s="57"/>
    </row>
    <row r="144" spans="1:12" s="1973" customFormat="1">
      <c r="A144" s="253"/>
      <c r="D144" s="1974"/>
      <c r="K144" s="57"/>
      <c r="L144" s="57"/>
    </row>
    <row r="145" spans="1:12" s="1973" customFormat="1">
      <c r="A145" s="253"/>
      <c r="D145" s="1974"/>
      <c r="K145" s="57"/>
      <c r="L145" s="57"/>
    </row>
    <row r="146" spans="1:12" s="1973" customFormat="1">
      <c r="A146" s="253"/>
      <c r="D146" s="1974"/>
      <c r="K146" s="57"/>
      <c r="L146" s="57"/>
    </row>
    <row r="147" spans="1:12" s="1973" customFormat="1">
      <c r="A147" s="253"/>
      <c r="D147" s="1974"/>
      <c r="K147" s="57"/>
      <c r="L147" s="57"/>
    </row>
    <row r="148" spans="1:12" s="1973" customFormat="1">
      <c r="A148" s="253"/>
      <c r="D148" s="1974"/>
      <c r="K148" s="57"/>
      <c r="L148" s="57"/>
    </row>
    <row r="149" spans="1:12" s="1973" customFormat="1">
      <c r="A149" s="253"/>
      <c r="D149" s="1974"/>
      <c r="K149" s="57"/>
      <c r="L149" s="57"/>
    </row>
    <row r="150" spans="1:12" s="1973" customFormat="1">
      <c r="A150" s="253"/>
      <c r="D150" s="1974"/>
      <c r="K150" s="57"/>
      <c r="L150" s="57"/>
    </row>
    <row r="151" spans="1:12" s="1973" customFormat="1">
      <c r="A151" s="253"/>
      <c r="D151" s="1974"/>
      <c r="K151" s="57"/>
      <c r="L151" s="57"/>
    </row>
    <row r="152" spans="1:12" s="1973" customFormat="1">
      <c r="A152" s="253"/>
      <c r="D152" s="1974"/>
      <c r="K152" s="57"/>
      <c r="L152" s="57"/>
    </row>
    <row r="153" spans="1:12" s="1973" customFormat="1">
      <c r="A153" s="253"/>
      <c r="D153" s="1974"/>
      <c r="K153" s="57"/>
      <c r="L153" s="57"/>
    </row>
    <row r="154" spans="1:12" s="1973" customFormat="1">
      <c r="A154" s="253"/>
      <c r="D154" s="1974"/>
      <c r="K154" s="57"/>
      <c r="L154" s="57"/>
    </row>
    <row r="155" spans="1:12" s="1973" customFormat="1">
      <c r="A155" s="253"/>
      <c r="D155" s="1974"/>
      <c r="K155" s="57"/>
      <c r="L155" s="57"/>
    </row>
    <row r="156" spans="1:12" s="1973" customFormat="1">
      <c r="A156" s="253"/>
      <c r="D156" s="1974"/>
      <c r="K156" s="57"/>
      <c r="L156" s="57"/>
    </row>
    <row r="157" spans="1:12" s="1973" customFormat="1">
      <c r="A157" s="253"/>
      <c r="D157" s="1974"/>
      <c r="K157" s="57"/>
      <c r="L157" s="57"/>
    </row>
    <row r="158" spans="1:12" s="1973" customFormat="1">
      <c r="A158" s="253"/>
      <c r="D158" s="1974"/>
      <c r="K158" s="57"/>
      <c r="L158" s="57"/>
    </row>
    <row r="159" spans="1:12" s="1973" customFormat="1">
      <c r="A159" s="253"/>
      <c r="D159" s="1974"/>
      <c r="K159" s="57"/>
      <c r="L159" s="57"/>
    </row>
    <row r="160" spans="1:12" s="1973" customFormat="1">
      <c r="A160" s="253"/>
      <c r="D160" s="1974"/>
      <c r="K160" s="57"/>
      <c r="L160" s="57"/>
    </row>
    <row r="161" spans="1:12" s="1973" customFormat="1">
      <c r="A161" s="253"/>
      <c r="D161" s="1974"/>
      <c r="K161" s="57"/>
      <c r="L161" s="57"/>
    </row>
    <row r="162" spans="1:12" s="1973" customFormat="1">
      <c r="A162" s="253"/>
      <c r="D162" s="1974"/>
      <c r="K162" s="57"/>
      <c r="L162" s="57"/>
    </row>
    <row r="163" spans="1:12" s="1973" customFormat="1">
      <c r="A163" s="253"/>
      <c r="D163" s="1974"/>
      <c r="K163" s="57"/>
      <c r="L163" s="57"/>
    </row>
    <row r="164" spans="1:12" s="1973" customFormat="1">
      <c r="A164" s="253"/>
      <c r="D164" s="1974"/>
      <c r="K164" s="57"/>
      <c r="L164" s="57"/>
    </row>
    <row r="165" spans="1:12" s="1973" customFormat="1">
      <c r="A165" s="253"/>
      <c r="D165" s="1974"/>
      <c r="K165" s="57"/>
      <c r="L165" s="57"/>
    </row>
    <row r="166" spans="1:12" s="1973" customFormat="1">
      <c r="A166" s="253"/>
      <c r="D166" s="1974"/>
      <c r="K166" s="57"/>
      <c r="L166" s="57"/>
    </row>
    <row r="167" spans="1:12" s="1973" customFormat="1">
      <c r="A167" s="253"/>
      <c r="D167" s="1974"/>
      <c r="K167" s="57"/>
      <c r="L167" s="57"/>
    </row>
    <row r="168" spans="1:12" s="1973" customFormat="1">
      <c r="A168" s="253"/>
      <c r="D168" s="1974"/>
      <c r="K168" s="57"/>
      <c r="L168" s="57"/>
    </row>
    <row r="169" spans="1:12" s="1973" customFormat="1">
      <c r="A169" s="253"/>
      <c r="D169" s="1974"/>
      <c r="K169" s="57"/>
      <c r="L169" s="57"/>
    </row>
    <row r="170" spans="1:12" s="1973" customFormat="1">
      <c r="A170" s="253"/>
      <c r="D170" s="1974"/>
      <c r="K170" s="57"/>
      <c r="L170" s="57"/>
    </row>
    <row r="171" spans="1:12" s="1973" customFormat="1">
      <c r="A171" s="253"/>
      <c r="D171" s="1974"/>
      <c r="K171" s="57"/>
      <c r="L171" s="57"/>
    </row>
    <row r="172" spans="1:12" s="1973" customFormat="1">
      <c r="A172" s="253"/>
      <c r="D172" s="1974"/>
      <c r="K172" s="57"/>
      <c r="L172" s="57"/>
    </row>
    <row r="173" spans="1:12" s="1973" customFormat="1">
      <c r="A173" s="253"/>
      <c r="D173" s="1974"/>
      <c r="K173" s="57"/>
      <c r="L173" s="57"/>
    </row>
    <row r="174" spans="1:12" s="1973" customFormat="1">
      <c r="A174" s="253"/>
      <c r="D174" s="1974"/>
      <c r="K174" s="57"/>
      <c r="L174" s="57"/>
    </row>
    <row r="175" spans="1:12" s="1973" customFormat="1">
      <c r="A175" s="253"/>
      <c r="D175" s="1974"/>
      <c r="K175" s="57"/>
      <c r="L175" s="57"/>
    </row>
    <row r="176" spans="1:12" s="1973" customFormat="1">
      <c r="A176" s="253"/>
      <c r="D176" s="1974"/>
      <c r="K176" s="57"/>
      <c r="L176" s="57"/>
    </row>
    <row r="177" spans="1:12" s="1973" customFormat="1">
      <c r="A177" s="253"/>
      <c r="D177" s="1974"/>
      <c r="K177" s="57"/>
      <c r="L177" s="57"/>
    </row>
    <row r="178" spans="1:12" s="1973" customFormat="1">
      <c r="A178" s="253"/>
      <c r="D178" s="1974"/>
      <c r="K178" s="57"/>
      <c r="L178" s="57"/>
    </row>
    <row r="179" spans="1:12" s="1973" customFormat="1">
      <c r="A179" s="253"/>
      <c r="D179" s="1974"/>
      <c r="K179" s="57"/>
      <c r="L179" s="57"/>
    </row>
    <row r="180" spans="1:12" s="1973" customFormat="1">
      <c r="A180" s="253"/>
      <c r="D180" s="1974"/>
      <c r="K180" s="57"/>
      <c r="L180" s="57"/>
    </row>
    <row r="181" spans="1:12" s="1973" customFormat="1">
      <c r="A181" s="253"/>
      <c r="D181" s="1974"/>
      <c r="K181" s="57"/>
      <c r="L181" s="57"/>
    </row>
    <row r="182" spans="1:12" s="1973" customFormat="1">
      <c r="A182" s="253"/>
      <c r="D182" s="1974"/>
      <c r="K182" s="57"/>
      <c r="L182" s="57"/>
    </row>
    <row r="183" spans="1:12" s="1973" customFormat="1">
      <c r="A183" s="253"/>
      <c r="D183" s="1974"/>
      <c r="K183" s="57"/>
      <c r="L183" s="57"/>
    </row>
    <row r="184" spans="1:12" s="1973" customFormat="1">
      <c r="A184" s="253"/>
      <c r="D184" s="1974"/>
      <c r="K184" s="57"/>
      <c r="L184" s="57"/>
    </row>
    <row r="185" spans="1:12" s="1973" customFormat="1">
      <c r="A185" s="253"/>
      <c r="D185" s="1974"/>
      <c r="K185" s="57"/>
      <c r="L185" s="57"/>
    </row>
    <row r="186" spans="1:12" s="1973" customFormat="1">
      <c r="A186" s="253"/>
      <c r="D186" s="1974"/>
      <c r="K186" s="57"/>
      <c r="L186" s="57"/>
    </row>
    <row r="187" spans="1:12" s="1973" customFormat="1">
      <c r="A187" s="253"/>
      <c r="D187" s="1974"/>
      <c r="K187" s="57"/>
      <c r="L187" s="57"/>
    </row>
    <row r="188" spans="1:12" s="1973" customFormat="1">
      <c r="A188" s="253"/>
      <c r="D188" s="1974"/>
      <c r="K188" s="57"/>
      <c r="L188" s="57"/>
    </row>
    <row r="189" spans="1:12" s="1973" customFormat="1">
      <c r="A189" s="253"/>
      <c r="D189" s="1974"/>
      <c r="K189" s="57"/>
      <c r="L189" s="57"/>
    </row>
    <row r="190" spans="1:12" s="1973" customFormat="1">
      <c r="A190" s="253"/>
      <c r="D190" s="1974"/>
      <c r="K190" s="57"/>
      <c r="L190" s="57"/>
    </row>
    <row r="191" spans="1:12" s="1973" customFormat="1">
      <c r="A191" s="253"/>
      <c r="D191" s="1974"/>
      <c r="K191" s="57"/>
      <c r="L191" s="57"/>
    </row>
    <row r="192" spans="1:12" s="1973" customFormat="1">
      <c r="A192" s="253"/>
      <c r="D192" s="1974"/>
      <c r="K192" s="57"/>
      <c r="L192" s="57"/>
    </row>
  </sheetData>
  <sheetProtection password="C66D" sheet="1" objects="1" scenarios="1" formatCells="0" formatColumns="0" formatRows="0"/>
  <dataConsolidate/>
  <phoneticPr fontId="6"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3" customWidth="1"/>
    <col min="2" max="2" width="24.5" style="1998" customWidth="1"/>
    <col min="3" max="3" width="24.5" style="2000" customWidth="1"/>
    <col min="4" max="4" width="2.625" style="2000" customWidth="1"/>
    <col min="5" max="5" width="5.875" style="2000" customWidth="1"/>
    <col min="6" max="6" width="27" style="1998" customWidth="1"/>
    <col min="7" max="7" width="27" style="1999" customWidth="1"/>
    <col min="8" max="8" width="11.875" style="1998" customWidth="1"/>
    <col min="9" max="9" width="16.625" style="1999" customWidth="1"/>
    <col min="10" max="10" width="2.625" style="2000" customWidth="1"/>
    <col min="11" max="11" width="11.875" style="1998" customWidth="1"/>
    <col min="12" max="12" width="16.625" style="1999" customWidth="1"/>
    <col min="13" max="13" width="2.625" style="2000" customWidth="1"/>
    <col min="14" max="14" width="11.875" style="1998" customWidth="1"/>
    <col min="15" max="15" width="16.625" style="1999" customWidth="1"/>
    <col min="16" max="16" width="2.625" style="2000" customWidth="1"/>
    <col min="17" max="17" width="11.875" style="1998" customWidth="1"/>
    <col min="18" max="18" width="16.625" style="2001" customWidth="1"/>
    <col min="19" max="16384" width="9" style="1983"/>
  </cols>
  <sheetData>
    <row r="1" spans="1:18" s="1982" customFormat="1" ht="19.5" thickBot="1">
      <c r="A1" s="3686" t="s">
        <v>1641</v>
      </c>
      <c r="B1" s="3687"/>
      <c r="C1" s="3687"/>
      <c r="D1" s="3687"/>
      <c r="E1" s="3687"/>
      <c r="F1" s="3687"/>
      <c r="G1" s="3687"/>
      <c r="H1" s="1977"/>
      <c r="I1" s="1978"/>
      <c r="J1" s="1979"/>
      <c r="K1" s="1977"/>
      <c r="L1" s="1978"/>
      <c r="M1" s="1979"/>
      <c r="N1" s="1977"/>
      <c r="O1" s="1978"/>
      <c r="P1" s="1979"/>
      <c r="Q1" s="1980"/>
      <c r="R1" s="1981"/>
    </row>
    <row r="2" spans="1:18" ht="14.25" thickBot="1">
      <c r="A2" s="1207"/>
      <c r="B2" s="1208"/>
      <c r="C2" s="1209" t="s">
        <v>1642</v>
      </c>
      <c r="D2" s="1210"/>
      <c r="E2" s="1211"/>
      <c r="F2" s="1212"/>
      <c r="G2" s="1209" t="s">
        <v>1643</v>
      </c>
      <c r="H2" s="1983"/>
      <c r="I2" s="1983"/>
      <c r="J2" s="1983"/>
      <c r="K2" s="1983"/>
      <c r="L2" s="1983"/>
      <c r="M2" s="1983"/>
      <c r="N2" s="1983"/>
      <c r="O2" s="1983"/>
      <c r="P2" s="1983"/>
      <c r="Q2" s="1983"/>
      <c r="R2" s="1983"/>
    </row>
    <row r="3" spans="1:18" ht="54">
      <c r="A3" s="1213" t="s">
        <v>1644</v>
      </c>
      <c r="B3" s="1214" t="s">
        <v>1631</v>
      </c>
      <c r="C3" s="3007" t="s">
        <v>2897</v>
      </c>
      <c r="D3" s="1984"/>
      <c r="E3" s="1215" t="s">
        <v>1644</v>
      </c>
      <c r="F3" s="1216" t="s">
        <v>1632</v>
      </c>
      <c r="G3" s="3011" t="s">
        <v>2896</v>
      </c>
      <c r="H3" s="1983"/>
      <c r="I3" s="1983"/>
      <c r="J3" s="1983"/>
      <c r="K3" s="1983"/>
      <c r="L3" s="1983"/>
      <c r="M3" s="1983"/>
      <c r="N3" s="1983"/>
      <c r="O3" s="1983"/>
      <c r="P3" s="1983"/>
      <c r="Q3" s="1983"/>
      <c r="R3" s="1983"/>
    </row>
    <row r="4" spans="1:18" ht="41.25">
      <c r="A4" s="1215"/>
      <c r="B4" s="1217" t="s">
        <v>1645</v>
      </c>
      <c r="C4" s="3008" t="s">
        <v>2898</v>
      </c>
      <c r="D4" s="1984"/>
      <c r="E4" s="1218"/>
      <c r="F4" s="1219" t="s">
        <v>1646</v>
      </c>
      <c r="G4" s="3009" t="s">
        <v>2893</v>
      </c>
      <c r="H4" s="1983"/>
      <c r="I4" s="1983"/>
      <c r="J4" s="1983"/>
      <c r="K4" s="1983"/>
      <c r="L4" s="1983"/>
      <c r="M4" s="1983"/>
      <c r="N4" s="1983"/>
      <c r="O4" s="1983"/>
      <c r="P4" s="1983"/>
      <c r="Q4" s="1983"/>
      <c r="R4" s="1983"/>
    </row>
    <row r="5" spans="1:18" ht="41.25">
      <c r="A5" s="1215"/>
      <c r="B5" s="1217" t="s">
        <v>1647</v>
      </c>
      <c r="C5" s="3008" t="s">
        <v>2899</v>
      </c>
      <c r="D5" s="1984"/>
      <c r="E5" s="1218"/>
      <c r="F5" s="1217" t="s">
        <v>2521</v>
      </c>
      <c r="G5" s="3009" t="s">
        <v>2894</v>
      </c>
      <c r="H5" s="1983"/>
      <c r="I5" s="1983"/>
      <c r="J5" s="1983"/>
      <c r="K5" s="1983"/>
      <c r="L5" s="1983"/>
      <c r="M5" s="1983"/>
      <c r="N5" s="1983"/>
      <c r="O5" s="1983"/>
      <c r="P5" s="1983"/>
      <c r="Q5" s="1983"/>
      <c r="R5" s="1983"/>
    </row>
    <row r="6" spans="1:18" ht="54">
      <c r="A6" s="1215"/>
      <c r="B6" s="1217" t="s">
        <v>1633</v>
      </c>
      <c r="C6" s="3009" t="s">
        <v>2893</v>
      </c>
      <c r="D6" s="1984"/>
      <c r="E6" s="1218"/>
      <c r="F6" s="1217" t="s">
        <v>2522</v>
      </c>
      <c r="G6" s="3009" t="s">
        <v>2891</v>
      </c>
      <c r="H6" s="1983"/>
      <c r="I6" s="1983"/>
      <c r="J6" s="1983"/>
      <c r="K6" s="1983"/>
      <c r="L6" s="1983"/>
      <c r="M6" s="1983"/>
      <c r="N6" s="1983"/>
      <c r="O6" s="1983"/>
      <c r="P6" s="1983"/>
      <c r="Q6" s="1983"/>
      <c r="R6" s="1983"/>
    </row>
    <row r="7" spans="1:18" ht="41.25" thickBot="1">
      <c r="A7" s="1215"/>
      <c r="B7" s="1217" t="s">
        <v>2521</v>
      </c>
      <c r="C7" s="3009" t="s">
        <v>2894</v>
      </c>
      <c r="D7" s="1985"/>
      <c r="E7" s="1220"/>
      <c r="F7" s="1221" t="s">
        <v>1648</v>
      </c>
      <c r="G7" s="3012" t="s">
        <v>2895</v>
      </c>
      <c r="H7" s="1983"/>
      <c r="I7" s="1983"/>
      <c r="J7" s="1983"/>
      <c r="K7" s="1983"/>
      <c r="L7" s="1983"/>
      <c r="M7" s="1983"/>
      <c r="N7" s="1983"/>
      <c r="O7" s="1983"/>
      <c r="P7" s="1983"/>
      <c r="Q7" s="1983"/>
      <c r="R7" s="1983"/>
    </row>
    <row r="8" spans="1:18" ht="27">
      <c r="A8" s="1215"/>
      <c r="B8" s="1217" t="s">
        <v>2522</v>
      </c>
      <c r="C8" s="3009" t="s">
        <v>2891</v>
      </c>
      <c r="D8" s="1985"/>
      <c r="E8" s="1985"/>
      <c r="F8" s="1530"/>
      <c r="G8" s="1530"/>
      <c r="H8" s="1983"/>
      <c r="I8" s="1983"/>
      <c r="J8" s="1983"/>
      <c r="K8" s="1983"/>
      <c r="L8" s="1983"/>
      <c r="M8" s="1983"/>
      <c r="N8" s="1983"/>
      <c r="O8" s="1983"/>
      <c r="P8" s="1983"/>
      <c r="Q8" s="1983"/>
      <c r="R8" s="1983"/>
    </row>
    <row r="9" spans="1:18" ht="40.5">
      <c r="A9" s="1215"/>
      <c r="B9" s="1217" t="s">
        <v>1634</v>
      </c>
      <c r="C9" s="3008" t="s">
        <v>2892</v>
      </c>
      <c r="D9" s="1984"/>
      <c r="E9" s="1985"/>
      <c r="F9" s="1530"/>
      <c r="G9" s="1530"/>
      <c r="H9" s="1983"/>
      <c r="I9" s="1983"/>
      <c r="J9" s="1983"/>
      <c r="K9" s="1983"/>
      <c r="L9" s="1983"/>
      <c r="M9" s="1983"/>
      <c r="N9" s="1983"/>
      <c r="O9" s="1983"/>
      <c r="P9" s="1983"/>
      <c r="Q9" s="1983"/>
      <c r="R9" s="1983"/>
    </row>
    <row r="10" spans="1:18" s="1991" customFormat="1" ht="15" thickBot="1">
      <c r="A10" s="1222"/>
      <c r="B10" s="1223" t="s">
        <v>1649</v>
      </c>
      <c r="C10" s="3010"/>
      <c r="D10" s="1984"/>
      <c r="E10" s="1984"/>
      <c r="F10" s="1530"/>
      <c r="G10" s="1530"/>
      <c r="H10" s="1988"/>
      <c r="I10" s="1989"/>
      <c r="J10" s="1990"/>
      <c r="K10" s="1988"/>
      <c r="L10" s="1989"/>
      <c r="M10" s="1990"/>
      <c r="N10" s="1988"/>
      <c r="O10" s="1989"/>
      <c r="P10" s="1990"/>
      <c r="Q10" s="1988"/>
      <c r="R10" s="1989"/>
    </row>
    <row r="11" spans="1:18" s="1991" customFormat="1">
      <c r="A11" s="1986"/>
      <c r="B11" s="1985"/>
      <c r="C11" s="1984"/>
      <c r="D11" s="1984"/>
      <c r="E11" s="1984"/>
      <c r="F11" s="1985"/>
      <c r="G11" s="1987"/>
      <c r="H11" s="1988"/>
      <c r="I11" s="1989"/>
      <c r="J11" s="1990"/>
      <c r="K11" s="1988"/>
      <c r="L11" s="1989"/>
      <c r="M11" s="1990"/>
      <c r="N11" s="1988"/>
      <c r="O11" s="1989"/>
      <c r="P11" s="1990"/>
      <c r="Q11" s="1988"/>
      <c r="R11" s="1989"/>
    </row>
    <row r="12" spans="1:18" s="1982" customFormat="1" ht="18.75">
      <c r="A12" s="1986"/>
      <c r="B12" s="1985"/>
      <c r="C12" s="1984"/>
      <c r="D12" s="2516"/>
      <c r="E12" s="1984"/>
      <c r="F12" s="1985"/>
      <c r="G12" s="1987"/>
      <c r="H12" s="1992"/>
      <c r="I12" s="1993"/>
      <c r="J12" s="1992"/>
      <c r="K12" s="1992"/>
      <c r="L12" s="1994"/>
      <c r="M12" s="1992"/>
      <c r="N12" s="1995"/>
      <c r="O12" s="1996"/>
      <c r="P12" s="1997"/>
      <c r="Q12" s="1995"/>
      <c r="R12" s="1981"/>
    </row>
    <row r="13" spans="1:18" ht="19.5" thickBot="1">
      <c r="A13" s="2515" t="s">
        <v>1650</v>
      </c>
      <c r="B13" s="2516"/>
      <c r="C13" s="2516"/>
      <c r="D13" s="1210"/>
      <c r="E13" s="2516"/>
      <c r="F13" s="2516"/>
      <c r="G13" s="2516"/>
    </row>
    <row r="14" spans="1:18" ht="14.25" thickBot="1">
      <c r="A14" s="1224"/>
      <c r="B14" s="1225"/>
      <c r="C14" s="1226" t="s">
        <v>1642</v>
      </c>
      <c r="D14" s="1984"/>
      <c r="E14" s="1227"/>
      <c r="F14" s="1227"/>
      <c r="G14" s="1209" t="s">
        <v>1643</v>
      </c>
    </row>
    <row r="15" spans="1:18" ht="54">
      <c r="A15" s="2526" t="s">
        <v>1635</v>
      </c>
      <c r="B15" s="1228" t="s">
        <v>1631</v>
      </c>
      <c r="C15" s="1229" t="str">
        <f>C3</f>
        <v>估价对象周边居住用地比例、居住小区规模和社区发展完善程度，综合评价居住社区成熟度一般</v>
      </c>
      <c r="D15" s="1984"/>
      <c r="E15" s="2523" t="s">
        <v>1636</v>
      </c>
      <c r="F15" s="1228" t="s">
        <v>1651</v>
      </c>
      <c r="G15" s="1230" t="str">
        <f>G3</f>
        <v>估价对象位于XX开发区，园区建设成熟度XX，产业集聚程度XX</v>
      </c>
    </row>
    <row r="16" spans="1:18" ht="40.5">
      <c r="A16" s="2527"/>
      <c r="B16" s="1231" t="s">
        <v>1645</v>
      </c>
      <c r="C16" s="1232" t="str">
        <f>C4</f>
        <v>估价对象位于XX商圈，周边商业氛围成熟，人流量大，商业繁华度好</v>
      </c>
      <c r="D16" s="1984"/>
      <c r="E16" s="2524"/>
      <c r="F16" s="1233" t="s">
        <v>1646</v>
      </c>
      <c r="G16" s="996" t="str">
        <f>G4</f>
        <v>估价对象周边道路状况、公共交通通达情况、停车便捷程度，综合评价交通便捷度较好</v>
      </c>
    </row>
    <row r="17" spans="1:7" ht="40.5">
      <c r="A17" s="2527"/>
      <c r="B17" s="1231" t="s">
        <v>1647</v>
      </c>
      <c r="C17" s="1232" t="str">
        <f>C5</f>
        <v>估价对象位于XX商圈，周边办公楼项目较多，入驻率高，办公集聚程度较好</v>
      </c>
      <c r="D17" s="1985"/>
      <c r="E17" s="2524"/>
      <c r="F17" s="1233" t="s">
        <v>1652</v>
      </c>
      <c r="G17" s="2724"/>
    </row>
    <row r="18" spans="1:7" ht="54">
      <c r="A18" s="2527"/>
      <c r="B18" s="1233" t="s">
        <v>1633</v>
      </c>
      <c r="C18" s="996" t="str">
        <f>C6</f>
        <v>估价对象周边道路状况、公共交通通达情况、停车便捷程度，综合评价交通便捷度较好</v>
      </c>
      <c r="D18" s="1985"/>
      <c r="E18" s="2524"/>
      <c r="F18" s="1233" t="s">
        <v>1648</v>
      </c>
      <c r="G18" s="996" t="str">
        <f>G7</f>
        <v>该园区内是否有污染型企业，绿化情况，卫生条件，整体环境状况判断</v>
      </c>
    </row>
    <row r="19" spans="1:7" ht="27">
      <c r="A19" s="2527"/>
      <c r="B19" s="1233" t="s">
        <v>1637</v>
      </c>
      <c r="C19" s="2724"/>
      <c r="D19" s="1984"/>
      <c r="E19" s="2524"/>
      <c r="F19" s="1217" t="s">
        <v>2521</v>
      </c>
      <c r="G19" s="996" t="str">
        <f>G5</f>
        <v>估价对象所在区域公共配套设施齐备情况</v>
      </c>
    </row>
    <row r="20" spans="1:7" ht="40.5">
      <c r="A20" s="2527"/>
      <c r="B20" s="1233" t="s">
        <v>1638</v>
      </c>
      <c r="C20" s="1232" t="str">
        <f>C9</f>
        <v>区域自然环境：；人文环境；综合评价环境状况一般</v>
      </c>
      <c r="D20" s="1985"/>
      <c r="E20" s="2524"/>
      <c r="F20" s="1217" t="s">
        <v>2522</v>
      </c>
      <c r="G20" s="996" t="str">
        <f>G6</f>
        <v>估价对象所在区域基础设施水平</v>
      </c>
    </row>
    <row r="21" spans="1:7" ht="27">
      <c r="A21" s="2527"/>
      <c r="B21" s="1217" t="s">
        <v>2521</v>
      </c>
      <c r="C21" s="996" t="str">
        <f>C7</f>
        <v>估价对象所在区域公共配套设施齐备情况</v>
      </c>
      <c r="D21" s="1984"/>
      <c r="E21" s="2524"/>
      <c r="F21" s="1233" t="s">
        <v>1639</v>
      </c>
      <c r="G21" s="3013"/>
    </row>
    <row r="22" spans="1:7" ht="27">
      <c r="A22" s="2527"/>
      <c r="B22" s="1217" t="s">
        <v>2522</v>
      </c>
      <c r="C22" s="996" t="str">
        <f>C8</f>
        <v>估价对象所在区域基础设施水平</v>
      </c>
      <c r="D22" s="1984"/>
      <c r="E22" s="2524"/>
      <c r="F22" s="1233" t="s">
        <v>1649</v>
      </c>
      <c r="G22" s="2724"/>
    </row>
    <row r="23" spans="1:7" ht="15" thickBot="1">
      <c r="A23" s="2527"/>
      <c r="B23" s="1233" t="s">
        <v>1639</v>
      </c>
      <c r="C23" s="3013"/>
      <c r="E23" s="2525"/>
      <c r="F23" s="1234" t="s">
        <v>1653</v>
      </c>
      <c r="G23" s="3014"/>
    </row>
    <row r="24" spans="1:7" ht="14.25" thickBot="1">
      <c r="A24" s="2528"/>
      <c r="B24" s="1234" t="s">
        <v>1640</v>
      </c>
      <c r="C24" s="1235">
        <f>C10</f>
        <v>0</v>
      </c>
      <c r="E24" s="2002"/>
      <c r="F24" s="2002"/>
      <c r="G24" s="2003"/>
    </row>
    <row r="25" spans="1:7">
      <c r="E25" s="1983"/>
      <c r="F25" s="1983"/>
      <c r="G25" s="1983"/>
    </row>
    <row r="26" spans="1:7">
      <c r="E26" s="1983"/>
      <c r="F26" s="1983"/>
      <c r="G26" s="1983"/>
    </row>
    <row r="27" spans="1:7">
      <c r="E27" s="1983"/>
      <c r="F27" s="1983"/>
      <c r="G27" s="1983"/>
    </row>
    <row r="28" spans="1:7">
      <c r="E28" s="1983"/>
      <c r="F28" s="1983"/>
      <c r="G28" s="1983"/>
    </row>
    <row r="29" spans="1:7">
      <c r="E29" s="1983"/>
      <c r="F29" s="1983"/>
      <c r="G29" s="1983"/>
    </row>
    <row r="30" spans="1:7">
      <c r="E30" s="1983"/>
      <c r="F30" s="1983"/>
      <c r="G30" s="1983"/>
    </row>
    <row r="31" spans="1:7">
      <c r="E31" s="1983"/>
      <c r="F31" s="1983"/>
      <c r="G31" s="1983"/>
    </row>
    <row r="32" spans="1:7">
      <c r="E32" s="1983"/>
      <c r="F32" s="1983"/>
      <c r="G32" s="1983"/>
    </row>
    <row r="33" spans="5:7">
      <c r="E33" s="1983"/>
      <c r="F33" s="1983"/>
      <c r="G33" s="1983"/>
    </row>
    <row r="34" spans="5:7">
      <c r="E34" s="1983"/>
      <c r="F34" s="1983"/>
      <c r="G34" s="1983"/>
    </row>
    <row r="35" spans="5:7">
      <c r="E35" s="1983"/>
      <c r="F35" s="1983"/>
      <c r="G35" s="1983"/>
    </row>
    <row r="36" spans="5:7">
      <c r="E36" s="1983"/>
      <c r="F36" s="1983"/>
      <c r="G36" s="1983"/>
    </row>
    <row r="37" spans="5:7">
      <c r="E37" s="1983"/>
      <c r="F37" s="1983"/>
      <c r="G37" s="1983"/>
    </row>
  </sheetData>
  <sheetProtection password="C66D"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3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selection activeCell="K17" sqref="K17"/>
    </sheetView>
  </sheetViews>
  <sheetFormatPr defaultColWidth="9" defaultRowHeight="13.5"/>
  <cols>
    <col min="1" max="1" width="9" style="3170"/>
    <col min="2" max="2" width="20" style="3170" customWidth="1"/>
    <col min="3" max="5" width="12.125" style="3172" customWidth="1"/>
    <col min="6" max="6" width="9" style="3170"/>
    <col min="7" max="11" width="9" style="3172"/>
    <col min="12" max="12" width="9" style="3170"/>
    <col min="13" max="13" width="9" style="3172"/>
    <col min="14" max="16384" width="9" style="3170"/>
  </cols>
  <sheetData>
    <row r="1" spans="1:13" ht="40.5" customHeight="1">
      <c r="A1" s="3688" t="s">
        <v>2975</v>
      </c>
      <c r="B1" s="3688" t="s">
        <v>2976</v>
      </c>
      <c r="C1" s="3688" t="s">
        <v>2977</v>
      </c>
      <c r="D1" s="3688" t="s">
        <v>2978</v>
      </c>
      <c r="E1" s="3688" t="s">
        <v>2979</v>
      </c>
      <c r="F1" s="3688" t="s">
        <v>2980</v>
      </c>
      <c r="G1" s="3690" t="s">
        <v>3165</v>
      </c>
      <c r="H1" s="3690"/>
      <c r="I1" s="3690" t="s">
        <v>3168</v>
      </c>
      <c r="J1" s="3690"/>
      <c r="K1" s="3690" t="s">
        <v>3169</v>
      </c>
      <c r="L1" s="3691" t="s">
        <v>3170</v>
      </c>
      <c r="M1" s="3690" t="s">
        <v>3171</v>
      </c>
    </row>
    <row r="2" spans="1:13">
      <c r="A2" s="3689"/>
      <c r="B2" s="3689"/>
      <c r="C2" s="3689"/>
      <c r="D2" s="3689"/>
      <c r="E2" s="3689"/>
      <c r="F2" s="3689"/>
      <c r="G2" s="3556" t="s">
        <v>3166</v>
      </c>
      <c r="H2" s="3556" t="s">
        <v>3167</v>
      </c>
      <c r="I2" s="3556" t="s">
        <v>3166</v>
      </c>
      <c r="J2" s="3556" t="s">
        <v>3167</v>
      </c>
      <c r="K2" s="3690"/>
      <c r="L2" s="3689"/>
      <c r="M2" s="3690"/>
    </row>
    <row r="3" spans="1:13">
      <c r="A3" s="3694" t="s">
        <v>2981</v>
      </c>
      <c r="B3" s="3168" t="s">
        <v>2982</v>
      </c>
      <c r="C3" s="3169"/>
      <c r="D3" s="3169"/>
      <c r="E3" s="3169"/>
      <c r="F3" s="3168"/>
      <c r="G3" s="3169"/>
      <c r="H3" s="3169"/>
      <c r="I3" s="3169"/>
      <c r="J3" s="3169"/>
      <c r="K3" s="3169"/>
      <c r="L3" s="3171"/>
      <c r="M3" s="3169"/>
    </row>
    <row r="4" spans="1:13">
      <c r="A4" s="3694"/>
      <c r="B4" s="3168" t="s">
        <v>2983</v>
      </c>
      <c r="C4" s="3169"/>
      <c r="D4" s="3169"/>
      <c r="E4" s="3169"/>
      <c r="F4" s="3168"/>
      <c r="G4" s="3169"/>
      <c r="H4" s="3169"/>
      <c r="I4" s="3169"/>
      <c r="J4" s="3169"/>
      <c r="K4" s="3169"/>
      <c r="L4" s="3171"/>
      <c r="M4" s="3169"/>
    </row>
    <row r="5" spans="1:13">
      <c r="A5" s="3694"/>
      <c r="B5" s="3168" t="s">
        <v>2984</v>
      </c>
      <c r="C5" s="3169"/>
      <c r="D5" s="3169"/>
      <c r="E5" s="3169"/>
      <c r="F5" s="3168"/>
      <c r="G5" s="3169"/>
      <c r="H5" s="3169"/>
      <c r="I5" s="3169"/>
      <c r="J5" s="3169"/>
      <c r="K5" s="3169"/>
      <c r="L5" s="3171"/>
      <c r="M5" s="3169"/>
    </row>
    <row r="6" spans="1:13">
      <c r="A6" s="3694"/>
      <c r="B6" s="3168" t="s">
        <v>2985</v>
      </c>
      <c r="C6" s="3169"/>
      <c r="D6" s="3169"/>
      <c r="E6" s="3169"/>
      <c r="F6" s="3168"/>
      <c r="G6" s="3169"/>
      <c r="H6" s="3169"/>
      <c r="I6" s="3169"/>
      <c r="J6" s="3169"/>
      <c r="K6" s="3169"/>
      <c r="L6" s="3171"/>
      <c r="M6" s="3169"/>
    </row>
    <row r="7" spans="1:13">
      <c r="A7" s="3694"/>
      <c r="B7" s="3168" t="s">
        <v>2986</v>
      </c>
      <c r="C7" s="3169"/>
      <c r="D7" s="3169"/>
      <c r="E7" s="3169"/>
      <c r="F7" s="3168"/>
      <c r="G7" s="3169"/>
      <c r="H7" s="3169"/>
      <c r="I7" s="3169"/>
      <c r="J7" s="3169"/>
      <c r="K7" s="3169"/>
      <c r="L7" s="3171"/>
      <c r="M7" s="3169"/>
    </row>
    <row r="8" spans="1:13">
      <c r="A8" s="3694"/>
      <c r="B8" s="3168" t="s">
        <v>2987</v>
      </c>
      <c r="C8" s="3169"/>
      <c r="D8" s="3169"/>
      <c r="E8" s="3169"/>
      <c r="F8" s="3168"/>
      <c r="G8" s="3169"/>
      <c r="H8" s="3169"/>
      <c r="I8" s="3169"/>
      <c r="J8" s="3169"/>
      <c r="K8" s="3169"/>
      <c r="L8" s="3171"/>
      <c r="M8" s="3169"/>
    </row>
    <row r="9" spans="1:13">
      <c r="A9" s="3692" t="s">
        <v>2988</v>
      </c>
      <c r="B9" s="3693"/>
      <c r="C9" s="3169"/>
      <c r="D9" s="3169"/>
      <c r="E9" s="3169"/>
      <c r="F9" s="3168"/>
      <c r="G9" s="3169"/>
      <c r="H9" s="3169"/>
      <c r="I9" s="3169"/>
      <c r="J9" s="3169"/>
      <c r="K9" s="3169"/>
      <c r="L9" s="3171"/>
      <c r="M9" s="3169"/>
    </row>
    <row r="10" spans="1:13" ht="15" customHeight="1">
      <c r="A10" s="3694" t="s">
        <v>2989</v>
      </c>
      <c r="B10" s="3168" t="s">
        <v>2990</v>
      </c>
      <c r="C10" s="3169">
        <v>177482</v>
      </c>
      <c r="D10" s="3169">
        <v>338786</v>
      </c>
      <c r="E10" s="3169" t="s">
        <v>2991</v>
      </c>
      <c r="F10" s="3688" t="s">
        <v>2992</v>
      </c>
      <c r="G10" s="3169"/>
      <c r="H10" s="3169"/>
      <c r="I10" s="3169"/>
      <c r="J10" s="3169"/>
      <c r="K10" s="3169"/>
      <c r="L10" s="3171"/>
      <c r="M10" s="3169"/>
    </row>
    <row r="11" spans="1:13">
      <c r="A11" s="3694"/>
      <c r="B11" s="3173" t="s">
        <v>2983</v>
      </c>
      <c r="C11" s="3174">
        <v>8338</v>
      </c>
      <c r="D11" s="3174">
        <v>16676</v>
      </c>
      <c r="E11" s="3169" t="s">
        <v>2993</v>
      </c>
      <c r="F11" s="3695"/>
      <c r="G11" s="3169">
        <f ca="1">'剩余法-待开发'!B3</f>
        <v>4733</v>
      </c>
      <c r="H11" s="3557">
        <v>0.65</v>
      </c>
      <c r="I11" s="3169">
        <f ca="1">成本逼近法!B3</f>
        <v>4915</v>
      </c>
      <c r="J11" s="3557">
        <f>1-H11</f>
        <v>0.35</v>
      </c>
      <c r="K11" s="3169">
        <f ca="1">ROUND(G11*H11+I11*J11,0)</f>
        <v>4797</v>
      </c>
      <c r="L11" s="3169">
        <f ca="1">ROUND(K11*(D11+D12)/10000,0)</f>
        <v>13174</v>
      </c>
      <c r="M11" s="3169">
        <f ca="1">ROUND(L11*10000/(C11+C12),0)</f>
        <v>8483</v>
      </c>
    </row>
    <row r="12" spans="1:13">
      <c r="A12" s="3694"/>
      <c r="B12" s="3173" t="s">
        <v>2994</v>
      </c>
      <c r="C12" s="3174">
        <v>7191</v>
      </c>
      <c r="D12" s="3174">
        <v>10787</v>
      </c>
      <c r="E12" s="3169" t="s">
        <v>2993</v>
      </c>
      <c r="F12" s="3695"/>
      <c r="G12" s="3169"/>
      <c r="H12" s="3169"/>
      <c r="I12" s="3169"/>
      <c r="J12" s="3169"/>
      <c r="K12" s="3169"/>
      <c r="L12" s="3171"/>
      <c r="M12" s="3169"/>
    </row>
    <row r="13" spans="1:13">
      <c r="A13" s="3694"/>
      <c r="B13" s="3168" t="s">
        <v>2986</v>
      </c>
      <c r="C13" s="3169">
        <v>26615</v>
      </c>
      <c r="D13" s="3169" t="s">
        <v>2993</v>
      </c>
      <c r="E13" s="3169" t="s">
        <v>2993</v>
      </c>
      <c r="F13" s="3695"/>
      <c r="G13" s="3169"/>
      <c r="H13" s="3169"/>
      <c r="I13" s="3169"/>
      <c r="J13" s="3169"/>
      <c r="K13" s="3169"/>
      <c r="L13" s="3171"/>
      <c r="M13" s="3169"/>
    </row>
    <row r="14" spans="1:13">
      <c r="A14" s="3694"/>
      <c r="B14" s="3168" t="s">
        <v>2995</v>
      </c>
      <c r="C14" s="3169" t="s">
        <v>2996</v>
      </c>
      <c r="D14" s="3169" t="s">
        <v>2997</v>
      </c>
      <c r="E14" s="3169" t="s">
        <v>2997</v>
      </c>
      <c r="F14" s="3689"/>
      <c r="G14" s="3169"/>
      <c r="H14" s="3169"/>
      <c r="I14" s="3169"/>
      <c r="J14" s="3169"/>
      <c r="K14" s="3169"/>
      <c r="L14" s="3171"/>
      <c r="M14" s="3169"/>
    </row>
    <row r="15" spans="1:13">
      <c r="A15" s="3692" t="s">
        <v>2998</v>
      </c>
      <c r="B15" s="3693"/>
      <c r="C15" s="3169">
        <f>SUM(C10:C14)</f>
        <v>219626</v>
      </c>
      <c r="D15" s="3169">
        <f>SUM(D10:D14)</f>
        <v>366249</v>
      </c>
      <c r="E15" s="3169">
        <v>192038</v>
      </c>
      <c r="F15" s="3168"/>
      <c r="G15" s="3169"/>
      <c r="H15" s="3169"/>
      <c r="I15" s="3169"/>
      <c r="J15" s="3169"/>
      <c r="K15" s="3169"/>
      <c r="L15" s="3171"/>
      <c r="M15" s="3169"/>
    </row>
    <row r="16" spans="1:13">
      <c r="A16" s="3694" t="s">
        <v>2999</v>
      </c>
      <c r="B16" s="3168" t="s">
        <v>2990</v>
      </c>
      <c r="C16" s="3169">
        <v>125518</v>
      </c>
      <c r="D16" s="3169">
        <v>233000</v>
      </c>
      <c r="E16" s="3169" t="s">
        <v>3000</v>
      </c>
      <c r="F16" s="3168"/>
      <c r="G16" s="3169"/>
      <c r="H16" s="3169"/>
      <c r="I16" s="3169"/>
      <c r="J16" s="3169"/>
      <c r="K16" s="3169"/>
      <c r="L16" s="3171"/>
      <c r="M16" s="3169"/>
    </row>
    <row r="17" spans="1:13">
      <c r="A17" s="3694"/>
      <c r="B17" s="3168" t="s">
        <v>3001</v>
      </c>
      <c r="C17" s="3169">
        <v>7968</v>
      </c>
      <c r="D17" s="3169">
        <v>15936</v>
      </c>
      <c r="E17" s="3169" t="s">
        <v>3000</v>
      </c>
      <c r="F17" s="3168"/>
      <c r="G17" s="3169"/>
      <c r="H17" s="3169"/>
      <c r="I17" s="3169"/>
      <c r="J17" s="3169"/>
      <c r="K17" s="3169"/>
      <c r="L17" s="3171"/>
      <c r="M17" s="3169"/>
    </row>
    <row r="18" spans="1:13">
      <c r="A18" s="3694"/>
      <c r="B18" s="3168" t="s">
        <v>3002</v>
      </c>
      <c r="C18" s="3169">
        <v>68889</v>
      </c>
      <c r="D18" s="3169">
        <v>57761</v>
      </c>
      <c r="E18" s="3169" t="s">
        <v>3000</v>
      </c>
      <c r="F18" s="3168"/>
      <c r="G18" s="3169"/>
      <c r="H18" s="3169"/>
      <c r="I18" s="3169"/>
      <c r="J18" s="3169"/>
      <c r="K18" s="3169"/>
      <c r="L18" s="3171"/>
      <c r="M18" s="3169"/>
    </row>
    <row r="19" spans="1:13">
      <c r="A19" s="3694"/>
      <c r="B19" s="3168" t="s">
        <v>3003</v>
      </c>
      <c r="C19" s="3169">
        <v>6338</v>
      </c>
      <c r="D19" s="3169">
        <v>22183</v>
      </c>
      <c r="E19" s="3169" t="s">
        <v>3000</v>
      </c>
      <c r="F19" s="3168"/>
      <c r="G19" s="3169"/>
      <c r="H19" s="3169"/>
      <c r="I19" s="3169"/>
      <c r="J19" s="3169"/>
      <c r="K19" s="3169"/>
      <c r="L19" s="3171"/>
      <c r="M19" s="3169"/>
    </row>
    <row r="20" spans="1:13">
      <c r="A20" s="3694"/>
      <c r="B20" s="3168" t="s">
        <v>3004</v>
      </c>
      <c r="C20" s="3169">
        <v>64102</v>
      </c>
      <c r="D20" s="3169" t="s">
        <v>3000</v>
      </c>
      <c r="E20" s="3169" t="s">
        <v>3000</v>
      </c>
      <c r="F20" s="3168"/>
      <c r="G20" s="3169"/>
      <c r="H20" s="3169"/>
      <c r="I20" s="3169"/>
      <c r="J20" s="3169"/>
      <c r="K20" s="3169"/>
      <c r="L20" s="3171"/>
      <c r="M20" s="3169"/>
    </row>
    <row r="21" spans="1:13">
      <c r="A21" s="3694"/>
      <c r="B21" s="3168" t="s">
        <v>3005</v>
      </c>
      <c r="C21" s="3169" t="s">
        <v>3000</v>
      </c>
      <c r="D21" s="3169" t="s">
        <v>3000</v>
      </c>
      <c r="E21" s="3169" t="s">
        <v>3000</v>
      </c>
      <c r="F21" s="3168"/>
      <c r="G21" s="3169"/>
      <c r="H21" s="3169"/>
      <c r="I21" s="3169"/>
      <c r="J21" s="3169"/>
      <c r="K21" s="3169"/>
      <c r="L21" s="3171"/>
      <c r="M21" s="3169"/>
    </row>
    <row r="22" spans="1:13">
      <c r="A22" s="3692" t="s">
        <v>3006</v>
      </c>
      <c r="B22" s="3693"/>
      <c r="C22" s="3169">
        <f>SUM(C16:C21)</f>
        <v>272815</v>
      </c>
      <c r="D22" s="3169">
        <f>SUM(D16:D21)</f>
        <v>328880</v>
      </c>
      <c r="E22" s="3169">
        <v>134042</v>
      </c>
      <c r="F22" s="3168"/>
      <c r="G22" s="3169"/>
      <c r="H22" s="3169"/>
      <c r="I22" s="3169"/>
      <c r="J22" s="3169"/>
      <c r="K22" s="3169"/>
      <c r="L22" s="3171"/>
      <c r="M22" s="3169"/>
    </row>
    <row r="23" spans="1:13">
      <c r="A23" s="3694" t="s">
        <v>3007</v>
      </c>
      <c r="B23" s="3168" t="s">
        <v>2990</v>
      </c>
      <c r="C23" s="3169">
        <v>82091</v>
      </c>
      <c r="D23" s="3169">
        <v>155666</v>
      </c>
      <c r="E23" s="3169" t="s">
        <v>3000</v>
      </c>
      <c r="F23" s="3168"/>
      <c r="G23" s="3169"/>
      <c r="H23" s="3169"/>
      <c r="I23" s="3169"/>
      <c r="J23" s="3169"/>
      <c r="K23" s="3169"/>
      <c r="L23" s="3171"/>
      <c r="M23" s="3169"/>
    </row>
    <row r="24" spans="1:13">
      <c r="A24" s="3694"/>
      <c r="B24" s="3168" t="s">
        <v>3001</v>
      </c>
      <c r="C24" s="3169">
        <v>66854</v>
      </c>
      <c r="D24" s="3169">
        <v>106650</v>
      </c>
      <c r="E24" s="3169" t="s">
        <v>3000</v>
      </c>
      <c r="F24" s="3168"/>
      <c r="G24" s="3169"/>
      <c r="H24" s="3169"/>
      <c r="I24" s="3169"/>
      <c r="J24" s="3169"/>
      <c r="K24" s="3169"/>
      <c r="L24" s="3171"/>
      <c r="M24" s="3169"/>
    </row>
    <row r="25" spans="1:13">
      <c r="A25" s="3694"/>
      <c r="B25" s="3168" t="s">
        <v>3003</v>
      </c>
      <c r="C25" s="3169">
        <v>8317</v>
      </c>
      <c r="D25" s="3169">
        <v>16634</v>
      </c>
      <c r="E25" s="3169" t="s">
        <v>3000</v>
      </c>
      <c r="F25" s="3168"/>
      <c r="G25" s="3169"/>
      <c r="H25" s="3169"/>
      <c r="I25" s="3169"/>
      <c r="J25" s="3169"/>
      <c r="K25" s="3169"/>
      <c r="L25" s="3171"/>
      <c r="M25" s="3169"/>
    </row>
    <row r="26" spans="1:13">
      <c r="A26" s="3694"/>
      <c r="B26" s="3168" t="s">
        <v>3004</v>
      </c>
      <c r="C26" s="3169">
        <v>53656</v>
      </c>
      <c r="D26" s="3169" t="s">
        <v>3000</v>
      </c>
      <c r="E26" s="3169" t="s">
        <v>3000</v>
      </c>
      <c r="F26" s="3168"/>
      <c r="G26" s="3169"/>
      <c r="H26" s="3169"/>
      <c r="I26" s="3169"/>
      <c r="J26" s="3169"/>
      <c r="K26" s="3169"/>
      <c r="L26" s="3171"/>
      <c r="M26" s="3169"/>
    </row>
    <row r="27" spans="1:13">
      <c r="A27" s="3694"/>
      <c r="B27" s="3168" t="s">
        <v>3005</v>
      </c>
      <c r="C27" s="3169" t="s">
        <v>3000</v>
      </c>
      <c r="D27" s="3169" t="s">
        <v>3000</v>
      </c>
      <c r="E27" s="3169" t="s">
        <v>3000</v>
      </c>
      <c r="F27" s="3168"/>
      <c r="G27" s="3169"/>
      <c r="H27" s="3169"/>
      <c r="I27" s="3169"/>
      <c r="J27" s="3169"/>
      <c r="K27" s="3169"/>
      <c r="L27" s="3171"/>
      <c r="M27" s="3169"/>
    </row>
    <row r="28" spans="1:13">
      <c r="A28" s="3692" t="s">
        <v>3006</v>
      </c>
      <c r="B28" s="3693"/>
      <c r="C28" s="3169">
        <f>SUM(C23:C27)</f>
        <v>210918</v>
      </c>
      <c r="D28" s="3169">
        <f>SUM(D23:D27)</f>
        <v>278950</v>
      </c>
      <c r="E28" s="3169">
        <v>127487</v>
      </c>
      <c r="F28" s="3168"/>
      <c r="G28" s="3169"/>
      <c r="H28" s="3169"/>
      <c r="I28" s="3169"/>
      <c r="J28" s="3169"/>
      <c r="K28" s="3169"/>
      <c r="L28" s="3171"/>
      <c r="M28" s="3169"/>
    </row>
    <row r="29" spans="1:13">
      <c r="A29" s="3694" t="s">
        <v>3008</v>
      </c>
      <c r="B29" s="3168" t="s">
        <v>2990</v>
      </c>
      <c r="C29" s="3169">
        <v>119763</v>
      </c>
      <c r="D29" s="3169">
        <v>217677</v>
      </c>
      <c r="E29" s="3169" t="s">
        <v>3000</v>
      </c>
      <c r="F29" s="3168"/>
      <c r="G29" s="3169"/>
      <c r="H29" s="3169"/>
      <c r="I29" s="3169"/>
      <c r="J29" s="3169"/>
      <c r="K29" s="3169"/>
      <c r="L29" s="3171"/>
      <c r="M29" s="3169"/>
    </row>
    <row r="30" spans="1:13">
      <c r="A30" s="3694"/>
      <c r="B30" s="3168" t="s">
        <v>3001</v>
      </c>
      <c r="C30" s="3169">
        <v>15321</v>
      </c>
      <c r="D30" s="3169">
        <v>22982</v>
      </c>
      <c r="E30" s="3169" t="s">
        <v>3000</v>
      </c>
      <c r="F30" s="3168"/>
      <c r="G30" s="3169"/>
      <c r="H30" s="3169"/>
      <c r="I30" s="3169"/>
      <c r="J30" s="3169"/>
      <c r="K30" s="3169"/>
      <c r="L30" s="3171"/>
      <c r="M30" s="3169"/>
    </row>
    <row r="31" spans="1:13">
      <c r="A31" s="3694"/>
      <c r="B31" s="3168" t="s">
        <v>3003</v>
      </c>
      <c r="C31" s="3169">
        <v>53411</v>
      </c>
      <c r="D31" s="3169">
        <v>133528</v>
      </c>
      <c r="E31" s="3169" t="s">
        <v>3000</v>
      </c>
      <c r="F31" s="3168"/>
      <c r="G31" s="3169"/>
      <c r="H31" s="3169"/>
      <c r="I31" s="3169"/>
      <c r="J31" s="3169"/>
      <c r="K31" s="3169"/>
      <c r="L31" s="3171"/>
      <c r="M31" s="3169"/>
    </row>
    <row r="32" spans="1:13">
      <c r="A32" s="3694"/>
      <c r="B32" s="3168" t="s">
        <v>3004</v>
      </c>
      <c r="C32" s="3169">
        <v>19137</v>
      </c>
      <c r="D32" s="3169" t="s">
        <v>3000</v>
      </c>
      <c r="E32" s="3169" t="s">
        <v>3000</v>
      </c>
      <c r="F32" s="3168"/>
      <c r="G32" s="3169"/>
      <c r="H32" s="3169"/>
      <c r="I32" s="3169"/>
      <c r="J32" s="3169"/>
      <c r="K32" s="3169"/>
      <c r="L32" s="3171"/>
      <c r="M32" s="3169"/>
    </row>
    <row r="33" spans="1:13">
      <c r="A33" s="3694"/>
      <c r="B33" s="3168" t="s">
        <v>3005</v>
      </c>
      <c r="C33" s="3169" t="s">
        <v>3000</v>
      </c>
      <c r="D33" s="3169" t="s">
        <v>3000</v>
      </c>
      <c r="E33" s="3169" t="s">
        <v>3000</v>
      </c>
      <c r="F33" s="3168"/>
      <c r="G33" s="3169"/>
      <c r="H33" s="3169"/>
      <c r="I33" s="3169"/>
      <c r="J33" s="3169"/>
      <c r="K33" s="3169"/>
      <c r="L33" s="3171"/>
      <c r="M33" s="3169"/>
    </row>
    <row r="34" spans="1:13">
      <c r="A34" s="3692" t="s">
        <v>3006</v>
      </c>
      <c r="B34" s="3693"/>
      <c r="C34" s="3169">
        <f>SUM(C29:C33)</f>
        <v>207632</v>
      </c>
      <c r="D34" s="3169">
        <f>SUM(D29:D33)</f>
        <v>374187</v>
      </c>
      <c r="E34" s="3169">
        <v>116201</v>
      </c>
      <c r="F34" s="3168"/>
      <c r="G34" s="3169"/>
      <c r="H34" s="3169"/>
      <c r="I34" s="3169"/>
      <c r="J34" s="3169"/>
      <c r="K34" s="3169"/>
      <c r="L34" s="3171"/>
      <c r="M34" s="3169"/>
    </row>
    <row r="35" spans="1:13">
      <c r="A35" s="3692" t="s">
        <v>3009</v>
      </c>
      <c r="B35" s="3693"/>
      <c r="C35" s="3169">
        <f>C9+C15+C22+C28+C34</f>
        <v>910991</v>
      </c>
      <c r="D35" s="3169">
        <f t="shared" ref="D35:E35" si="0">D9+D15+D22+D28+D34</f>
        <v>1348266</v>
      </c>
      <c r="E35" s="3169">
        <f t="shared" si="0"/>
        <v>569768</v>
      </c>
      <c r="F35" s="3168"/>
      <c r="G35" s="3169"/>
      <c r="H35" s="3169"/>
      <c r="I35" s="3169"/>
      <c r="J35" s="3169"/>
      <c r="K35" s="3169"/>
      <c r="L35" s="3171"/>
      <c r="M35" s="3169"/>
    </row>
  </sheetData>
  <mergeCells count="23">
    <mergeCell ref="A1:A2"/>
    <mergeCell ref="B1:B2"/>
    <mergeCell ref="C1:C2"/>
    <mergeCell ref="A35:B35"/>
    <mergeCell ref="A3:A8"/>
    <mergeCell ref="A9:B9"/>
    <mergeCell ref="A10:A14"/>
    <mergeCell ref="F10:F14"/>
    <mergeCell ref="A15:B15"/>
    <mergeCell ref="A16:A21"/>
    <mergeCell ref="A22:B22"/>
    <mergeCell ref="A23:A27"/>
    <mergeCell ref="A28:B28"/>
    <mergeCell ref="A29:A33"/>
    <mergeCell ref="A34:B34"/>
    <mergeCell ref="D1:D2"/>
    <mergeCell ref="E1:E2"/>
    <mergeCell ref="K1:K2"/>
    <mergeCell ref="L1:L2"/>
    <mergeCell ref="M1:M2"/>
    <mergeCell ref="G1:H1"/>
    <mergeCell ref="I1:J1"/>
    <mergeCell ref="F1:F2"/>
  </mergeCells>
  <phoneticPr fontId="231"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71" t="s">
        <v>2818</v>
      </c>
      <c r="B1" s="2971">
        <f>SUM(B14:B23)</f>
        <v>556650.11</v>
      </c>
      <c r="C1" s="2972"/>
      <c r="D1" s="2972"/>
      <c r="E1" s="2972"/>
      <c r="F1" s="2972"/>
    </row>
    <row r="2" spans="1:9" ht="16.5">
      <c r="A2" s="2971" t="s">
        <v>2819</v>
      </c>
      <c r="B2" s="2971">
        <f>SUM(C14:C23)</f>
        <v>370783.53</v>
      </c>
      <c r="C2" s="2972"/>
      <c r="D2" s="2972"/>
      <c r="E2" s="2972"/>
      <c r="F2" s="2972"/>
    </row>
    <row r="3" spans="1:9" ht="16.5">
      <c r="A3" s="2971" t="s">
        <v>2820</v>
      </c>
      <c r="B3" s="2973">
        <f>项目基本情况!D3</f>
        <v>43933</v>
      </c>
      <c r="C3" s="2972"/>
      <c r="D3" s="2972"/>
      <c r="E3" s="2972"/>
      <c r="F3" s="2972"/>
    </row>
    <row r="4" spans="1:9" ht="33">
      <c r="A4" s="2971" t="s">
        <v>2821</v>
      </c>
      <c r="B4" s="2971" t="s">
        <v>2822</v>
      </c>
      <c r="C4" s="2971" t="s">
        <v>2823</v>
      </c>
      <c r="D4" s="2971" t="s">
        <v>2824</v>
      </c>
      <c r="E4" s="2972"/>
      <c r="F4" s="2972"/>
    </row>
    <row r="5" spans="1:9" ht="16.5">
      <c r="A5" s="2971" t="s">
        <v>2825</v>
      </c>
      <c r="B5" s="2971" t="e">
        <f ca="1">SUM(D14:D23)</f>
        <v>#DIV/0!</v>
      </c>
      <c r="C5" s="2971" t="e">
        <f ca="1">ROUND(B5*10000/$B$1,0)</f>
        <v>#DIV/0!</v>
      </c>
      <c r="D5" s="2971" t="e">
        <f ca="1">ROUND(B5*10000/$B$2,0)</f>
        <v>#DIV/0!</v>
      </c>
      <c r="E5" s="2972"/>
      <c r="F5" s="2972"/>
    </row>
    <row r="6" spans="1:9" ht="16.5">
      <c r="A6" s="2971" t="s">
        <v>2826</v>
      </c>
      <c r="B6" s="2971">
        <f>SUM(G14:G23)</f>
        <v>0</v>
      </c>
      <c r="C6" s="2971">
        <f t="shared" ref="C6:C8" si="0">ROUND(B6*10000/$B$1,0)</f>
        <v>0</v>
      </c>
      <c r="D6" s="2971">
        <f t="shared" ref="D6:D8" si="1">ROUND(B6*10000/$B$2,0)</f>
        <v>0</v>
      </c>
      <c r="E6" s="2972"/>
      <c r="F6" s="2972"/>
    </row>
    <row r="7" spans="1:9" ht="16.5">
      <c r="A7" s="2971" t="s">
        <v>2827</v>
      </c>
      <c r="B7" s="2971">
        <f>SUM(H14:H23)</f>
        <v>0</v>
      </c>
      <c r="C7" s="2971">
        <f t="shared" si="0"/>
        <v>0</v>
      </c>
      <c r="D7" s="2971">
        <f t="shared" si="1"/>
        <v>0</v>
      </c>
      <c r="E7" s="2972"/>
      <c r="F7" s="2972"/>
    </row>
    <row r="8" spans="1:9" ht="16.5">
      <c r="A8" s="2971" t="s">
        <v>2828</v>
      </c>
      <c r="B8" s="2971">
        <f>SUM(I14:I23)</f>
        <v>0</v>
      </c>
      <c r="C8" s="2971">
        <f t="shared" si="0"/>
        <v>0</v>
      </c>
      <c r="D8" s="2971">
        <f t="shared" si="1"/>
        <v>0</v>
      </c>
      <c r="E8" s="2972"/>
      <c r="F8" s="2972"/>
    </row>
    <row r="9" spans="1:9" ht="16.5">
      <c r="A9" s="2971" t="s">
        <v>2829</v>
      </c>
      <c r="B9" s="2974"/>
      <c r="C9" s="2972"/>
      <c r="D9" s="2972"/>
      <c r="E9" s="2972"/>
      <c r="F9" s="2972"/>
    </row>
    <row r="10" spans="1:9" ht="16.5">
      <c r="A10" s="2971" t="s">
        <v>2830</v>
      </c>
      <c r="B10" s="2974"/>
      <c r="C10" s="2972"/>
      <c r="D10" s="2972"/>
      <c r="E10" s="2972"/>
      <c r="F10" s="2972"/>
    </row>
    <row r="11" spans="1:9" ht="16.5">
      <c r="A11" s="2971" t="s">
        <v>2847</v>
      </c>
      <c r="B11" s="2974"/>
      <c r="C11" s="2972"/>
      <c r="D11" s="2972"/>
      <c r="E11" s="2972"/>
      <c r="F11" s="2972"/>
    </row>
    <row r="12" spans="1:9" ht="16.5">
      <c r="A12" s="2972"/>
      <c r="B12" s="2972"/>
      <c r="C12" s="2972"/>
      <c r="D12" s="2972"/>
      <c r="E12" s="2972"/>
      <c r="F12" s="2972"/>
    </row>
    <row r="13" spans="1:9" ht="33">
      <c r="A13" s="2977" t="s">
        <v>2846</v>
      </c>
      <c r="B13" s="2975" t="s">
        <v>2818</v>
      </c>
      <c r="C13" s="2975" t="s">
        <v>2819</v>
      </c>
      <c r="D13" s="2975" t="s">
        <v>2831</v>
      </c>
      <c r="E13" s="2971" t="s">
        <v>2845</v>
      </c>
      <c r="F13" s="2971" t="s">
        <v>2824</v>
      </c>
      <c r="G13" s="2975" t="s">
        <v>2832</v>
      </c>
      <c r="H13" s="2975" t="s">
        <v>2833</v>
      </c>
      <c r="I13" s="2975" t="s">
        <v>2834</v>
      </c>
    </row>
    <row r="14" spans="1:9" ht="16.5">
      <c r="A14" s="2978" t="s">
        <v>2844</v>
      </c>
      <c r="B14" s="2975">
        <f>结果表!L38</f>
        <v>556650.11</v>
      </c>
      <c r="C14" s="2975">
        <f>结果表!K38</f>
        <v>370783.53</v>
      </c>
      <c r="D14" s="2975" t="e">
        <f ca="1">结果表!C42</f>
        <v>#DIV/0!</v>
      </c>
      <c r="E14" s="2975" t="e">
        <f ca="1">ROUND(D14*10000/B14,0)</f>
        <v>#DIV/0!</v>
      </c>
      <c r="F14" s="2975" t="e">
        <f ca="1">ROUND(D14*10000/C14,0)</f>
        <v>#DIV/0!</v>
      </c>
      <c r="G14" s="2975" t="str">
        <f>结果表!C44</f>
        <v>——</v>
      </c>
      <c r="H14" s="2975" t="str">
        <f>结果表!C45</f>
        <v>——</v>
      </c>
      <c r="I14" s="2975" t="str">
        <f>结果表!C46</f>
        <v>——</v>
      </c>
    </row>
    <row r="15" spans="1:9" ht="16.5">
      <c r="A15" s="2978" t="s">
        <v>2835</v>
      </c>
      <c r="B15" s="2979"/>
      <c r="C15" s="2979"/>
      <c r="D15" s="2979"/>
      <c r="E15" s="2975" t="e">
        <f t="shared" ref="E15:E23" si="2">ROUND(D15*10000/B15,0)</f>
        <v>#DIV/0!</v>
      </c>
      <c r="F15" s="2975" t="e">
        <f t="shared" ref="F15:F23" si="3">ROUND(D15*10000/C15,0)</f>
        <v>#DIV/0!</v>
      </c>
      <c r="G15" s="2976"/>
      <c r="H15" s="2976"/>
      <c r="I15" s="2979"/>
    </row>
    <row r="16" spans="1:9" ht="16.5">
      <c r="A16" s="2978" t="s">
        <v>2836</v>
      </c>
      <c r="B16" s="2979"/>
      <c r="C16" s="2979"/>
      <c r="D16" s="2979"/>
      <c r="E16" s="2975" t="e">
        <f t="shared" si="2"/>
        <v>#DIV/0!</v>
      </c>
      <c r="F16" s="2975" t="e">
        <f t="shared" si="3"/>
        <v>#DIV/0!</v>
      </c>
      <c r="G16" s="2976"/>
      <c r="H16" s="2976"/>
      <c r="I16" s="2979"/>
    </row>
    <row r="17" spans="1:9" ht="16.5">
      <c r="A17" s="2978" t="s">
        <v>2837</v>
      </c>
      <c r="B17" s="2979"/>
      <c r="C17" s="2979"/>
      <c r="D17" s="2979"/>
      <c r="E17" s="2975" t="e">
        <f t="shared" si="2"/>
        <v>#DIV/0!</v>
      </c>
      <c r="F17" s="2975" t="e">
        <f t="shared" si="3"/>
        <v>#DIV/0!</v>
      </c>
      <c r="G17" s="2976"/>
      <c r="H17" s="2976"/>
      <c r="I17" s="2979"/>
    </row>
    <row r="18" spans="1:9" ht="16.5">
      <c r="A18" s="2978" t="s">
        <v>2838</v>
      </c>
      <c r="B18" s="2979"/>
      <c r="C18" s="2979"/>
      <c r="D18" s="2979"/>
      <c r="E18" s="2975" t="e">
        <f t="shared" si="2"/>
        <v>#DIV/0!</v>
      </c>
      <c r="F18" s="2975" t="e">
        <f t="shared" si="3"/>
        <v>#DIV/0!</v>
      </c>
      <c r="G18" s="2979"/>
      <c r="H18" s="2979"/>
      <c r="I18" s="2979"/>
    </row>
    <row r="19" spans="1:9" ht="16.5">
      <c r="A19" s="2978" t="s">
        <v>2839</v>
      </c>
      <c r="B19" s="2979"/>
      <c r="C19" s="2979"/>
      <c r="D19" s="2979"/>
      <c r="E19" s="2975" t="e">
        <f t="shared" si="2"/>
        <v>#DIV/0!</v>
      </c>
      <c r="F19" s="2975" t="e">
        <f t="shared" si="3"/>
        <v>#DIV/0!</v>
      </c>
      <c r="G19" s="2979"/>
      <c r="H19" s="2979"/>
      <c r="I19" s="2979"/>
    </row>
    <row r="20" spans="1:9" ht="16.5">
      <c r="A20" s="2978" t="s">
        <v>2840</v>
      </c>
      <c r="B20" s="2979"/>
      <c r="C20" s="2979"/>
      <c r="D20" s="2979"/>
      <c r="E20" s="2975" t="e">
        <f t="shared" si="2"/>
        <v>#DIV/0!</v>
      </c>
      <c r="F20" s="2975" t="e">
        <f t="shared" si="3"/>
        <v>#DIV/0!</v>
      </c>
      <c r="G20" s="2979"/>
      <c r="H20" s="2979"/>
      <c r="I20" s="2979"/>
    </row>
    <row r="21" spans="1:9" ht="16.5">
      <c r="A21" s="2978" t="s">
        <v>2841</v>
      </c>
      <c r="B21" s="2979"/>
      <c r="C21" s="2979"/>
      <c r="D21" s="2979"/>
      <c r="E21" s="2975" t="e">
        <f t="shared" si="2"/>
        <v>#DIV/0!</v>
      </c>
      <c r="F21" s="2975" t="e">
        <f t="shared" si="3"/>
        <v>#DIV/0!</v>
      </c>
      <c r="G21" s="2979"/>
      <c r="H21" s="2979"/>
      <c r="I21" s="2979"/>
    </row>
    <row r="22" spans="1:9" ht="16.5">
      <c r="A22" s="2978" t="s">
        <v>2842</v>
      </c>
      <c r="B22" s="2979"/>
      <c r="C22" s="2979"/>
      <c r="D22" s="2979"/>
      <c r="E22" s="2975" t="e">
        <f t="shared" si="2"/>
        <v>#DIV/0!</v>
      </c>
      <c r="F22" s="2975" t="e">
        <f t="shared" si="3"/>
        <v>#DIV/0!</v>
      </c>
      <c r="G22" s="2979"/>
      <c r="H22" s="2979"/>
      <c r="I22" s="2979"/>
    </row>
    <row r="23" spans="1:9" ht="16.5">
      <c r="A23" s="2978" t="s">
        <v>2843</v>
      </c>
      <c r="B23" s="2979"/>
      <c r="C23" s="2979"/>
      <c r="D23" s="2979"/>
      <c r="E23" s="2971" t="e">
        <f t="shared" si="2"/>
        <v>#DIV/0!</v>
      </c>
      <c r="F23" s="2971" t="e">
        <f t="shared" si="3"/>
        <v>#DIV/0!</v>
      </c>
      <c r="G23" s="2979"/>
      <c r="H23" s="2979"/>
      <c r="I23" s="2979"/>
    </row>
  </sheetData>
  <sheetProtection password="C66D" sheet="1" objects="1" scenarios="1" formatCells="0" formatColumns="0" formatRows="0"/>
  <phoneticPr fontId="23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4" sqref="D4"/>
    </sheetView>
  </sheetViews>
  <sheetFormatPr defaultColWidth="12.625" defaultRowHeight="21.75" customHeight="1"/>
  <cols>
    <col min="1" max="2" width="12.625" style="1236" bestFit="1" customWidth="1"/>
    <col min="3" max="4" width="12.625" style="1236" customWidth="1"/>
    <col min="5" max="9" width="12.625" style="1236" bestFit="1" customWidth="1"/>
    <col min="10" max="10" width="2.125" style="257" customWidth="1"/>
    <col min="11" max="12" width="12.625" style="257" customWidth="1"/>
    <col min="13" max="13" width="12.625" style="257"/>
    <col min="14" max="14" width="15.625" style="257" bestFit="1" customWidth="1"/>
    <col min="15" max="19" width="12.625" style="257" bestFit="1" customWidth="1"/>
    <col min="20" max="26" width="12.625" style="257"/>
    <col min="27" max="16384" width="12.625" style="1236"/>
  </cols>
  <sheetData>
    <row r="1" spans="1:22" ht="21.75" customHeight="1" thickBot="1">
      <c r="A1" s="1751" t="s">
        <v>2031</v>
      </c>
      <c r="B1" s="1752"/>
      <c r="C1" s="1780" t="s">
        <v>2032</v>
      </c>
      <c r="D1" s="1781" t="s">
        <v>3161</v>
      </c>
      <c r="E1" s="1780" t="s">
        <v>2033</v>
      </c>
      <c r="F1" s="1782"/>
      <c r="G1" s="311"/>
      <c r="H1" s="311"/>
      <c r="I1" s="311"/>
      <c r="J1" s="2004"/>
      <c r="K1" s="2004"/>
      <c r="L1" s="2004"/>
      <c r="M1" s="2004"/>
      <c r="N1" s="2004"/>
      <c r="O1" s="2004"/>
      <c r="P1" s="2004"/>
      <c r="Q1" s="2004"/>
      <c r="R1" s="2004"/>
      <c r="S1" s="2004"/>
      <c r="T1" s="2004"/>
      <c r="U1" s="2004"/>
      <c r="V1" s="2004"/>
    </row>
    <row r="2" spans="1:22" ht="21.75" customHeight="1" thickBot="1">
      <c r="A2" s="3741" t="str">
        <f>项目基本情况!K2</f>
        <v>雄安新区出让国有建设用地使用权</v>
      </c>
      <c r="B2" s="3742"/>
      <c r="C2" s="3743"/>
      <c r="D2" s="3743"/>
      <c r="E2" s="3743"/>
      <c r="F2" s="3743"/>
      <c r="G2" s="3742"/>
      <c r="H2" s="3742"/>
      <c r="I2" s="3744"/>
      <c r="J2" s="2005"/>
      <c r="K2" s="2004"/>
      <c r="L2" s="2004"/>
      <c r="M2" s="2004"/>
      <c r="N2" s="2004"/>
      <c r="O2" s="2004"/>
      <c r="P2" s="2004"/>
      <c r="Q2" s="2004"/>
      <c r="R2" s="2004"/>
      <c r="S2" s="2004"/>
      <c r="T2" s="2004"/>
      <c r="U2" s="2004"/>
      <c r="V2" s="2004"/>
    </row>
    <row r="3" spans="1:22" ht="14.25">
      <c r="A3" s="3752" t="s">
        <v>297</v>
      </c>
      <c r="B3" s="3753"/>
      <c r="C3" s="3753"/>
      <c r="D3" s="3753"/>
      <c r="E3" s="3753"/>
      <c r="F3" s="3753"/>
      <c r="G3" s="3753"/>
      <c r="H3" s="3753"/>
      <c r="I3" s="3753"/>
      <c r="J3" s="2005"/>
      <c r="K3" s="2004"/>
      <c r="L3" s="2004"/>
      <c r="M3" s="2004"/>
      <c r="N3" s="2004"/>
      <c r="O3" s="2004"/>
      <c r="P3" s="2004"/>
      <c r="Q3" s="2004"/>
      <c r="R3" s="2004"/>
      <c r="S3" s="2004"/>
      <c r="T3" s="2004"/>
      <c r="U3" s="2004"/>
      <c r="V3" s="2004"/>
    </row>
    <row r="4" spans="1:22" ht="14.25">
      <c r="A4" s="258" t="s">
        <v>298</v>
      </c>
      <c r="B4" s="259" t="s">
        <v>299</v>
      </c>
      <c r="C4" s="260" t="s">
        <v>3162</v>
      </c>
      <c r="D4" s="260" t="s">
        <v>3163</v>
      </c>
      <c r="E4" s="3716" t="s">
        <v>300</v>
      </c>
      <c r="F4" s="3758"/>
      <c r="G4" s="3758"/>
      <c r="H4" s="3758"/>
      <c r="I4" s="3717"/>
      <c r="J4" s="2005"/>
      <c r="K4" s="2004"/>
      <c r="L4" s="939" t="str">
        <f>IF(ISNUMBER(FIND("比较法",C4)),"比较法",IF(ISNUMBER(FIND("成本法",C4)),"成本法",IF(ISNUMBER(FIND("剩余法",C4)),"剩余法",IF(ISNUMBER(FIND("收益法",C4)),"收益法","基准地价系数修正法"))))</f>
        <v>基准地价系数修正法</v>
      </c>
      <c r="M4" s="939" t="str">
        <f>IF(ISNUMBER(FIND("比较法",D4)),"比较法",IF(ISNUMBER(FIND("成本法",D4)),"成本法",IF(ISNUMBER(FIND("剩余法",D4)),"剩余法",IF(ISNUMBER(FIND("收益法",D4)),"收益法","基准地价系数修正法"))))</f>
        <v>剩余法</v>
      </c>
      <c r="N4" s="2004"/>
      <c r="O4" s="2004"/>
      <c r="P4" s="2004"/>
      <c r="Q4" s="2004"/>
      <c r="R4" s="2004"/>
      <c r="S4" s="2004"/>
      <c r="T4" s="2004"/>
      <c r="U4" s="2004"/>
      <c r="V4" s="2004"/>
    </row>
    <row r="5" spans="1:22" ht="14.25">
      <c r="A5" s="3745" t="s">
        <v>301</v>
      </c>
      <c r="B5" s="3746">
        <v>25</v>
      </c>
      <c r="C5" s="3754"/>
      <c r="D5" s="3757"/>
      <c r="E5" s="261" t="s">
        <v>302</v>
      </c>
      <c r="F5" s="262"/>
      <c r="G5" s="262"/>
      <c r="H5" s="262"/>
      <c r="I5" s="263"/>
      <c r="J5" s="2005"/>
      <c r="K5" s="2004"/>
      <c r="L5" s="2004"/>
      <c r="M5" s="2004"/>
      <c r="N5" s="2004"/>
      <c r="O5" s="2004"/>
      <c r="P5" s="2004"/>
      <c r="Q5" s="2004"/>
      <c r="R5" s="2004"/>
      <c r="S5" s="2004"/>
      <c r="T5" s="2004"/>
      <c r="U5" s="2004"/>
      <c r="V5" s="2004"/>
    </row>
    <row r="6" spans="1:22" ht="14.25">
      <c r="A6" s="3745"/>
      <c r="B6" s="3746"/>
      <c r="C6" s="3755"/>
      <c r="D6" s="3757"/>
      <c r="E6" s="261" t="s">
        <v>303</v>
      </c>
      <c r="F6" s="262"/>
      <c r="G6" s="262"/>
      <c r="H6" s="262"/>
      <c r="I6" s="263"/>
      <c r="J6" s="2005"/>
      <c r="K6" s="2004"/>
      <c r="L6" s="2004"/>
      <c r="M6" s="2004"/>
      <c r="N6" s="2004"/>
      <c r="O6" s="2004"/>
      <c r="P6" s="2004"/>
      <c r="Q6" s="2004"/>
      <c r="R6" s="2004"/>
      <c r="S6" s="2004"/>
      <c r="T6" s="2004"/>
      <c r="U6" s="2004"/>
      <c r="V6" s="2004"/>
    </row>
    <row r="7" spans="1:22" ht="14.25">
      <c r="A7" s="3745"/>
      <c r="B7" s="3746"/>
      <c r="C7" s="3756"/>
      <c r="D7" s="3757"/>
      <c r="E7" s="261" t="s">
        <v>304</v>
      </c>
      <c r="F7" s="262"/>
      <c r="G7" s="262"/>
      <c r="H7" s="262"/>
      <c r="I7" s="263"/>
      <c r="J7" s="2005"/>
      <c r="K7" s="2004"/>
      <c r="L7" s="2004"/>
      <c r="M7" s="2004"/>
      <c r="N7" s="2004"/>
      <c r="O7" s="2004"/>
      <c r="P7" s="2004"/>
      <c r="Q7" s="2004"/>
      <c r="R7" s="2004"/>
      <c r="S7" s="2004"/>
      <c r="T7" s="2004"/>
      <c r="U7" s="2004"/>
      <c r="V7" s="2004"/>
    </row>
    <row r="8" spans="1:22" ht="14.25">
      <c r="A8" s="3745" t="s">
        <v>305</v>
      </c>
      <c r="B8" s="3746">
        <v>15</v>
      </c>
      <c r="C8" s="3754"/>
      <c r="D8" s="3757"/>
      <c r="E8" s="261" t="s">
        <v>306</v>
      </c>
      <c r="F8" s="262"/>
      <c r="G8" s="262"/>
      <c r="H8" s="262"/>
      <c r="I8" s="263"/>
      <c r="J8" s="2005"/>
      <c r="K8" s="2004"/>
      <c r="L8" s="2004"/>
      <c r="M8" s="2004"/>
      <c r="N8" s="2004"/>
      <c r="O8" s="2004"/>
      <c r="P8" s="2004"/>
      <c r="Q8" s="2004"/>
      <c r="R8" s="2004"/>
      <c r="S8" s="2004"/>
      <c r="T8" s="2004"/>
      <c r="U8" s="2004"/>
      <c r="V8" s="2004"/>
    </row>
    <row r="9" spans="1:22" ht="14.25">
      <c r="A9" s="3745"/>
      <c r="B9" s="3746"/>
      <c r="C9" s="3756"/>
      <c r="D9" s="3757"/>
      <c r="E9" s="261" t="s">
        <v>307</v>
      </c>
      <c r="F9" s="262"/>
      <c r="G9" s="262"/>
      <c r="H9" s="262"/>
      <c r="I9" s="263"/>
      <c r="J9" s="2005"/>
      <c r="K9" s="2004"/>
      <c r="L9" s="2004"/>
      <c r="M9" s="2004"/>
      <c r="N9" s="2004"/>
      <c r="O9" s="2004"/>
      <c r="P9" s="2004"/>
      <c r="Q9" s="2004"/>
      <c r="R9" s="2004"/>
      <c r="S9" s="2004"/>
      <c r="T9" s="2004"/>
      <c r="U9" s="2004"/>
      <c r="V9" s="2004"/>
    </row>
    <row r="10" spans="1:22" ht="14.25">
      <c r="A10" s="3745" t="s">
        <v>308</v>
      </c>
      <c r="B10" s="3746">
        <v>15</v>
      </c>
      <c r="C10" s="3754"/>
      <c r="D10" s="3757"/>
      <c r="E10" s="261" t="s">
        <v>309</v>
      </c>
      <c r="F10" s="262"/>
      <c r="G10" s="262"/>
      <c r="H10" s="262"/>
      <c r="I10" s="263"/>
      <c r="J10" s="2005"/>
      <c r="K10" s="2004"/>
      <c r="L10" s="2004"/>
      <c r="M10" s="2004"/>
      <c r="N10" s="2004"/>
      <c r="O10" s="2004"/>
      <c r="P10" s="2004"/>
      <c r="Q10" s="2004"/>
      <c r="R10" s="2004"/>
      <c r="S10" s="2004"/>
      <c r="T10" s="2004"/>
      <c r="U10" s="2004"/>
      <c r="V10" s="2004"/>
    </row>
    <row r="11" spans="1:22" ht="14.25">
      <c r="A11" s="3745"/>
      <c r="B11" s="3746"/>
      <c r="C11" s="3756"/>
      <c r="D11" s="3757"/>
      <c r="E11" s="261" t="s">
        <v>310</v>
      </c>
      <c r="F11" s="262"/>
      <c r="G11" s="262"/>
      <c r="H11" s="262"/>
      <c r="I11" s="263"/>
      <c r="J11" s="2005"/>
      <c r="K11" s="2004"/>
      <c r="L11" s="2004"/>
      <c r="M11" s="2004"/>
      <c r="N11" s="2004"/>
      <c r="O11" s="2004"/>
      <c r="P11" s="2004"/>
      <c r="Q11" s="2004"/>
      <c r="R11" s="2004"/>
      <c r="S11" s="2004"/>
      <c r="T11" s="2004"/>
      <c r="U11" s="2004"/>
      <c r="V11" s="2004"/>
    </row>
    <row r="12" spans="1:22" ht="14.25">
      <c r="A12" s="3745" t="s">
        <v>311</v>
      </c>
      <c r="B12" s="3746">
        <v>15</v>
      </c>
      <c r="C12" s="3754"/>
      <c r="D12" s="3757"/>
      <c r="E12" s="261" t="s">
        <v>312</v>
      </c>
      <c r="F12" s="262"/>
      <c r="G12" s="262"/>
      <c r="H12" s="262"/>
      <c r="I12" s="263"/>
      <c r="J12" s="2005"/>
      <c r="K12" s="2004"/>
      <c r="L12" s="2004"/>
      <c r="M12" s="2004"/>
      <c r="N12" s="2004"/>
      <c r="O12" s="2004"/>
      <c r="P12" s="2004"/>
      <c r="Q12" s="2004"/>
      <c r="R12" s="2004"/>
      <c r="S12" s="2004"/>
      <c r="T12" s="2004"/>
      <c r="U12" s="2004"/>
      <c r="V12" s="2004"/>
    </row>
    <row r="13" spans="1:22" ht="14.25">
      <c r="A13" s="3745"/>
      <c r="B13" s="3746"/>
      <c r="C13" s="3756"/>
      <c r="D13" s="3757"/>
      <c r="E13" s="261" t="s">
        <v>313</v>
      </c>
      <c r="F13" s="262"/>
      <c r="G13" s="262"/>
      <c r="H13" s="262"/>
      <c r="I13" s="263"/>
      <c r="J13" s="2005"/>
      <c r="K13" s="2004"/>
      <c r="L13" s="2004"/>
      <c r="M13" s="2004"/>
      <c r="N13" s="2004"/>
      <c r="O13" s="2004"/>
      <c r="P13" s="2004"/>
      <c r="Q13" s="2004"/>
      <c r="R13" s="2004"/>
      <c r="S13" s="2004"/>
      <c r="T13" s="2004"/>
      <c r="U13" s="2004"/>
      <c r="V13" s="2004"/>
    </row>
    <row r="14" spans="1:22" ht="14.25">
      <c r="A14" s="3745" t="s">
        <v>314</v>
      </c>
      <c r="B14" s="3746">
        <v>30</v>
      </c>
      <c r="C14" s="3754"/>
      <c r="D14" s="3757"/>
      <c r="E14" s="261" t="s">
        <v>315</v>
      </c>
      <c r="F14" s="262"/>
      <c r="G14" s="262"/>
      <c r="H14" s="262"/>
      <c r="I14" s="263"/>
      <c r="J14" s="2005"/>
      <c r="K14" s="2004"/>
      <c r="L14" s="2004"/>
      <c r="M14" s="2004"/>
      <c r="N14" s="2004"/>
      <c r="O14" s="2004"/>
      <c r="P14" s="2004"/>
      <c r="Q14" s="2004"/>
      <c r="R14" s="2004"/>
      <c r="S14" s="2004"/>
      <c r="T14" s="2004"/>
      <c r="U14" s="2004"/>
      <c r="V14" s="2004"/>
    </row>
    <row r="15" spans="1:22" ht="14.25">
      <c r="A15" s="3745"/>
      <c r="B15" s="3746"/>
      <c r="C15" s="3755"/>
      <c r="D15" s="3757"/>
      <c r="E15" s="261" t="s">
        <v>316</v>
      </c>
      <c r="F15" s="262"/>
      <c r="G15" s="262"/>
      <c r="H15" s="262"/>
      <c r="I15" s="263"/>
      <c r="J15" s="2005"/>
      <c r="K15" s="2004"/>
      <c r="L15" s="2004"/>
      <c r="M15" s="2004"/>
      <c r="N15" s="2004"/>
      <c r="O15" s="2004"/>
      <c r="P15" s="2004"/>
      <c r="Q15" s="2004"/>
      <c r="R15" s="2004"/>
      <c r="S15" s="2004"/>
      <c r="T15" s="2004"/>
      <c r="U15" s="2004"/>
      <c r="V15" s="2004"/>
    </row>
    <row r="16" spans="1:22" ht="14.25">
      <c r="A16" s="3745"/>
      <c r="B16" s="3746"/>
      <c r="C16" s="3756"/>
      <c r="D16" s="3757"/>
      <c r="E16" s="261" t="s">
        <v>317</v>
      </c>
      <c r="F16" s="262"/>
      <c r="G16" s="262"/>
      <c r="H16" s="262"/>
      <c r="I16" s="263"/>
      <c r="J16" s="2005"/>
      <c r="K16" s="2004"/>
      <c r="L16" s="2004"/>
      <c r="M16" s="2004"/>
      <c r="N16" s="2004"/>
      <c r="O16" s="2004"/>
      <c r="P16" s="2004"/>
      <c r="Q16" s="2004"/>
      <c r="R16" s="2004"/>
      <c r="S16" s="2004"/>
      <c r="T16" s="2004"/>
      <c r="U16" s="2004"/>
      <c r="V16" s="2004"/>
    </row>
    <row r="17" spans="1:26" ht="15">
      <c r="A17" s="264" t="s">
        <v>318</v>
      </c>
      <c r="B17" s="144"/>
      <c r="C17" s="265">
        <f>SUM(C5:C16)</f>
        <v>0</v>
      </c>
      <c r="D17" s="265">
        <f>SUM(D5:D16)</f>
        <v>0</v>
      </c>
      <c r="E17" s="311"/>
      <c r="F17" s="311"/>
      <c r="G17" s="311"/>
      <c r="H17" s="311"/>
      <c r="I17" s="311"/>
      <c r="J17" s="2005"/>
      <c r="K17" s="2004"/>
      <c r="L17" s="2004"/>
      <c r="M17" s="2004"/>
      <c r="N17" s="2004"/>
      <c r="O17" s="2004"/>
      <c r="P17" s="2004"/>
      <c r="Q17" s="2004"/>
      <c r="R17" s="2004"/>
      <c r="S17" s="2004"/>
      <c r="T17" s="2004"/>
      <c r="U17" s="2004"/>
      <c r="V17" s="2004"/>
    </row>
    <row r="18" spans="1:26" ht="15.75" thickBot="1">
      <c r="A18" s="266" t="s">
        <v>319</v>
      </c>
      <c r="B18" s="105"/>
      <c r="C18" s="267" t="e">
        <f>ROUND(C17/SUM(C17:D17),2)</f>
        <v>#DIV/0!</v>
      </c>
      <c r="D18" s="267" t="e">
        <f>1-C18</f>
        <v>#DIV/0!</v>
      </c>
      <c r="E18" s="311"/>
      <c r="F18" s="311"/>
      <c r="G18" s="311"/>
      <c r="H18" s="311"/>
      <c r="I18" s="311"/>
      <c r="J18" s="2004"/>
      <c r="K18" s="2004"/>
      <c r="L18" s="2004"/>
      <c r="M18" s="2004"/>
      <c r="N18" s="2004"/>
      <c r="O18" s="2004"/>
      <c r="P18" s="2004"/>
      <c r="Q18" s="2004"/>
      <c r="R18" s="2004"/>
      <c r="S18" s="2004"/>
      <c r="T18" s="2004"/>
      <c r="U18" s="2004"/>
      <c r="V18" s="2004"/>
    </row>
    <row r="19" spans="1:26" ht="15">
      <c r="A19" s="268" t="s">
        <v>320</v>
      </c>
      <c r="B19" s="269" t="s">
        <v>321</v>
      </c>
      <c r="C19" s="270">
        <f ca="1">SUMIF(INDIRECT("'"&amp;C4&amp;"'"&amp;"!A:A"),结果表!B19,INDIRECT("'"&amp;C4&amp;"'"&amp;"!B:B"))</f>
        <v>273614</v>
      </c>
      <c r="D19" s="271">
        <f ca="1">SUMIF(INDIRECT("'"&amp;D4&amp;"'"&amp;"!A:A"),结果表!B19,INDIRECT("'"&amp;D4&amp;"'"&amp;"!B:B"))</f>
        <v>263451</v>
      </c>
      <c r="E19" s="268" t="s">
        <v>322</v>
      </c>
      <c r="F19" s="269" t="s">
        <v>321</v>
      </c>
      <c r="G19" s="272" t="e">
        <f ca="1">ROUND(C19*$C$18+D19*$D$18,0)</f>
        <v>#DIV/0!</v>
      </c>
      <c r="H19" s="273" t="s">
        <v>323</v>
      </c>
      <c r="I19" s="311"/>
      <c r="J19" s="2004"/>
      <c r="K19" s="2004"/>
      <c r="L19" s="2004"/>
      <c r="M19" s="2004"/>
      <c r="N19" s="2004"/>
      <c r="O19" s="2004"/>
      <c r="P19" s="2004"/>
      <c r="Q19" s="2004"/>
      <c r="R19" s="2004"/>
      <c r="S19" s="2004"/>
      <c r="T19" s="2004"/>
      <c r="U19" s="2004"/>
      <c r="V19" s="2004"/>
    </row>
    <row r="20" spans="1:26" ht="15">
      <c r="A20" s="274"/>
      <c r="B20" s="275" t="s">
        <v>324</v>
      </c>
      <c r="C20" s="276">
        <f ca="1">SUMIF(INDIRECT("'"&amp;C4&amp;"'"&amp;"!A:A"),结果表!B20,INDIRECT("'"&amp;C4&amp;"'"&amp;"!B:B"))</f>
        <v>4915</v>
      </c>
      <c r="D20" s="277">
        <f ca="1">SUMIF(INDIRECT("'"&amp;D4&amp;"'"&amp;"!A:A"),结果表!B20,INDIRECT("'"&amp;D4&amp;"'"&amp;"!B:B"))</f>
        <v>4733</v>
      </c>
      <c r="E20" s="274"/>
      <c r="F20" s="275" t="s">
        <v>324</v>
      </c>
      <c r="G20" s="278" t="e">
        <f ca="1">ROUND(C20*$C$18+D20*$D$18,0)</f>
        <v>#DIV/0!</v>
      </c>
      <c r="H20" s="279" t="s">
        <v>325</v>
      </c>
      <c r="I20" s="311"/>
      <c r="J20" s="2004"/>
      <c r="K20" s="2004"/>
      <c r="L20" s="2004"/>
      <c r="M20" s="2004"/>
      <c r="N20" s="2004"/>
      <c r="O20" s="2004"/>
      <c r="P20" s="2004"/>
      <c r="Q20" s="2004"/>
      <c r="R20" s="2004"/>
      <c r="S20" s="2004"/>
      <c r="T20" s="2004"/>
      <c r="U20" s="2004"/>
      <c r="V20" s="2004"/>
    </row>
    <row r="21" spans="1:26" ht="15" customHeight="1">
      <c r="A21" s="274"/>
      <c r="B21" s="280" t="s">
        <v>326</v>
      </c>
      <c r="C21" s="281">
        <f ca="1">SUMIF(INDIRECT("'"&amp;C4&amp;"'"&amp;"!A:A"),结果表!B21,INDIRECT("'"&amp;C4&amp;"'"&amp;"!B:B"))</f>
        <v>7379</v>
      </c>
      <c r="D21" s="151">
        <f ca="1">SUMIF(INDIRECT("'"&amp;D4&amp;"'"&amp;"!A:A"),结果表!B21,INDIRECT("'"&amp;D4&amp;"'"&amp;"!B:B"))</f>
        <v>7105</v>
      </c>
      <c r="E21" s="274"/>
      <c r="F21" s="280" t="s">
        <v>326</v>
      </c>
      <c r="G21" s="282" t="e">
        <f ca="1">ROUND(C21*$C$18+D21*$D$18,0)</f>
        <v>#DIV/0!</v>
      </c>
      <c r="H21" s="1237" t="s">
        <v>325</v>
      </c>
      <c r="I21" s="311"/>
      <c r="J21" s="2004"/>
      <c r="K21" s="2004"/>
      <c r="L21" s="2004"/>
      <c r="M21" s="2004"/>
      <c r="N21" s="2004"/>
      <c r="O21" s="2004"/>
      <c r="P21" s="2004"/>
      <c r="Q21" s="2004"/>
      <c r="R21" s="2004"/>
      <c r="S21" s="2004"/>
      <c r="T21" s="2004"/>
      <c r="U21" s="2004"/>
      <c r="V21" s="2004"/>
    </row>
    <row r="22" spans="1:26" ht="15.75" thickBot="1">
      <c r="A22" s="126" t="s">
        <v>327</v>
      </c>
      <c r="B22" s="1238"/>
      <c r="C22" s="1239"/>
      <c r="D22" s="283">
        <f ca="1">IF(C19&lt;D19,D19/C19-1,C19/D19-1)</f>
        <v>3.8576433568291657E-2</v>
      </c>
      <c r="E22" s="284"/>
      <c r="F22" s="285"/>
      <c r="G22" s="286" t="e">
        <f ca="1">ROUND(G19/('数据-汇总表'!D3/666.67),0)</f>
        <v>#DIV/0!</v>
      </c>
      <c r="H22" s="287" t="s">
        <v>328</v>
      </c>
      <c r="I22" s="311"/>
      <c r="J22" s="2004"/>
      <c r="K22" s="2004"/>
      <c r="L22" s="2004"/>
      <c r="M22" s="2004"/>
      <c r="N22" s="2004"/>
      <c r="O22" s="2004"/>
      <c r="P22" s="2004"/>
      <c r="Q22" s="2004"/>
      <c r="R22" s="2004"/>
      <c r="S22" s="2004"/>
      <c r="T22" s="2004"/>
      <c r="U22" s="2004"/>
      <c r="V22" s="2004"/>
    </row>
    <row r="23" spans="1:26" ht="13.5" thickBot="1">
      <c r="A23" s="311"/>
      <c r="B23" s="311"/>
      <c r="C23" s="311"/>
      <c r="D23" s="311"/>
      <c r="E23" s="311"/>
      <c r="F23" s="311"/>
      <c r="G23" s="311"/>
      <c r="H23" s="311"/>
      <c r="I23" s="311"/>
      <c r="J23" s="2004"/>
      <c r="K23" s="2004"/>
      <c r="L23" s="2004"/>
      <c r="M23" s="2004"/>
      <c r="N23" s="2004"/>
      <c r="O23" s="2004"/>
      <c r="P23" s="2004"/>
      <c r="Q23" s="2004"/>
      <c r="R23" s="2004"/>
      <c r="S23" s="2004"/>
      <c r="T23" s="2004"/>
      <c r="U23" s="2004"/>
      <c r="V23" s="2004"/>
    </row>
    <row r="24" spans="1:26" ht="15" thickBot="1">
      <c r="A24" s="3718" t="s">
        <v>329</v>
      </c>
      <c r="B24" s="269" t="s">
        <v>321</v>
      </c>
      <c r="C24" s="288">
        <f>IF(B30=0,0,D30)</f>
        <v>0</v>
      </c>
      <c r="D24" s="289"/>
      <c r="E24" s="311"/>
      <c r="F24" s="311"/>
      <c r="G24" s="311"/>
      <c r="H24" s="311"/>
      <c r="I24" s="311"/>
      <c r="J24" s="2004"/>
      <c r="K24" s="2004"/>
      <c r="L24" s="2004"/>
      <c r="M24" s="2004"/>
      <c r="N24" s="2004"/>
      <c r="O24" s="2004"/>
      <c r="P24" s="2004"/>
      <c r="Q24" s="2004"/>
      <c r="R24" s="2004"/>
      <c r="S24" s="2004"/>
      <c r="T24" s="2004"/>
      <c r="U24" s="2004"/>
      <c r="V24" s="2004"/>
    </row>
    <row r="25" spans="1:26" ht="18">
      <c r="A25" s="3760"/>
      <c r="B25" s="1307" t="s">
        <v>330</v>
      </c>
      <c r="C25" s="290">
        <f>IF(B30=0,0,C30)</f>
        <v>0</v>
      </c>
      <c r="D25" s="291"/>
      <c r="E25" s="311"/>
      <c r="F25" s="311"/>
      <c r="G25" s="311"/>
      <c r="H25" s="311"/>
      <c r="I25" s="311"/>
      <c r="J25" s="2004"/>
      <c r="K25" s="1241" t="e">
        <f ca="1">项目基本情况!B16&amp;"国有建设用地使用权价格："&amp;O38&amp;"万元"</f>
        <v>#DIV/0!</v>
      </c>
      <c r="L25" s="1242"/>
      <c r="M25" s="1242"/>
      <c r="N25" s="1242"/>
      <c r="O25" s="1243"/>
      <c r="P25" s="2004"/>
      <c r="Q25" s="2004"/>
      <c r="R25" s="2004"/>
      <c r="S25" s="2004"/>
      <c r="T25" s="2004"/>
      <c r="U25" s="2004"/>
      <c r="V25" s="2004"/>
    </row>
    <row r="26" spans="1:26" s="1240" customFormat="1" ht="18">
      <c r="A26" s="293" t="s">
        <v>331</v>
      </c>
      <c r="B26" s="294" t="s">
        <v>332</v>
      </c>
      <c r="C26" s="294" t="s">
        <v>333</v>
      </c>
      <c r="D26" s="295" t="s">
        <v>334</v>
      </c>
      <c r="E26" s="311"/>
      <c r="F26" s="311"/>
      <c r="G26" s="311"/>
      <c r="H26" s="311"/>
      <c r="I26" s="311"/>
      <c r="J26" s="2004"/>
      <c r="K26" s="1244" t="e">
        <f ca="1">"大写金额：人民币"&amp;NUMBERSTRING(INT(O38*10000),2)&amp;"元整"</f>
        <v>#DIV/0!</v>
      </c>
      <c r="L26" s="1238"/>
      <c r="M26" s="1238"/>
      <c r="N26" s="1238"/>
      <c r="O26" s="1237"/>
      <c r="P26" s="2004"/>
      <c r="Q26" s="2004"/>
      <c r="R26" s="2004"/>
      <c r="S26" s="2004"/>
      <c r="T26" s="2004"/>
      <c r="U26" s="2004"/>
      <c r="V26" s="2004"/>
      <c r="W26" s="292"/>
      <c r="X26" s="292"/>
      <c r="Y26" s="292"/>
      <c r="Z26" s="292"/>
    </row>
    <row r="27" spans="1:26" ht="18">
      <c r="A27" s="293"/>
      <c r="B27" s="294"/>
      <c r="C27" s="294"/>
      <c r="D27" s="295"/>
      <c r="E27" s="311"/>
      <c r="F27" s="311"/>
      <c r="G27" s="311"/>
      <c r="H27" s="311"/>
      <c r="I27" s="311"/>
      <c r="J27" s="2004"/>
      <c r="K27" s="1244" t="e">
        <f ca="1">"单位面积地价："&amp;M38&amp;"元/平方米"</f>
        <v>#DIV/0!</v>
      </c>
      <c r="L27" s="1238"/>
      <c r="M27" s="1238"/>
      <c r="N27" s="1238"/>
      <c r="O27" s="1237"/>
      <c r="P27" s="2004"/>
      <c r="Q27" s="2004"/>
      <c r="R27" s="2004"/>
      <c r="S27" s="2004"/>
      <c r="T27" s="2004"/>
      <c r="U27" s="2004"/>
      <c r="V27" s="2004"/>
    </row>
    <row r="28" spans="1:26" ht="18.75" customHeight="1">
      <c r="A28" s="293"/>
      <c r="B28" s="294"/>
      <c r="C28" s="294"/>
      <c r="D28" s="295"/>
      <c r="E28" s="311"/>
      <c r="F28" s="311"/>
      <c r="G28" s="311"/>
      <c r="H28" s="311"/>
      <c r="I28" s="311"/>
      <c r="J28" s="2004"/>
      <c r="K28" s="1244" t="e">
        <f ca="1">"楼面地价："&amp;N38&amp;"元/平方米"</f>
        <v>#DIV/0!</v>
      </c>
      <c r="L28" s="1238"/>
      <c r="M28" s="1238"/>
      <c r="N28" s="1238"/>
      <c r="O28" s="1237"/>
      <c r="P28" s="2004"/>
      <c r="V28" s="2004"/>
    </row>
    <row r="29" spans="1:26" ht="18">
      <c r="A29" s="293"/>
      <c r="B29" s="294"/>
      <c r="C29" s="294"/>
      <c r="D29" s="295"/>
      <c r="E29" s="311"/>
      <c r="F29" s="311"/>
      <c r="G29" s="311"/>
      <c r="H29" s="311"/>
      <c r="I29" s="311"/>
      <c r="J29" s="2004"/>
      <c r="K29" s="1244" t="str">
        <f>IF(OR(项目基本情况!E8="抵押价格",项目基本情况!E8="已注销及未注销"),"抵押价格："&amp;O39&amp;"万元","——")</f>
        <v>——</v>
      </c>
      <c r="L29" s="1238"/>
      <c r="M29" s="1238"/>
      <c r="N29" s="1238"/>
      <c r="O29" s="1237"/>
      <c r="P29" s="2004"/>
      <c r="V29" s="2004"/>
    </row>
    <row r="30" spans="1:26" ht="18.75" thickBot="1">
      <c r="A30" s="3056" t="s">
        <v>335</v>
      </c>
      <c r="B30" s="309"/>
      <c r="C30" s="309"/>
      <c r="D30" s="310"/>
      <c r="E30" s="3057" t="s">
        <v>2943</v>
      </c>
      <c r="F30" s="311"/>
      <c r="G30" s="311"/>
      <c r="H30" s="311"/>
      <c r="I30" s="311"/>
      <c r="J30" s="2004"/>
      <c r="K30" s="1244" t="str">
        <f>IF(K29="——","——","大写金额：人民币"&amp;NUMBERSTRING(INT(O39*10000),2)&amp;"元整")</f>
        <v>——</v>
      </c>
      <c r="L30" s="1238"/>
      <c r="M30" s="1238"/>
      <c r="N30" s="1238"/>
      <c r="O30" s="1237"/>
      <c r="P30" s="2004"/>
      <c r="V30" s="2004"/>
    </row>
    <row r="31" spans="1:26" ht="24" customHeight="1" thickBot="1">
      <c r="A31" s="311"/>
      <c r="B31" s="311"/>
      <c r="C31" s="311"/>
      <c r="D31" s="311"/>
      <c r="E31" s="311"/>
      <c r="F31" s="311"/>
      <c r="G31" s="311"/>
      <c r="H31" s="311"/>
      <c r="I31" s="311"/>
      <c r="J31" s="2004"/>
      <c r="K31" s="2407" t="str">
        <f>IF(项目基本情况!E8="抵押价格","——","抵押担保权已注销时的抵押价格："&amp;O40&amp;"万元")</f>
        <v>抵押担保权已注销时的抵押价格：——万元</v>
      </c>
      <c r="L31" s="2403"/>
      <c r="M31" s="2403"/>
      <c r="N31" s="2403"/>
      <c r="O31" s="2404"/>
      <c r="P31" s="2004"/>
      <c r="V31" s="2004"/>
    </row>
    <row r="32" spans="1:26" ht="18.75" thickBot="1">
      <c r="A32" s="268" t="s">
        <v>336</v>
      </c>
      <c r="B32" s="1368" t="s">
        <v>1666</v>
      </c>
      <c r="C32" s="1369" t="e">
        <f ca="1">G19-C24</f>
        <v>#DIV/0!</v>
      </c>
      <c r="D32" s="1370" t="s">
        <v>1667</v>
      </c>
      <c r="E32" s="311"/>
      <c r="F32" s="311"/>
      <c r="G32" s="311"/>
      <c r="H32" s="311"/>
      <c r="I32" s="311"/>
      <c r="J32" s="2004"/>
      <c r="K32" s="2402" t="e">
        <f>IF(K31="——","——","大写金额：人民币"&amp;NUMBERSTRING(INT(O40*10000),2)&amp;"元整")</f>
        <v>#VALUE!</v>
      </c>
      <c r="L32" s="2405"/>
      <c r="M32" s="2405"/>
      <c r="N32" s="2405"/>
      <c r="O32" s="2406"/>
      <c r="P32" s="2004"/>
      <c r="V32" s="2004"/>
    </row>
    <row r="33" spans="1:26" ht="18.75" thickBot="1">
      <c r="A33" s="298" t="s">
        <v>339</v>
      </c>
      <c r="B33" s="1371" t="s">
        <v>1668</v>
      </c>
      <c r="C33" s="264" t="e">
        <f ca="1">ROUND(C32*10000/'数据-汇总表'!E3,0)</f>
        <v>#DIV/0!</v>
      </c>
      <c r="D33" s="1372" t="s">
        <v>1669</v>
      </c>
      <c r="E33" s="3718" t="s">
        <v>337</v>
      </c>
      <c r="F33" s="296" t="s">
        <v>338</v>
      </c>
      <c r="G33" s="297"/>
      <c r="H33" s="971"/>
      <c r="I33" s="1245"/>
      <c r="J33" s="2004"/>
      <c r="K33" s="1244" t="str">
        <f>IF(项目基本情况!E9="——","——","抵押净值："&amp;C46&amp;"万元")</f>
        <v>抵押净值：——万元</v>
      </c>
      <c r="L33" s="1238"/>
      <c r="M33" s="1238"/>
      <c r="N33" s="1238"/>
      <c r="O33" s="1237"/>
      <c r="P33" s="2004"/>
      <c r="V33" s="2004"/>
    </row>
    <row r="34" spans="1:26" s="1240" customFormat="1" ht="18.75" thickBot="1">
      <c r="A34" s="300"/>
      <c r="B34" s="1373" t="s">
        <v>1670</v>
      </c>
      <c r="C34" s="264" t="e">
        <f ca="1">ROUND(C32*10000/'数据-汇总表'!D3,0)</f>
        <v>#DIV/0!</v>
      </c>
      <c r="D34" s="1374" t="s">
        <v>1669</v>
      </c>
      <c r="E34" s="3719"/>
      <c r="F34" s="127" t="s">
        <v>340</v>
      </c>
      <c r="G34" s="299"/>
      <c r="H34" s="105"/>
      <c r="I34" s="311"/>
      <c r="J34" s="2004"/>
      <c r="K34" s="1247" t="e">
        <f>IF(K33="——","——","大写金额：人民币"&amp;NUMBERSTRING(INT(O41*10000),2)&amp;"元整")</f>
        <v>#VALUE!</v>
      </c>
      <c r="L34" s="1248"/>
      <c r="M34" s="1248"/>
      <c r="N34" s="1248"/>
      <c r="O34" s="1249"/>
      <c r="P34" s="2004"/>
      <c r="Q34" s="292"/>
      <c r="R34" s="292"/>
      <c r="S34" s="292"/>
      <c r="T34" s="292"/>
      <c r="U34" s="292"/>
      <c r="V34" s="2004"/>
      <c r="W34" s="292"/>
      <c r="X34" s="292"/>
      <c r="Y34" s="292"/>
      <c r="Z34" s="292"/>
    </row>
    <row r="35" spans="1:26" ht="15.75" thickBot="1">
      <c r="A35" s="284"/>
      <c r="B35" s="1375"/>
      <c r="C35" s="1376" t="e">
        <f ca="1">ROUND(C32/('数据-汇总表'!D3/666.67),0)</f>
        <v>#DIV/0!</v>
      </c>
      <c r="D35" s="1377" t="s">
        <v>1671</v>
      </c>
      <c r="E35" s="3720"/>
      <c r="F35" s="301" t="s">
        <v>341</v>
      </c>
      <c r="G35" s="973"/>
      <c r="H35" s="972" t="s">
        <v>342</v>
      </c>
      <c r="I35" s="311"/>
      <c r="J35" s="2004"/>
      <c r="K35" s="3724" t="s">
        <v>349</v>
      </c>
      <c r="L35" s="3724" t="s">
        <v>350</v>
      </c>
      <c r="M35" s="1250" t="s">
        <v>351</v>
      </c>
      <c r="N35" s="3724" t="s">
        <v>352</v>
      </c>
      <c r="O35" s="3724" t="s">
        <v>353</v>
      </c>
      <c r="P35" s="2004"/>
      <c r="V35" s="2004"/>
    </row>
    <row r="36" spans="1:26" ht="16.5" customHeight="1">
      <c r="A36" s="303" t="s">
        <v>343</v>
      </c>
      <c r="B36" s="304" t="s">
        <v>332</v>
      </c>
      <c r="C36" s="305" t="s">
        <v>344</v>
      </c>
      <c r="D36" s="305" t="s">
        <v>345</v>
      </c>
      <c r="E36" s="306" t="s">
        <v>346</v>
      </c>
      <c r="F36" s="311"/>
      <c r="G36" s="311"/>
      <c r="H36" s="311"/>
      <c r="I36" s="311"/>
      <c r="J36" s="2006"/>
      <c r="K36" s="3725"/>
      <c r="L36" s="3725"/>
      <c r="M36" s="1252" t="s">
        <v>354</v>
      </c>
      <c r="N36" s="3725"/>
      <c r="O36" s="3725"/>
      <c r="P36" s="2004"/>
      <c r="V36" s="2004"/>
    </row>
    <row r="37" spans="1:26" ht="16.5" customHeight="1" thickBot="1">
      <c r="A37" s="1246" t="s">
        <v>347</v>
      </c>
      <c r="B37" s="307"/>
      <c r="C37" s="294"/>
      <c r="D37" s="294"/>
      <c r="E37" s="295"/>
      <c r="F37" s="311"/>
      <c r="G37" s="311"/>
      <c r="H37" s="311"/>
      <c r="I37" s="311"/>
      <c r="J37" s="2006"/>
      <c r="K37" s="3726"/>
      <c r="L37" s="3726"/>
      <c r="M37" s="1253"/>
      <c r="N37" s="3726"/>
      <c r="O37" s="3726"/>
      <c r="P37" s="2004"/>
      <c r="V37" s="2004"/>
    </row>
    <row r="38" spans="1:26" ht="16.5" customHeight="1" thickBot="1">
      <c r="A38" s="1246" t="s">
        <v>348</v>
      </c>
      <c r="B38" s="307"/>
      <c r="C38" s="294"/>
      <c r="D38" s="294"/>
      <c r="E38" s="295"/>
      <c r="F38" s="311"/>
      <c r="G38" s="311"/>
      <c r="H38" s="311"/>
      <c r="I38" s="311"/>
      <c r="J38" s="2006"/>
      <c r="K38" s="1254">
        <f>'数据-汇总表'!D3</f>
        <v>370783.53</v>
      </c>
      <c r="L38" s="1255">
        <f>'数据-汇总表'!E3</f>
        <v>556650.11</v>
      </c>
      <c r="M38" s="1255" t="e">
        <f ca="1">C34</f>
        <v>#DIV/0!</v>
      </c>
      <c r="N38" s="1255" t="e">
        <f ca="1">C33</f>
        <v>#DIV/0!</v>
      </c>
      <c r="O38" s="1256" t="e">
        <f ca="1">C32</f>
        <v>#DIV/0!</v>
      </c>
      <c r="P38" s="2004"/>
      <c r="V38" s="2004"/>
    </row>
    <row r="39" spans="1:26" ht="16.5" customHeight="1" thickBot="1">
      <c r="A39" s="1251"/>
      <c r="B39" s="308"/>
      <c r="C39" s="309"/>
      <c r="D39" s="309"/>
      <c r="E39" s="310"/>
      <c r="F39" s="311"/>
      <c r="G39" s="311"/>
      <c r="H39" s="311"/>
      <c r="I39" s="311"/>
      <c r="J39" s="2006"/>
      <c r="K39" s="3701" t="str">
        <f>MID(A44,3,LEN(A44)-2)</f>
        <v/>
      </c>
      <c r="L39" s="3702"/>
      <c r="M39" s="3702"/>
      <c r="N39" s="3703"/>
      <c r="O39" s="1379" t="str">
        <f>C44</f>
        <v>——</v>
      </c>
      <c r="P39" s="2004"/>
      <c r="V39" s="2004"/>
    </row>
    <row r="40" spans="1:26" ht="19.5" thickBot="1">
      <c r="A40" s="104" t="s">
        <v>851</v>
      </c>
      <c r="B40" s="311"/>
      <c r="C40" s="311"/>
      <c r="D40" s="311"/>
      <c r="E40" s="311"/>
      <c r="F40" s="311"/>
      <c r="G40" s="311"/>
      <c r="H40" s="311"/>
      <c r="I40" s="311"/>
      <c r="J40" s="2006"/>
      <c r="K40" s="3701" t="str">
        <f t="shared" ref="K40:K41" si="0">MID(A45,3,LEN(A45)-2)</f>
        <v/>
      </c>
      <c r="L40" s="3702"/>
      <c r="M40" s="3702"/>
      <c r="N40" s="3703"/>
      <c r="O40" s="1379" t="str">
        <f>C45</f>
        <v>——</v>
      </c>
      <c r="P40" s="2004"/>
      <c r="V40" s="2004"/>
    </row>
    <row r="41" spans="1:26" ht="16.5" thickBot="1">
      <c r="A41" s="312" t="s">
        <v>355</v>
      </c>
      <c r="B41" s="313"/>
      <c r="C41" s="314" t="s">
        <v>356</v>
      </c>
      <c r="D41" s="315" t="s">
        <v>357</v>
      </c>
      <c r="E41" s="315" t="s">
        <v>358</v>
      </c>
      <c r="F41" s="316" t="s">
        <v>359</v>
      </c>
      <c r="G41" s="311"/>
      <c r="H41" s="311"/>
      <c r="I41" s="311"/>
      <c r="J41" s="2006"/>
      <c r="K41" s="3701" t="str">
        <f t="shared" si="0"/>
        <v/>
      </c>
      <c r="L41" s="3702"/>
      <c r="M41" s="3702"/>
      <c r="N41" s="3703"/>
      <c r="O41" s="1379" t="str">
        <f>C46</f>
        <v>——</v>
      </c>
      <c r="P41" s="2004"/>
      <c r="V41" s="2004"/>
    </row>
    <row r="42" spans="1:26" ht="29.25">
      <c r="A42" s="3761" t="s">
        <v>2043</v>
      </c>
      <c r="B42" s="3762"/>
      <c r="C42" s="264" t="e">
        <f ca="1">C32</f>
        <v>#DIV/0!</v>
      </c>
      <c r="D42" s="317" t="e">
        <f ca="1">C33</f>
        <v>#DIV/0!</v>
      </c>
      <c r="E42" s="317" t="e">
        <f ca="1">C34</f>
        <v>#DIV/0!</v>
      </c>
      <c r="F42" s="318" t="e">
        <f ca="1">C35</f>
        <v>#DIV/0!</v>
      </c>
      <c r="G42" s="311"/>
      <c r="H42" s="311"/>
      <c r="I42" s="319"/>
      <c r="J42" s="2006"/>
      <c r="K42" s="1257" t="s">
        <v>360</v>
      </c>
      <c r="L42" s="2023" t="s">
        <v>361</v>
      </c>
      <c r="M42" s="1258" t="s">
        <v>362</v>
      </c>
      <c r="N42" s="2024" t="s">
        <v>363</v>
      </c>
      <c r="O42" s="2025" t="s">
        <v>364</v>
      </c>
      <c r="P42" s="2004"/>
      <c r="V42" s="2004"/>
    </row>
    <row r="43" spans="1:26" ht="18">
      <c r="A43" s="3771" t="s">
        <v>2704</v>
      </c>
      <c r="B43" s="3772"/>
      <c r="C43" s="264">
        <f>IF(H33="正常操作",G33+G34+G35,G34+G35)</f>
        <v>0</v>
      </c>
      <c r="D43" s="317" t="s">
        <v>42</v>
      </c>
      <c r="E43" s="317" t="s">
        <v>43</v>
      </c>
      <c r="F43" s="318" t="s">
        <v>43</v>
      </c>
      <c r="G43" s="2796" t="s">
        <v>930</v>
      </c>
      <c r="H43" s="311"/>
      <c r="I43" s="319"/>
      <c r="J43" s="2006"/>
      <c r="K43" s="1259" t="str">
        <f>C4</f>
        <v>成本逼近法</v>
      </c>
      <c r="L43" s="1260">
        <f ca="1">IF(L42="估价结果/万元",C19,C20)</f>
        <v>273614</v>
      </c>
      <c r="M43" s="1261" t="e">
        <f>C18</f>
        <v>#DIV/0!</v>
      </c>
      <c r="N43" s="1262" t="e">
        <f ca="1">IF(N42="测算结果/万元",G19,G20)</f>
        <v>#DIV/0!</v>
      </c>
      <c r="O43" s="1263" t="e">
        <f ca="1">IF(O42="最终结果/万元",C32,C33)</f>
        <v>#DIV/0!</v>
      </c>
      <c r="P43" s="2004"/>
      <c r="V43" s="2004"/>
    </row>
    <row r="44" spans="1:26" ht="30.75" thickBot="1">
      <c r="A44" s="3761" t="str">
        <f>IF(OR(项目基本情况!E8="抵押价格",项目基本情况!E8="已注销及未注销"),"3.抵押价格","——")</f>
        <v>——</v>
      </c>
      <c r="B44" s="3762"/>
      <c r="C44" s="264" t="str">
        <f>IF(A44="——","——",C42-C43)</f>
        <v>——</v>
      </c>
      <c r="D44" s="317" t="e">
        <f>ROUND(C44*10000/'数据-汇总表'!E3,0)</f>
        <v>#VALUE!</v>
      </c>
      <c r="E44" s="317" t="e">
        <f>ROUND(C44*10000/'数据-汇总表'!D3,0)</f>
        <v>#VALUE!</v>
      </c>
      <c r="F44" s="318" t="e">
        <f>ROUND(C44/('数据-汇总表'!D3/666.67),0)</f>
        <v>#VALUE!</v>
      </c>
      <c r="G44" s="311"/>
      <c r="H44" s="311"/>
      <c r="I44" s="319"/>
      <c r="J44" s="2006"/>
      <c r="K44" s="1264" t="str">
        <f>D4</f>
        <v>剩余法-待开发</v>
      </c>
      <c r="L44" s="1265">
        <f ca="1">IF(L42="估价结果/万元",D19,D20)</f>
        <v>263451</v>
      </c>
      <c r="M44" s="1266" t="e">
        <f>D18</f>
        <v>#DIV/0!</v>
      </c>
      <c r="N44" s="1267"/>
      <c r="O44" s="1268"/>
      <c r="P44" s="2004"/>
      <c r="V44" s="2004"/>
    </row>
    <row r="45" spans="1:26" ht="15">
      <c r="A45" s="3766" t="str">
        <f>IF(项目基本情况!E8="已注销及未注销","4.抵押担保权已注销时的抵押价格",IF(项目基本情况!E8="已注销","3.抵押担保权已注销时的抵押价格","——"))</f>
        <v>——</v>
      </c>
      <c r="B45" s="3767"/>
      <c r="C45" s="177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06"/>
      <c r="K45" s="2004"/>
      <c r="L45" s="2004"/>
      <c r="M45" s="2004"/>
      <c r="N45" s="2004"/>
      <c r="O45" s="2004"/>
      <c r="P45" s="2004"/>
      <c r="V45" s="2004"/>
    </row>
    <row r="46" spans="1:26" ht="15.75" thickBot="1">
      <c r="A46" s="3763" t="str">
        <f>IF(项目基本情况!E9="抵押净值",IF(A45="——","4.抵押净值","5.抵押净值"),"——")</f>
        <v>——</v>
      </c>
      <c r="B46" s="3764"/>
      <c r="C46" s="320" t="str">
        <f>IF(A46="——","——",O79)</f>
        <v>——</v>
      </c>
      <c r="D46" s="317" t="e">
        <f>ROUND(C46*10000/'数据-汇总表'!E3,0)</f>
        <v>#VALUE!</v>
      </c>
      <c r="E46" s="317" t="e">
        <f>ROUND(C46*10000/'数据-汇总表'!D3,0)</f>
        <v>#VALUE!</v>
      </c>
      <c r="F46" s="318" t="e">
        <f>ROUND(C46/('数据-汇总表'!D3/666.67),0)</f>
        <v>#VALUE!</v>
      </c>
      <c r="G46" s="311"/>
      <c r="H46" s="311"/>
      <c r="I46" s="319"/>
      <c r="J46" s="2006"/>
      <c r="K46" s="2004"/>
      <c r="L46" s="2004"/>
      <c r="M46" s="2004"/>
      <c r="N46" s="2004"/>
      <c r="O46" s="2004"/>
      <c r="P46" s="2004"/>
      <c r="Q46" s="2004"/>
      <c r="R46" s="2004"/>
      <c r="S46" s="2004"/>
      <c r="T46" s="2004"/>
      <c r="U46" s="2004"/>
      <c r="V46" s="2004"/>
    </row>
    <row r="47" spans="1:26" ht="15.75">
      <c r="A47" s="321" t="s">
        <v>365</v>
      </c>
      <c r="B47" s="1269"/>
      <c r="C47" s="322" t="s">
        <v>366</v>
      </c>
      <c r="D47" s="323"/>
      <c r="E47" s="323"/>
      <c r="F47" s="323"/>
      <c r="G47" s="324"/>
      <c r="H47" s="325"/>
      <c r="I47" s="326"/>
      <c r="J47" s="2006"/>
      <c r="K47" s="311" t="str">
        <f>IF(C43=0,"本次评估"&amp;IF(G43="设定","设定估价对象","")&amp;"不存在"&amp;MID(A43,3,LEN(A43)-2),"本次评估"&amp;IF(G43="设定","设定","")&amp;MID(A43,3,LEN(A43)-2)&amp;"为人民币"&amp;C43&amp;"万元整。")</f>
        <v>本次评估不存在估价师知悉的法定优先受偿款</v>
      </c>
      <c r="L47" s="2004"/>
      <c r="M47" s="2004"/>
      <c r="N47" s="2004"/>
      <c r="O47" s="2004"/>
      <c r="P47" s="2004"/>
      <c r="Q47" s="2004"/>
      <c r="R47" s="2004"/>
      <c r="S47" s="2004"/>
      <c r="T47" s="2004"/>
      <c r="U47" s="2004"/>
      <c r="V47" s="2004"/>
    </row>
    <row r="48" spans="1:26" ht="12.75">
      <c r="A48" s="327">
        <v>1</v>
      </c>
      <c r="B48" s="328"/>
      <c r="C48" s="328"/>
      <c r="D48" s="323"/>
      <c r="E48" s="323"/>
      <c r="F48" s="323"/>
      <c r="G48" s="323"/>
      <c r="H48" s="329"/>
      <c r="I48" s="330"/>
      <c r="J48" s="2006"/>
      <c r="K48" s="2004"/>
      <c r="L48" s="2004"/>
      <c r="M48" s="2004"/>
      <c r="N48" s="2004"/>
      <c r="O48" s="2004"/>
      <c r="P48" s="2004"/>
      <c r="Q48" s="2004"/>
      <c r="R48" s="2004"/>
      <c r="S48" s="2004"/>
      <c r="T48" s="2004"/>
      <c r="U48" s="2004"/>
      <c r="V48" s="2004"/>
    </row>
    <row r="49" spans="1:22" ht="12.75">
      <c r="A49" s="327">
        <v>2</v>
      </c>
      <c r="B49" s="328"/>
      <c r="C49" s="328"/>
      <c r="D49" s="323"/>
      <c r="E49" s="323"/>
      <c r="F49" s="323"/>
      <c r="G49" s="323"/>
      <c r="H49" s="329"/>
      <c r="I49" s="330"/>
      <c r="J49" s="2007"/>
      <c r="K49" s="2004"/>
      <c r="L49" s="2004"/>
      <c r="M49" s="2004"/>
      <c r="N49" s="2004"/>
      <c r="O49" s="2004"/>
      <c r="P49" s="2004"/>
      <c r="Q49" s="2004"/>
      <c r="R49" s="2004"/>
      <c r="S49" s="2004"/>
      <c r="T49" s="2004"/>
      <c r="U49" s="2004"/>
      <c r="V49" s="2004"/>
    </row>
    <row r="50" spans="1:22" ht="12.75">
      <c r="A50" s="327">
        <v>3</v>
      </c>
      <c r="B50" s="328"/>
      <c r="C50" s="328"/>
      <c r="D50" s="323"/>
      <c r="E50" s="323"/>
      <c r="F50" s="323"/>
      <c r="G50" s="323"/>
      <c r="H50" s="329"/>
      <c r="I50" s="330"/>
      <c r="J50" s="2007"/>
      <c r="K50" s="2004"/>
      <c r="L50" s="2004"/>
      <c r="M50" s="2004"/>
      <c r="N50" s="2004"/>
      <c r="O50" s="2004"/>
      <c r="P50" s="2004"/>
      <c r="Q50" s="2004"/>
      <c r="R50" s="2004"/>
      <c r="S50" s="2004"/>
      <c r="T50" s="2004"/>
      <c r="U50" s="2004"/>
      <c r="V50" s="2004"/>
    </row>
    <row r="51" spans="1:22" ht="12.75">
      <c r="A51" s="331"/>
      <c r="B51" s="332"/>
      <c r="C51" s="332"/>
      <c r="D51" s="333"/>
      <c r="E51" s="333"/>
      <c r="F51" s="333"/>
      <c r="G51" s="333"/>
      <c r="H51" s="334"/>
      <c r="I51" s="335"/>
      <c r="J51" s="2007"/>
      <c r="K51" s="2004"/>
      <c r="L51" s="2004"/>
      <c r="M51" s="2004"/>
      <c r="N51" s="2004"/>
      <c r="O51" s="2004"/>
      <c r="P51" s="2004"/>
      <c r="Q51" s="2004"/>
      <c r="R51" s="2004"/>
      <c r="S51" s="2004"/>
      <c r="T51" s="2004"/>
      <c r="U51" s="2004"/>
      <c r="V51" s="2004"/>
    </row>
    <row r="52" spans="1:22" ht="12.75">
      <c r="A52" s="328"/>
      <c r="B52" s="328"/>
      <c r="C52" s="328"/>
      <c r="D52" s="323"/>
      <c r="E52" s="323"/>
      <c r="F52" s="323"/>
      <c r="G52" s="323"/>
      <c r="H52" s="329"/>
      <c r="I52" s="257"/>
      <c r="J52" s="2007"/>
      <c r="K52" s="2004"/>
      <c r="L52" s="2004"/>
      <c r="M52" s="2004"/>
      <c r="N52" s="2004"/>
      <c r="O52" s="2004"/>
      <c r="P52" s="2004"/>
      <c r="Q52" s="2004"/>
      <c r="R52" s="2004"/>
      <c r="S52" s="2004"/>
      <c r="T52" s="2004"/>
      <c r="U52" s="2004"/>
      <c r="V52" s="2004"/>
    </row>
    <row r="53" spans="1:22" ht="12.75">
      <c r="A53" s="257"/>
      <c r="B53" s="257"/>
      <c r="C53" s="257"/>
      <c r="D53" s="257"/>
      <c r="E53" s="257"/>
      <c r="F53" s="336" t="s">
        <v>367</v>
      </c>
      <c r="G53" s="337"/>
      <c r="H53" s="337"/>
      <c r="I53" s="338" t="s">
        <v>368</v>
      </c>
      <c r="J53" s="2007"/>
      <c r="K53" s="2004"/>
      <c r="L53" s="2004"/>
      <c r="M53" s="2004"/>
      <c r="N53" s="2004"/>
      <c r="O53" s="2004"/>
      <c r="P53" s="2004"/>
      <c r="Q53" s="2004"/>
      <c r="R53" s="2004"/>
      <c r="S53" s="2004"/>
      <c r="T53" s="2004"/>
      <c r="U53" s="2004"/>
      <c r="V53" s="2004"/>
    </row>
    <row r="54" spans="1:22" ht="12.75">
      <c r="A54" s="257"/>
      <c r="B54" s="339" t="s">
        <v>369</v>
      </c>
      <c r="C54" s="257"/>
      <c r="D54" s="257"/>
      <c r="E54" s="257"/>
      <c r="F54" s="257"/>
      <c r="G54" s="257"/>
      <c r="H54" s="257"/>
      <c r="I54" s="257"/>
      <c r="J54" s="2007"/>
      <c r="K54" s="2004"/>
      <c r="L54" s="2004"/>
      <c r="M54" s="2004"/>
      <c r="N54" s="2004"/>
      <c r="O54" s="2004"/>
      <c r="P54" s="2004"/>
      <c r="Q54" s="2004"/>
      <c r="R54" s="2004"/>
      <c r="S54" s="2004"/>
      <c r="T54" s="2004"/>
      <c r="U54" s="2004"/>
      <c r="V54" s="2004"/>
    </row>
    <row r="55" spans="1:22" ht="12.75">
      <c r="A55" s="257"/>
      <c r="B55" s="257"/>
      <c r="C55" s="257"/>
      <c r="D55" s="257"/>
      <c r="E55" s="257"/>
      <c r="F55" s="257"/>
      <c r="G55" s="257"/>
      <c r="H55" s="257"/>
      <c r="I55" s="257"/>
      <c r="J55" s="2007"/>
      <c r="K55" s="2004"/>
      <c r="L55" s="2004"/>
      <c r="M55" s="2004"/>
      <c r="N55" s="2004"/>
      <c r="O55" s="2004"/>
      <c r="P55" s="2004"/>
      <c r="Q55" s="2004"/>
      <c r="R55" s="2004"/>
      <c r="S55" s="2004"/>
      <c r="T55" s="2004"/>
      <c r="U55" s="2004"/>
      <c r="V55" s="2004"/>
    </row>
    <row r="56" spans="1:22" ht="12.75">
      <c r="A56" s="257"/>
      <c r="B56" s="337"/>
      <c r="C56" s="337"/>
      <c r="D56" s="337"/>
      <c r="E56" s="337"/>
      <c r="F56" s="337"/>
      <c r="G56" s="337"/>
      <c r="H56" s="337"/>
      <c r="I56" s="338" t="s">
        <v>370</v>
      </c>
      <c r="J56" s="2007"/>
      <c r="K56" s="2004"/>
      <c r="L56" s="2004"/>
      <c r="M56" s="2004"/>
      <c r="N56" s="2004"/>
      <c r="O56" s="2004"/>
      <c r="P56" s="2004"/>
      <c r="Q56" s="2004"/>
      <c r="R56" s="2004"/>
      <c r="S56" s="2004"/>
      <c r="T56" s="2004"/>
      <c r="U56" s="2004"/>
      <c r="V56" s="2004"/>
    </row>
    <row r="57" spans="1:22" ht="12.75">
      <c r="A57" s="257"/>
      <c r="B57" s="339" t="s">
        <v>371</v>
      </c>
      <c r="C57" s="257"/>
      <c r="D57" s="257"/>
      <c r="E57" s="257"/>
      <c r="F57" s="257"/>
      <c r="G57" s="257"/>
      <c r="H57" s="257"/>
      <c r="I57" s="257"/>
      <c r="J57" s="2007"/>
      <c r="K57" s="2004"/>
      <c r="L57" s="2004"/>
      <c r="M57" s="2004"/>
      <c r="N57" s="2004"/>
      <c r="O57" s="2004"/>
      <c r="P57" s="2004"/>
      <c r="Q57" s="2004"/>
      <c r="R57" s="2004"/>
      <c r="S57" s="2004"/>
      <c r="T57" s="2004"/>
      <c r="U57" s="2004"/>
      <c r="V57" s="2004"/>
    </row>
    <row r="58" spans="1:22" ht="12.75">
      <c r="A58" s="257"/>
      <c r="B58" s="339"/>
      <c r="C58" s="257"/>
      <c r="D58" s="257"/>
      <c r="E58" s="257"/>
      <c r="F58" s="257"/>
      <c r="G58" s="257"/>
      <c r="H58" s="257"/>
      <c r="I58" s="257"/>
      <c r="J58" s="2007"/>
      <c r="K58" s="2004"/>
      <c r="L58" s="2004"/>
      <c r="M58" s="2004"/>
      <c r="N58" s="2004"/>
      <c r="O58" s="2004"/>
      <c r="P58" s="2004"/>
      <c r="Q58" s="2004"/>
      <c r="R58" s="2004"/>
      <c r="S58" s="2004"/>
      <c r="T58" s="2004"/>
      <c r="U58" s="2004"/>
      <c r="V58" s="2004"/>
    </row>
    <row r="59" spans="1:22" ht="12.75">
      <c r="A59" s="257"/>
      <c r="B59" s="337"/>
      <c r="C59" s="337"/>
      <c r="D59" s="337"/>
      <c r="E59" s="337"/>
      <c r="F59" s="337"/>
      <c r="G59" s="337"/>
      <c r="H59" s="337"/>
      <c r="I59" s="338" t="s">
        <v>370</v>
      </c>
      <c r="J59" s="2007"/>
      <c r="K59" s="2004"/>
      <c r="L59" s="2004"/>
      <c r="M59" s="2004"/>
      <c r="N59" s="2004"/>
      <c r="O59" s="2004"/>
      <c r="P59" s="2004"/>
      <c r="Q59" s="2004"/>
      <c r="R59" s="2004"/>
      <c r="S59" s="2004"/>
      <c r="T59" s="2004"/>
      <c r="U59" s="2004"/>
      <c r="V59" s="2004"/>
    </row>
    <row r="60" spans="1:22" ht="12.75">
      <c r="A60" s="257"/>
      <c r="B60" s="257"/>
      <c r="C60" s="257"/>
      <c r="D60" s="257"/>
      <c r="E60" s="257"/>
      <c r="F60" s="257"/>
      <c r="G60" s="257"/>
      <c r="H60" s="257"/>
      <c r="I60" s="257"/>
      <c r="J60" s="2007"/>
      <c r="K60" s="2004"/>
      <c r="L60" s="2004"/>
      <c r="M60" s="2004"/>
      <c r="N60" s="2004"/>
      <c r="O60" s="2004"/>
      <c r="P60" s="2004"/>
      <c r="Q60" s="2004"/>
      <c r="R60" s="2004"/>
      <c r="S60" s="2004"/>
      <c r="T60" s="2004"/>
      <c r="U60" s="2004"/>
      <c r="V60" s="2004"/>
    </row>
    <row r="61" spans="1:22" ht="12.75">
      <c r="A61" s="257"/>
      <c r="B61" s="339"/>
      <c r="C61" s="340"/>
      <c r="D61" s="216"/>
      <c r="E61" s="216"/>
      <c r="F61" s="253"/>
      <c r="G61" s="257"/>
      <c r="H61" s="257"/>
      <c r="I61" s="257"/>
      <c r="J61" s="2007"/>
      <c r="K61" s="2004"/>
      <c r="L61" s="2004"/>
      <c r="M61" s="2004"/>
      <c r="N61" s="2004"/>
      <c r="O61" s="2004"/>
      <c r="P61" s="2004"/>
      <c r="Q61" s="2004"/>
      <c r="R61" s="2004"/>
      <c r="S61" s="2004"/>
      <c r="T61" s="2004"/>
      <c r="U61" s="2004"/>
      <c r="V61" s="2004"/>
    </row>
    <row r="62" spans="1:22" ht="18.75">
      <c r="A62" s="1270" t="s">
        <v>372</v>
      </c>
      <c r="B62" s="1271"/>
      <c r="C62" s="1271"/>
      <c r="D62" s="1272"/>
      <c r="E62" s="1272"/>
      <c r="F62" s="1273"/>
      <c r="G62" s="1273"/>
      <c r="H62" s="1273"/>
      <c r="I62" s="1273"/>
      <c r="J62" s="2008"/>
      <c r="K62" s="2004"/>
      <c r="L62" s="2004"/>
      <c r="M62" s="2004"/>
      <c r="N62" s="2004"/>
      <c r="O62" s="2004"/>
      <c r="P62" s="2004"/>
      <c r="Q62" s="2004"/>
      <c r="R62" s="2004"/>
      <c r="S62" s="2004"/>
      <c r="T62" s="2004"/>
      <c r="U62" s="2004"/>
      <c r="V62" s="2004"/>
    </row>
    <row r="63" spans="1:22" ht="14.25" customHeight="1" thickBot="1">
      <c r="A63" s="3729" t="s">
        <v>373</v>
      </c>
      <c r="B63" s="3730"/>
      <c r="C63" s="3731"/>
      <c r="D63" s="341" t="e">
        <f ca="1">ROUND(C42*F63,0)</f>
        <v>#DIV/0!</v>
      </c>
      <c r="E63" s="302" t="s">
        <v>374</v>
      </c>
      <c r="F63" s="342">
        <v>0.6</v>
      </c>
      <c r="G63" s="343" t="s">
        <v>375</v>
      </c>
      <c r="H63" s="311"/>
      <c r="I63" s="311"/>
      <c r="J63" s="2004"/>
      <c r="K63" s="2004"/>
      <c r="L63" s="2004"/>
      <c r="M63" s="2004"/>
      <c r="N63" s="2004"/>
      <c r="O63" s="2004"/>
      <c r="P63" s="311"/>
      <c r="Q63" s="2004"/>
      <c r="R63" s="2004"/>
      <c r="S63" s="2004"/>
      <c r="T63" s="2004"/>
      <c r="U63" s="2004"/>
      <c r="V63" s="2004"/>
    </row>
    <row r="64" spans="1:22" ht="14.25" customHeight="1">
      <c r="A64" s="3768" t="s">
        <v>377</v>
      </c>
      <c r="B64" s="3769"/>
      <c r="C64" s="3769"/>
      <c r="D64" s="3769"/>
      <c r="E64" s="3769"/>
      <c r="F64" s="3769"/>
      <c r="G64" s="3770"/>
      <c r="H64" s="1274"/>
      <c r="I64" s="939"/>
      <c r="J64" s="1966"/>
      <c r="K64" s="1538" t="s">
        <v>376</v>
      </c>
      <c r="L64" s="11"/>
      <c r="M64" s="11"/>
      <c r="N64" s="11"/>
      <c r="O64" s="11"/>
      <c r="P64" s="311"/>
      <c r="Q64" s="2004"/>
      <c r="R64" s="2004"/>
      <c r="S64" s="2004"/>
      <c r="T64" s="2004"/>
      <c r="U64" s="2004"/>
      <c r="V64" s="2004"/>
    </row>
    <row r="65" spans="1:22" ht="12" customHeight="1">
      <c r="A65" s="344" t="s">
        <v>379</v>
      </c>
      <c r="B65" s="345"/>
      <c r="C65" s="346"/>
      <c r="D65" s="347" t="s">
        <v>380</v>
      </c>
      <c r="E65" s="53" t="s">
        <v>381</v>
      </c>
      <c r="F65" s="348" t="s">
        <v>382</v>
      </c>
      <c r="G65" s="349" t="s">
        <v>383</v>
      </c>
      <c r="H65" s="1274"/>
      <c r="I65" s="939"/>
      <c r="J65" s="1966"/>
      <c r="K65" s="1275"/>
      <c r="L65" s="1276"/>
      <c r="M65" s="1276"/>
      <c r="N65" s="1308" t="s">
        <v>378</v>
      </c>
      <c r="O65" s="1309"/>
      <c r="P65" s="1310"/>
      <c r="Q65" s="2004"/>
      <c r="R65" s="2004"/>
      <c r="S65" s="2004"/>
      <c r="T65" s="2004"/>
      <c r="U65" s="2004"/>
      <c r="V65" s="2004"/>
    </row>
    <row r="66" spans="1:22" ht="25.5">
      <c r="A66" s="3765" t="s">
        <v>385</v>
      </c>
      <c r="B66" s="3736"/>
      <c r="C66" s="3736"/>
      <c r="D66" s="261" t="e">
        <f ca="1">IF(H66="情况1",0,IF(H66="情况2",D70,IF(H66="情况3",D71,IF(H66="情况4",D72))))</f>
        <v>#DIV/0!</v>
      </c>
      <c r="E66" s="984" t="str">
        <f>IF(H66="情况4","(销售额-原购置价)×税（费）率","销售额×税（费）率")</f>
        <v>销售额×税（费）率</v>
      </c>
      <c r="F66" s="350">
        <f>IF(H66="情况1","免征",'数据-取费表'!B41)</f>
        <v>5.6000000000000001E-2</v>
      </c>
      <c r="G66" s="351" t="s">
        <v>386</v>
      </c>
      <c r="H66" s="191" t="s">
        <v>387</v>
      </c>
      <c r="I66" s="1274"/>
      <c r="J66" s="2010"/>
      <c r="K66" s="1277">
        <v>1</v>
      </c>
      <c r="L66" s="3705" t="s">
        <v>384</v>
      </c>
      <c r="M66" s="3706"/>
      <c r="N66" s="2397"/>
      <c r="O66" s="2398"/>
      <c r="P66" s="2399"/>
      <c r="Q66" s="2004"/>
      <c r="R66" s="2004"/>
      <c r="S66" s="2004"/>
      <c r="T66" s="2004"/>
      <c r="U66" s="2004"/>
      <c r="V66" s="2004"/>
    </row>
    <row r="67" spans="1:22" ht="25.5" customHeight="1">
      <c r="A67" s="352" t="s">
        <v>389</v>
      </c>
      <c r="B67" s="3748" t="s">
        <v>390</v>
      </c>
      <c r="C67" s="3748"/>
      <c r="D67" s="353">
        <v>0</v>
      </c>
      <c r="E67" s="41" t="s">
        <v>391</v>
      </c>
      <c r="F67" s="62" t="s">
        <v>20</v>
      </c>
      <c r="G67" s="3732"/>
      <c r="H67" s="311"/>
      <c r="I67" s="1278"/>
      <c r="J67" s="2011"/>
      <c r="K67" s="1952">
        <v>2</v>
      </c>
      <c r="L67" s="3704" t="s">
        <v>388</v>
      </c>
      <c r="M67" s="3704"/>
      <c r="N67" s="1311">
        <f>'数据-取费表'!B2</f>
        <v>43933</v>
      </c>
      <c r="O67" s="1311"/>
      <c r="P67" s="1311"/>
      <c r="Q67" s="2004"/>
      <c r="R67" s="2004"/>
      <c r="S67" s="2004"/>
      <c r="T67" s="2004"/>
      <c r="U67" s="2004"/>
      <c r="V67" s="2004"/>
    </row>
    <row r="68" spans="1:22" ht="25.5" customHeight="1">
      <c r="A68" s="354"/>
      <c r="B68" s="3748" t="s">
        <v>393</v>
      </c>
      <c r="C68" s="3748"/>
      <c r="D68" s="355"/>
      <c r="E68" s="77"/>
      <c r="F68" s="356"/>
      <c r="G68" s="3733"/>
      <c r="H68" s="311"/>
      <c r="I68" s="1278"/>
      <c r="J68" s="2011"/>
      <c r="K68" s="1952">
        <v>3</v>
      </c>
      <c r="L68" s="3704" t="s">
        <v>392</v>
      </c>
      <c r="M68" s="3704"/>
      <c r="N68" s="1279" t="e">
        <f ca="1">C42</f>
        <v>#DIV/0!</v>
      </c>
      <c r="O68" s="1279"/>
      <c r="P68" s="1279"/>
      <c r="Q68" s="2004"/>
      <c r="R68" s="2004"/>
      <c r="S68" s="2004"/>
      <c r="T68" s="2004"/>
      <c r="U68" s="2004"/>
      <c r="V68" s="2004"/>
    </row>
    <row r="69" spans="1:22" ht="12" customHeight="1">
      <c r="A69" s="357"/>
      <c r="B69" s="3748" t="s">
        <v>394</v>
      </c>
      <c r="C69" s="3748"/>
      <c r="D69" s="358"/>
      <c r="E69" s="73"/>
      <c r="F69" s="356"/>
      <c r="G69" s="3734"/>
      <c r="H69" s="311"/>
      <c r="I69" s="1278"/>
      <c r="J69" s="2011"/>
      <c r="K69" s="1280">
        <v>4</v>
      </c>
      <c r="L69" s="3710" t="s">
        <v>2857</v>
      </c>
      <c r="M69" s="3711"/>
      <c r="N69" s="1281" t="str">
        <f>C44</f>
        <v>——</v>
      </c>
      <c r="O69" s="1281"/>
      <c r="P69" s="1281"/>
      <c r="Q69" s="2004"/>
      <c r="R69" s="2004"/>
      <c r="S69" s="2004"/>
      <c r="T69" s="2004"/>
      <c r="U69" s="2004"/>
      <c r="V69" s="2004"/>
    </row>
    <row r="70" spans="1:22" ht="24" customHeight="1">
      <c r="A70" s="359" t="s">
        <v>395</v>
      </c>
      <c r="B70" s="3748" t="s">
        <v>396</v>
      </c>
      <c r="C70" s="3748"/>
      <c r="D70" s="358" t="e">
        <f ca="1">ROUND(D63*'数据-取费表'!B41/(1+'数据-取费表'!C42),0)</f>
        <v>#DIV/0!</v>
      </c>
      <c r="E70" s="17" t="s">
        <v>397</v>
      </c>
      <c r="F70" s="360">
        <f>'数据-取费表'!B41</f>
        <v>5.6000000000000001E-2</v>
      </c>
      <c r="G70" s="361"/>
      <c r="H70" s="311"/>
      <c r="I70" s="1278"/>
      <c r="J70" s="2011"/>
      <c r="K70" s="2988"/>
      <c r="L70" s="2989"/>
      <c r="M70" s="2989"/>
      <c r="N70" s="2990" t="s">
        <v>2862</v>
      </c>
      <c r="O70" s="2989"/>
      <c r="P70" s="2991"/>
      <c r="Q70" s="2004"/>
      <c r="R70" s="2004"/>
      <c r="S70" s="2004"/>
      <c r="T70" s="2004"/>
      <c r="U70" s="2004"/>
      <c r="V70" s="2004"/>
    </row>
    <row r="71" spans="1:22" ht="12" customHeight="1">
      <c r="A71" s="359" t="s">
        <v>403</v>
      </c>
      <c r="B71" s="3747" t="s">
        <v>404</v>
      </c>
      <c r="C71" s="3759"/>
      <c r="D71" s="358" t="e">
        <f ca="1">ROUND(D63*'数据-取费表'!B41/(1+'数据-取费表'!C42),0)</f>
        <v>#DIV/0!</v>
      </c>
      <c r="E71" s="17" t="s">
        <v>397</v>
      </c>
      <c r="F71" s="360">
        <f>'数据-取费表'!B41</f>
        <v>5.6000000000000001E-2</v>
      </c>
      <c r="G71" s="361"/>
      <c r="H71" s="311"/>
      <c r="I71" s="1278"/>
      <c r="J71" s="2011"/>
      <c r="K71" s="2987" t="s">
        <v>398</v>
      </c>
      <c r="L71" s="3712" t="s">
        <v>399</v>
      </c>
      <c r="M71" s="3712"/>
      <c r="N71" s="2987" t="s">
        <v>400</v>
      </c>
      <c r="O71" s="2987" t="s">
        <v>401</v>
      </c>
      <c r="P71" s="2987" t="s">
        <v>402</v>
      </c>
      <c r="Q71" s="2004"/>
      <c r="R71" s="2004"/>
      <c r="S71" s="2004"/>
      <c r="T71" s="2004"/>
      <c r="U71" s="2004"/>
      <c r="V71" s="2004"/>
    </row>
    <row r="72" spans="1:22" ht="12" customHeight="1">
      <c r="A72" s="359" t="s">
        <v>406</v>
      </c>
      <c r="B72" s="3747" t="s">
        <v>407</v>
      </c>
      <c r="C72" s="3759"/>
      <c r="D72" s="358" t="e">
        <f ca="1">C86</f>
        <v>#DIV/0!</v>
      </c>
      <c r="E72" s="73" t="s">
        <v>408</v>
      </c>
      <c r="F72" s="360">
        <f>'数据-取费表'!B41</f>
        <v>5.6000000000000001E-2</v>
      </c>
      <c r="G72" s="361"/>
      <c r="H72" s="1284"/>
      <c r="I72" s="1278"/>
      <c r="J72" s="2011"/>
      <c r="K72" s="1952">
        <v>1</v>
      </c>
      <c r="L72" s="3709" t="s">
        <v>405</v>
      </c>
      <c r="M72" s="3709"/>
      <c r="N72" s="1282" t="e">
        <f ca="1">D66</f>
        <v>#DIV/0!</v>
      </c>
      <c r="O72" s="1835" t="str">
        <f>E66</f>
        <v>销售额×税（费）率</v>
      </c>
      <c r="P72" s="1283">
        <f>F66</f>
        <v>5.6000000000000001E-2</v>
      </c>
      <c r="Q72" s="2004"/>
      <c r="R72" s="2004"/>
      <c r="S72" s="2004"/>
      <c r="T72" s="2004"/>
      <c r="U72" s="2004"/>
      <c r="V72" s="2004"/>
    </row>
    <row r="73" spans="1:22" ht="24" customHeight="1">
      <c r="A73" s="3735" t="s">
        <v>410</v>
      </c>
      <c r="B73" s="3736"/>
      <c r="C73" s="3736"/>
      <c r="D73" s="362">
        <f>IF(H73="个人住宅",0,ROUND(D63*I73,0))</f>
        <v>0</v>
      </c>
      <c r="E73" s="17" t="s">
        <v>411</v>
      </c>
      <c r="F73" s="360" t="str">
        <f>IF(H73="正常",I73,"免征")</f>
        <v>免征</v>
      </c>
      <c r="G73" s="361"/>
      <c r="H73" s="191" t="s">
        <v>2430</v>
      </c>
      <c r="I73" s="360">
        <f>'数据-取费表'!B49</f>
        <v>5.0000000000000001E-4</v>
      </c>
      <c r="J73" s="2011"/>
      <c r="K73" s="1952">
        <v>2</v>
      </c>
      <c r="L73" s="3709" t="s">
        <v>409</v>
      </c>
      <c r="M73" s="3709"/>
      <c r="N73" s="1282">
        <f t="shared" ref="N73:P74" si="1">D73</f>
        <v>0</v>
      </c>
      <c r="O73" s="1835" t="str">
        <f t="shared" si="1"/>
        <v>销售额×税（费）率</v>
      </c>
      <c r="P73" s="1283" t="str">
        <f t="shared" si="1"/>
        <v>免征</v>
      </c>
      <c r="Q73" s="2004"/>
      <c r="R73" s="2004"/>
      <c r="S73" s="2004"/>
      <c r="T73" s="2004"/>
      <c r="U73" s="2004"/>
      <c r="V73" s="2004"/>
    </row>
    <row r="74" spans="1:22" ht="24.75">
      <c r="A74" s="3735" t="s">
        <v>414</v>
      </c>
      <c r="B74" s="3736"/>
      <c r="C74" s="3736"/>
      <c r="D74" s="362" t="e">
        <f ca="1">IF(H74="个人住宅",D75,D76)</f>
        <v>#DIV/0!</v>
      </c>
      <c r="E74" s="17" t="s">
        <v>415</v>
      </c>
      <c r="F74" s="360" t="str">
        <f>IF(H74="正常",F76,"免征")</f>
        <v>——</v>
      </c>
      <c r="G74" s="974" t="s">
        <v>416</v>
      </c>
      <c r="H74" s="363" t="s">
        <v>412</v>
      </c>
      <c r="I74" s="42"/>
      <c r="J74" s="2011"/>
      <c r="K74" s="1952">
        <v>3</v>
      </c>
      <c r="L74" s="3709" t="s">
        <v>413</v>
      </c>
      <c r="M74" s="3709"/>
      <c r="N74" s="1282" t="e">
        <f t="shared" ca="1" si="1"/>
        <v>#DIV/0!</v>
      </c>
      <c r="O74" s="1835" t="str">
        <f t="shared" si="1"/>
        <v>增值额×税（费）率</v>
      </c>
      <c r="P74" s="1285" t="str">
        <f t="shared" si="1"/>
        <v>——</v>
      </c>
      <c r="Q74" s="2004"/>
      <c r="R74" s="2004"/>
      <c r="S74" s="2004"/>
      <c r="T74" s="2004"/>
      <c r="U74" s="2004"/>
      <c r="V74" s="2004"/>
    </row>
    <row r="75" spans="1:22" ht="24">
      <c r="A75" s="359" t="s">
        <v>417</v>
      </c>
      <c r="B75" s="3716" t="s">
        <v>418</v>
      </c>
      <c r="C75" s="3717"/>
      <c r="D75" s="364">
        <v>0</v>
      </c>
      <c r="E75" s="41" t="s">
        <v>419</v>
      </c>
      <c r="F75" s="365"/>
      <c r="G75" s="361"/>
      <c r="H75" s="42"/>
      <c r="I75" s="42"/>
      <c r="J75" s="2011"/>
      <c r="K75" s="2980">
        <f>IF(H77="非个人房产","",4)</f>
        <v>4</v>
      </c>
      <c r="L75" s="3709" t="str">
        <f>IF(H77="非个人房产","——","个人所得税")</f>
        <v>个人所得税</v>
      </c>
      <c r="M75" s="3709"/>
      <c r="N75" s="1286" t="e">
        <f ca="1">D77</f>
        <v>#DIV/0!</v>
      </c>
      <c r="O75" s="1848" t="str">
        <f>E77</f>
        <v>销售额×税（费）率</v>
      </c>
      <c r="P75" s="1287">
        <f>F77</f>
        <v>0.01</v>
      </c>
      <c r="Q75" s="2004"/>
      <c r="R75" s="2004"/>
      <c r="S75" s="2004"/>
      <c r="T75" s="2004"/>
      <c r="U75" s="2004"/>
      <c r="V75" s="2004"/>
    </row>
    <row r="76" spans="1:22" ht="24.75">
      <c r="A76" s="359" t="s">
        <v>395</v>
      </c>
      <c r="B76" s="3716" t="s">
        <v>421</v>
      </c>
      <c r="C76" s="3758"/>
      <c r="D76" s="362" t="e">
        <f ca="1">IF(H76="转让取得",C99,C115)</f>
        <v>#DIV/0!</v>
      </c>
      <c r="E76" s="17" t="s">
        <v>422</v>
      </c>
      <c r="F76" s="53" t="s">
        <v>20</v>
      </c>
      <c r="G76" s="361"/>
      <c r="H76" s="363" t="s">
        <v>423</v>
      </c>
      <c r="I76" s="42"/>
      <c r="J76" s="2011"/>
      <c r="K76" s="2980" t="str">
        <f>IF(项目基本情况!K6="上海银行",IF(K75="",4,K75+1),"")</f>
        <v/>
      </c>
      <c r="L76" s="3697" t="str">
        <f>IF(项目基本情况!K6="上海银行","其他处置费用","")</f>
        <v/>
      </c>
      <c r="M76" s="3698"/>
      <c r="N76" s="1282" t="str">
        <f>IF(项目基本情况!K6="上海银行",N89,"")</f>
        <v/>
      </c>
      <c r="O76" s="3699" t="str">
        <f>IF(项目基本情况!K6="上海银行","包含处置中涉及的律师、诉讼、拍卖、评估等费用","")</f>
        <v/>
      </c>
      <c r="P76" s="3700"/>
      <c r="Q76" s="2004"/>
      <c r="R76" s="2004"/>
      <c r="S76" s="2004"/>
      <c r="T76" s="2004"/>
      <c r="U76" s="2004"/>
      <c r="V76" s="2004"/>
    </row>
    <row r="77" spans="1:22" ht="26.25" thickBot="1">
      <c r="A77" s="3727" t="s">
        <v>425</v>
      </c>
      <c r="B77" s="3728"/>
      <c r="C77" s="3728"/>
      <c r="D77" s="366" t="e">
        <f ca="1">IF(H77="非个人房产","——",IF(H77="个人住宅",0,ROUND(D63*I77,0)))</f>
        <v>#DIV/0!</v>
      </c>
      <c r="E77" s="367" t="str">
        <f>IF(H77="非个人房产","——","销售额×税（费）率")</f>
        <v>销售额×税（费）率</v>
      </c>
      <c r="F77" s="368">
        <f>IF(H77="非个人房产","——",IF(H77="个人住宅","免征",I77))</f>
        <v>0.01</v>
      </c>
      <c r="G77" s="975" t="s">
        <v>416</v>
      </c>
      <c r="H77" s="363" t="s">
        <v>2858</v>
      </c>
      <c r="I77" s="369">
        <v>0.01</v>
      </c>
      <c r="J77" s="2011"/>
      <c r="K77" s="3723">
        <f>IF(AND(K75="",K76=""),4,IF(项目基本情况!K6="上海银行",K76+1,K75+1))</f>
        <v>5</v>
      </c>
      <c r="L77" s="3709" t="s">
        <v>2859</v>
      </c>
      <c r="M77" s="2986" t="s">
        <v>420</v>
      </c>
      <c r="N77" s="1288"/>
      <c r="O77" s="1289">
        <f ca="1">SUMIF(N72:N76,"&lt;9e307")</f>
        <v>0</v>
      </c>
      <c r="P77" s="1290"/>
      <c r="Q77" s="2984" t="e">
        <f ca="1">O77/N69</f>
        <v>#VALUE!</v>
      </c>
      <c r="R77" s="2004"/>
      <c r="S77" s="2004"/>
      <c r="T77" s="2004"/>
      <c r="U77" s="2004"/>
      <c r="V77" s="2004"/>
    </row>
    <row r="78" spans="1:22" ht="12" customHeight="1">
      <c r="A78" s="1291"/>
      <c r="B78" s="311"/>
      <c r="C78" s="311"/>
      <c r="D78" s="311"/>
      <c r="E78" s="42"/>
      <c r="F78" s="42"/>
      <c r="G78" s="42"/>
      <c r="H78" s="994"/>
      <c r="I78" s="311"/>
      <c r="J78" s="2011"/>
      <c r="K78" s="3723"/>
      <c r="L78" s="3709"/>
      <c r="M78" s="2986" t="s">
        <v>424</v>
      </c>
      <c r="N78" s="1288"/>
      <c r="O78" s="1289" t="str">
        <f ca="1">NUMBERSTRING(INT(O77*10000),2)&amp;"元整"</f>
        <v>零元整</v>
      </c>
      <c r="P78" s="1290"/>
      <c r="Q78" s="2004"/>
      <c r="R78" s="2004"/>
      <c r="S78" s="2004"/>
      <c r="T78" s="2004"/>
      <c r="U78" s="2004"/>
      <c r="V78" s="2004"/>
    </row>
    <row r="79" spans="1:22" ht="13.5" thickBot="1">
      <c r="A79" s="3713" t="s">
        <v>426</v>
      </c>
      <c r="B79" s="3713"/>
      <c r="C79" s="3713"/>
      <c r="D79" s="3713"/>
      <c r="E79" s="3713"/>
      <c r="F79" s="42"/>
      <c r="G79" s="42"/>
      <c r="H79" s="994"/>
      <c r="I79" s="311"/>
      <c r="J79" s="2011"/>
      <c r="K79" s="3707">
        <f>K77+1</f>
        <v>6</v>
      </c>
      <c r="L79" s="3709" t="s">
        <v>2860</v>
      </c>
      <c r="M79" s="2986" t="s">
        <v>420</v>
      </c>
      <c r="N79" s="1288"/>
      <c r="O79" s="1289" t="e">
        <f ca="1">N69-O77</f>
        <v>#VALUE!</v>
      </c>
      <c r="P79" s="1290"/>
      <c r="Q79" s="2004"/>
      <c r="R79" s="2004"/>
      <c r="S79" s="2004"/>
      <c r="T79" s="2004"/>
      <c r="U79" s="2004"/>
      <c r="V79" s="2004"/>
    </row>
    <row r="80" spans="1:22" ht="12.75">
      <c r="A80" s="3714" t="s">
        <v>427</v>
      </c>
      <c r="B80" s="3715"/>
      <c r="C80" s="985"/>
      <c r="D80" s="985" t="s">
        <v>428</v>
      </c>
      <c r="E80" s="370" t="s">
        <v>429</v>
      </c>
      <c r="F80" s="42"/>
      <c r="G80" s="42"/>
      <c r="H80" s="994"/>
      <c r="I80" s="311"/>
      <c r="J80" s="2004"/>
      <c r="K80" s="3708"/>
      <c r="L80" s="3709"/>
      <c r="M80" s="2986" t="s">
        <v>424</v>
      </c>
      <c r="N80" s="1288"/>
      <c r="O80" s="1289" t="e">
        <f ca="1">NUMBERSTRING(INT(O79*10000),2)&amp;"元整"</f>
        <v>#VALUE!</v>
      </c>
      <c r="P80" s="1290"/>
      <c r="Q80" s="2004"/>
      <c r="R80" s="2004"/>
      <c r="S80" s="2004"/>
      <c r="T80" s="2004"/>
      <c r="U80" s="2004"/>
      <c r="V80" s="2004"/>
    </row>
    <row r="81" spans="1:26" ht="13.5" thickBot="1">
      <c r="A81" s="381" t="s">
        <v>1801</v>
      </c>
      <c r="B81" s="371" t="s">
        <v>430</v>
      </c>
      <c r="C81" s="372" t="e">
        <f ca="1">ROUND((C82+C83)/(1+'数据-取费表'!C42),0)</f>
        <v>#DIV/0!</v>
      </c>
      <c r="D81" s="373"/>
      <c r="E81" s="374"/>
      <c r="F81" s="42"/>
      <c r="G81" s="42"/>
      <c r="H81" s="994"/>
      <c r="I81" s="311"/>
      <c r="J81" s="2004"/>
      <c r="K81" s="2980">
        <f>K79+1</f>
        <v>7</v>
      </c>
      <c r="L81" s="3721" t="s">
        <v>2861</v>
      </c>
      <c r="M81" s="3722"/>
      <c r="N81" s="1292"/>
      <c r="O81" s="1293" t="e">
        <f ca="1">ROUND(O79*10000/'数据-汇总表'!E3,0)</f>
        <v>#VALUE!</v>
      </c>
      <c r="P81" s="1294"/>
      <c r="Q81" s="2004"/>
      <c r="R81" s="2004"/>
      <c r="S81" s="2004"/>
      <c r="T81" s="2004"/>
      <c r="U81" s="2004"/>
      <c r="V81" s="2004"/>
    </row>
    <row r="82" spans="1:26" ht="13.5" thickTop="1">
      <c r="A82" s="375" t="s">
        <v>1802</v>
      </c>
      <c r="B82" s="376" t="s">
        <v>431</v>
      </c>
      <c r="C82" s="377" t="e">
        <f ca="1">D63</f>
        <v>#DIV/0!</v>
      </c>
      <c r="D82" s="378" t="s">
        <v>18</v>
      </c>
      <c r="E82" s="379"/>
      <c r="F82" s="42"/>
      <c r="G82" s="42"/>
      <c r="H82" s="994"/>
      <c r="I82" s="311"/>
      <c r="J82" s="2004"/>
      <c r="K82" s="2004"/>
      <c r="L82" s="2004"/>
      <c r="M82" s="2004"/>
      <c r="N82" s="2004"/>
      <c r="O82" s="2004"/>
      <c r="P82" s="2004"/>
      <c r="Q82" s="2004"/>
      <c r="R82" s="2004"/>
      <c r="S82" s="2004"/>
      <c r="T82" s="2004"/>
      <c r="U82" s="2004"/>
      <c r="V82" s="2004"/>
    </row>
    <row r="83" spans="1:26" ht="12.75">
      <c r="A83" s="375" t="s">
        <v>1803</v>
      </c>
      <c r="B83" s="376" t="s">
        <v>432</v>
      </c>
      <c r="C83" s="380">
        <v>0</v>
      </c>
      <c r="D83" s="378"/>
      <c r="E83" s="379"/>
      <c r="F83" s="42"/>
      <c r="G83" s="42"/>
      <c r="H83" s="994"/>
      <c r="I83" s="311"/>
      <c r="J83" s="2004"/>
      <c r="K83" s="3696" t="s">
        <v>2848</v>
      </c>
      <c r="L83" s="2992" t="s">
        <v>2849</v>
      </c>
      <c r="M83" s="2982" t="e">
        <f>IF(N69&gt;10000,N69*0.5%,IF(AND(N69&gt;1000,N69&lt;=10000),N69*1%,IF(AND(N69&gt;100,N69&lt;=1000),N69*3%,IF(AND(N69&gt;10,N69&lt;=100),N69*5%,N69*8%))))</f>
        <v>#VALUE!</v>
      </c>
      <c r="N83" s="53" t="e">
        <f>ROUND(M83,1)</f>
        <v>#VALUE!</v>
      </c>
      <c r="O83" s="2985"/>
      <c r="P83" s="2004"/>
      <c r="Q83" s="2004"/>
      <c r="R83" s="2004"/>
      <c r="S83" s="2004"/>
      <c r="T83" s="2004"/>
      <c r="U83" s="2004"/>
      <c r="V83" s="2004"/>
    </row>
    <row r="84" spans="1:26" ht="12.75">
      <c r="A84" s="381" t="s">
        <v>1804</v>
      </c>
      <c r="B84" s="382" t="s">
        <v>433</v>
      </c>
      <c r="C84" s="383">
        <v>2000</v>
      </c>
      <c r="D84" s="384" t="s">
        <v>18</v>
      </c>
      <c r="E84" s="3027" t="s">
        <v>2916</v>
      </c>
      <c r="F84" s="42"/>
      <c r="G84" s="42"/>
      <c r="H84" s="994"/>
      <c r="I84" s="311"/>
      <c r="J84" s="2004"/>
      <c r="K84" s="3696"/>
      <c r="L84" s="2992" t="s">
        <v>2850</v>
      </c>
      <c r="M84" s="298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04" t="s">
        <v>2851</v>
      </c>
      <c r="P84" s="2004"/>
      <c r="Q84" s="2004"/>
      <c r="R84" s="2004"/>
      <c r="S84" s="2004"/>
      <c r="T84" s="2004"/>
      <c r="U84" s="2004"/>
      <c r="V84" s="2004"/>
    </row>
    <row r="85" spans="1:26" ht="12.75">
      <c r="A85" s="381" t="s">
        <v>1805</v>
      </c>
      <c r="B85" s="382" t="s">
        <v>434</v>
      </c>
      <c r="C85" s="385" t="e">
        <f ca="1">C81-C84</f>
        <v>#DIV/0!</v>
      </c>
      <c r="D85" s="378" t="s">
        <v>18</v>
      </c>
      <c r="E85" s="379"/>
      <c r="F85" s="42"/>
      <c r="G85" s="42"/>
      <c r="H85" s="994"/>
      <c r="I85" s="311"/>
      <c r="J85" s="2004"/>
      <c r="K85" s="3696"/>
      <c r="L85" s="2992" t="s">
        <v>2852</v>
      </c>
      <c r="M85" s="2982" t="e">
        <f>IF(N69&gt;1000,N69*0.1%,IF(AND(N69&gt;500,N69&lt;=1000),N69*0.5%,IF(AND(N69&gt;50,N69&lt;=500),N69*1%,IF(AND(N69&gt;1,N69&lt;=50),N69*1.5%))))</f>
        <v>#VALUE!</v>
      </c>
      <c r="N85" s="53" t="e">
        <f t="shared" si="2"/>
        <v>#VALUE!</v>
      </c>
      <c r="O85" s="2004" t="s">
        <v>2851</v>
      </c>
      <c r="P85" s="2004"/>
      <c r="Q85" s="2004"/>
      <c r="R85" s="2004"/>
      <c r="S85" s="2004"/>
      <c r="T85" s="2004"/>
      <c r="U85" s="2004"/>
      <c r="V85" s="2004"/>
    </row>
    <row r="86" spans="1:26" ht="13.5" thickBot="1">
      <c r="A86" s="386" t="s">
        <v>1806</v>
      </c>
      <c r="B86" s="387" t="s">
        <v>435</v>
      </c>
      <c r="C86" s="388" t="e">
        <f ca="1">IF(C85&lt;=0,0,ROUND(C85*D86,0))</f>
        <v>#DIV/0!</v>
      </c>
      <c r="D86" s="389">
        <f>'数据-取费表'!B41</f>
        <v>5.6000000000000001E-2</v>
      </c>
      <c r="E86" s="390"/>
      <c r="F86" s="42"/>
      <c r="G86" s="42"/>
      <c r="H86" s="994"/>
      <c r="I86" s="311"/>
      <c r="J86" s="2004"/>
      <c r="K86" s="3696"/>
      <c r="L86" s="2992" t="s">
        <v>2853</v>
      </c>
      <c r="M86" s="2982" t="e">
        <f>N69*0.5%</f>
        <v>#VALUE!</v>
      </c>
      <c r="N86" s="53" t="e">
        <f>IF(M86&gt;0.5,0.5,ROUND(M86,0))</f>
        <v>#VALUE!</v>
      </c>
      <c r="O86" s="2004" t="s">
        <v>2854</v>
      </c>
      <c r="P86" s="2004"/>
      <c r="Q86" s="2004"/>
      <c r="R86" s="2004"/>
      <c r="S86" s="2004"/>
      <c r="T86" s="2004"/>
      <c r="U86" s="2004"/>
      <c r="V86" s="2004"/>
    </row>
    <row r="87" spans="1:26" s="1240" customFormat="1" ht="14.25" customHeight="1">
      <c r="A87" s="1295"/>
      <c r="B87" s="1296"/>
      <c r="C87" s="1297"/>
      <c r="D87" s="1298"/>
      <c r="E87" s="1299"/>
      <c r="F87" s="42"/>
      <c r="G87" s="42"/>
      <c r="H87" s="994"/>
      <c r="I87" s="311"/>
      <c r="J87" s="2004"/>
      <c r="K87" s="3696"/>
      <c r="L87" s="2992" t="s">
        <v>2855</v>
      </c>
      <c r="M87" s="298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985"/>
      <c r="P87" s="311"/>
      <c r="Q87" s="2004"/>
      <c r="R87" s="2004"/>
      <c r="S87" s="2004"/>
      <c r="T87" s="2004"/>
      <c r="U87" s="2004"/>
      <c r="V87" s="2004"/>
      <c r="W87" s="292"/>
      <c r="X87" s="292"/>
      <c r="Y87" s="292"/>
      <c r="Z87" s="292"/>
    </row>
    <row r="88" spans="1:26" s="1300" customFormat="1" ht="15" thickBot="1">
      <c r="A88" s="3750" t="s">
        <v>436</v>
      </c>
      <c r="B88" s="3751"/>
      <c r="C88" s="3751"/>
      <c r="D88" s="3751"/>
      <c r="E88" s="3751"/>
      <c r="F88" s="3751"/>
      <c r="G88" s="3751"/>
      <c r="H88" s="3751"/>
      <c r="I88" s="1301"/>
      <c r="J88" s="2012"/>
      <c r="K88" s="3696"/>
      <c r="L88" s="2992" t="s">
        <v>2856</v>
      </c>
      <c r="M88" s="2982" t="e">
        <f>IF(N69&gt;10000,N69*0.5%,IF(AND(N69&gt;5000,N69&lt;=10000),N69*1%,IF(AND(N69&gt;1000,N69&lt;=5000),N69*2%,IF(AND(N69&gt;200,N69&lt;=1000),N69*3%,N69*5%))))</f>
        <v>#VALUE!</v>
      </c>
      <c r="N88" s="53" t="e">
        <f>ROUND(M88,1)</f>
        <v>#VALUE!</v>
      </c>
      <c r="O88" s="2985"/>
      <c r="P88" s="11"/>
      <c r="Q88" s="2009"/>
      <c r="R88" s="2009"/>
      <c r="S88" s="2009"/>
      <c r="T88" s="2009"/>
      <c r="U88" s="2009"/>
      <c r="V88" s="2009"/>
      <c r="W88" s="2013"/>
      <c r="X88" s="2013"/>
      <c r="Y88" s="2013"/>
      <c r="Z88" s="2013"/>
    </row>
    <row r="89" spans="1:26" s="1300" customFormat="1" ht="14.25">
      <c r="A89" s="3714" t="s">
        <v>427</v>
      </c>
      <c r="B89" s="3715"/>
      <c r="C89" s="985"/>
      <c r="D89" s="985" t="s">
        <v>428</v>
      </c>
      <c r="E89" s="391" t="s">
        <v>437</v>
      </c>
      <c r="F89" s="392"/>
      <c r="G89" s="392"/>
      <c r="H89" s="393"/>
      <c r="I89" s="1302"/>
      <c r="J89" s="2014"/>
      <c r="K89" s="3696"/>
      <c r="L89" s="2992" t="s">
        <v>26</v>
      </c>
      <c r="M89" s="2983"/>
      <c r="N89" s="53" t="e">
        <f>ROUND(SUM(N83:N88),0)</f>
        <v>#VALUE!</v>
      </c>
      <c r="O89" s="2993" t="e">
        <f>N89/N69</f>
        <v>#VALUE!</v>
      </c>
      <c r="P89" s="2009"/>
      <c r="Q89" s="2009"/>
      <c r="R89" s="2009"/>
      <c r="S89" s="2009"/>
      <c r="T89" s="2009"/>
      <c r="U89" s="2009"/>
      <c r="V89" s="2009"/>
      <c r="W89" s="2013"/>
      <c r="X89" s="2013"/>
      <c r="Y89" s="2013"/>
      <c r="Z89" s="2013"/>
    </row>
    <row r="90" spans="1:26" s="1300" customFormat="1" ht="14.25">
      <c r="A90" s="381" t="s">
        <v>1801</v>
      </c>
      <c r="B90" s="382" t="s">
        <v>438</v>
      </c>
      <c r="C90" s="385" t="e">
        <f ca="1">ROUND(D63/(1+'数据-取费表'!C42),0)</f>
        <v>#DIV/0!</v>
      </c>
      <c r="D90" s="378" t="s">
        <v>18</v>
      </c>
      <c r="E90" s="982"/>
      <c r="F90" s="981"/>
      <c r="G90" s="981"/>
      <c r="H90" s="394"/>
      <c r="I90" s="1302"/>
      <c r="J90" s="2014"/>
      <c r="K90" s="2009"/>
      <c r="L90" s="2009"/>
      <c r="M90" s="2009"/>
      <c r="N90" s="2009"/>
      <c r="O90" s="2009"/>
      <c r="P90" s="2009"/>
      <c r="Q90" s="2009"/>
      <c r="R90" s="2009"/>
      <c r="S90" s="2009"/>
      <c r="T90" s="2009"/>
      <c r="U90" s="2009"/>
      <c r="V90" s="2009"/>
      <c r="W90" s="2013"/>
      <c r="X90" s="2013"/>
      <c r="Y90" s="2013"/>
      <c r="Z90" s="2013"/>
    </row>
    <row r="91" spans="1:26" s="1300" customFormat="1" ht="14.25">
      <c r="A91" s="381" t="s">
        <v>1807</v>
      </c>
      <c r="B91" s="348" t="s">
        <v>439</v>
      </c>
      <c r="C91" s="385" t="e">
        <f ca="1">C92+C96</f>
        <v>#DIV/0!</v>
      </c>
      <c r="D91" s="378" t="s">
        <v>18</v>
      </c>
      <c r="E91" s="982"/>
      <c r="F91" s="981"/>
      <c r="G91" s="981"/>
      <c r="H91" s="394"/>
      <c r="I91" s="1302"/>
      <c r="J91" s="2014"/>
      <c r="K91" s="2009"/>
      <c r="L91" s="2009"/>
      <c r="M91" s="2009"/>
      <c r="N91" s="2009"/>
      <c r="O91" s="2009"/>
      <c r="P91" s="2009"/>
      <c r="Q91" s="2009"/>
      <c r="R91" s="2009"/>
      <c r="S91" s="2009"/>
      <c r="T91" s="2009"/>
      <c r="U91" s="2009"/>
      <c r="V91" s="2009"/>
      <c r="W91" s="2013"/>
      <c r="X91" s="2013"/>
      <c r="Y91" s="2013"/>
      <c r="Z91" s="2013"/>
    </row>
    <row r="92" spans="1:26" s="1300" customFormat="1" ht="24">
      <c r="A92" s="395" t="s">
        <v>1808</v>
      </c>
      <c r="B92" s="376" t="s">
        <v>440</v>
      </c>
      <c r="C92" s="378">
        <f>ROUND(IF(G95="2016年5月1日后购买",C93/(1+'数据-取费表'!C30)+C94+C95,C93+C94+C95),0)</f>
        <v>2561</v>
      </c>
      <c r="D92" s="378" t="s">
        <v>18</v>
      </c>
      <c r="E92" s="982"/>
      <c r="F92" s="981"/>
      <c r="G92" s="981"/>
      <c r="H92" s="394"/>
      <c r="I92" s="1302"/>
      <c r="J92" s="2014"/>
      <c r="K92" s="2009"/>
      <c r="L92" s="2009"/>
      <c r="M92" s="2009"/>
      <c r="N92" s="2009"/>
      <c r="O92" s="2009"/>
      <c r="P92" s="2009"/>
      <c r="Q92" s="2009"/>
      <c r="R92" s="2009"/>
      <c r="S92" s="2009"/>
      <c r="T92" s="2009"/>
      <c r="U92" s="2009"/>
      <c r="V92" s="2009"/>
      <c r="W92" s="2013"/>
      <c r="X92" s="2013"/>
      <c r="Y92" s="2013"/>
      <c r="Z92" s="2013"/>
    </row>
    <row r="93" spans="1:26" s="1300" customFormat="1" ht="14.25">
      <c r="A93" s="395" t="s">
        <v>1809</v>
      </c>
      <c r="B93" s="376" t="s">
        <v>441</v>
      </c>
      <c r="C93" s="396">
        <v>2000</v>
      </c>
      <c r="D93" s="378" t="s">
        <v>18</v>
      </c>
      <c r="E93" s="397" t="s">
        <v>442</v>
      </c>
      <c r="F93" s="398" t="s">
        <v>443</v>
      </c>
      <c r="G93" s="397" t="s">
        <v>444</v>
      </c>
      <c r="H93" s="399">
        <v>5</v>
      </c>
      <c r="I93" s="11"/>
      <c r="J93" s="2009"/>
      <c r="K93" s="2009"/>
      <c r="L93" s="2009"/>
      <c r="M93" s="2009"/>
      <c r="N93" s="2009"/>
      <c r="O93" s="2009"/>
      <c r="P93" s="2009"/>
      <c r="Q93" s="2009"/>
      <c r="R93" s="2009"/>
      <c r="S93" s="2009"/>
      <c r="T93" s="2009"/>
      <c r="U93" s="2009"/>
      <c r="V93" s="2009"/>
      <c r="W93" s="2013"/>
      <c r="X93" s="2013"/>
      <c r="Y93" s="2013"/>
      <c r="Z93" s="2013"/>
    </row>
    <row r="94" spans="1:26" s="1300" customFormat="1" ht="24.75" customHeight="1">
      <c r="A94" s="395" t="s">
        <v>1810</v>
      </c>
      <c r="B94" s="400" t="s">
        <v>445</v>
      </c>
      <c r="C94" s="378">
        <f>IF(F93="购房发票",ROUND(C93*H93*5%,0),0)</f>
        <v>500</v>
      </c>
      <c r="D94" s="401">
        <v>0.05</v>
      </c>
      <c r="E94" s="3747" t="s">
        <v>446</v>
      </c>
      <c r="F94" s="3748"/>
      <c r="G94" s="3748"/>
      <c r="H94" s="3749"/>
      <c r="I94" s="1302"/>
      <c r="J94" s="2014"/>
      <c r="K94" s="2009"/>
      <c r="L94" s="2009"/>
      <c r="M94" s="2009"/>
      <c r="N94" s="2009"/>
      <c r="O94" s="2009"/>
      <c r="P94" s="2009"/>
      <c r="Q94" s="2009"/>
      <c r="R94" s="2009"/>
      <c r="S94" s="2009"/>
      <c r="T94" s="2009"/>
      <c r="U94" s="2009"/>
      <c r="V94" s="2009"/>
      <c r="W94" s="2013"/>
      <c r="X94" s="2013"/>
      <c r="Y94" s="2013"/>
      <c r="Z94" s="2013"/>
    </row>
    <row r="95" spans="1:26" s="1300" customFormat="1" ht="24.75" customHeight="1">
      <c r="A95" s="395" t="s">
        <v>1811</v>
      </c>
      <c r="B95" s="376" t="s">
        <v>447</v>
      </c>
      <c r="C95" s="378">
        <f>ROUND(IF(G95="个人买卖住房",0,IF(G95="2016年5月1日前购买",C93*D95,C93*D95/(1+'数据-取费表'!C42))),0)</f>
        <v>61</v>
      </c>
      <c r="D95" s="402">
        <f>'数据-取费表'!B48+'数据-取费表'!B49</f>
        <v>3.0499999999999999E-2</v>
      </c>
      <c r="E95" s="26" t="s">
        <v>448</v>
      </c>
      <c r="F95" s="403"/>
      <c r="G95" s="404" t="s">
        <v>2404</v>
      </c>
      <c r="H95" s="990" t="str">
        <f>IF(G95="个人买卖住房","免征印花税"," ")</f>
        <v xml:space="preserve"> </v>
      </c>
      <c r="I95" s="1302"/>
      <c r="J95" s="2014"/>
      <c r="K95" s="2009"/>
      <c r="L95" s="2009"/>
      <c r="M95" s="2009"/>
      <c r="N95" s="2009"/>
      <c r="O95" s="2009"/>
      <c r="P95" s="2009"/>
      <c r="Q95" s="2009"/>
      <c r="R95" s="2009"/>
      <c r="S95" s="2009"/>
      <c r="T95" s="2009"/>
      <c r="U95" s="2009"/>
      <c r="V95" s="2009"/>
      <c r="W95" s="2013"/>
      <c r="X95" s="2013"/>
      <c r="Y95" s="2013"/>
      <c r="Z95" s="2013"/>
    </row>
    <row r="96" spans="1:26" s="1300" customFormat="1" ht="24.75" customHeight="1">
      <c r="A96" s="395" t="s">
        <v>1812</v>
      </c>
      <c r="B96" s="376" t="s">
        <v>449</v>
      </c>
      <c r="C96" s="405" t="e">
        <f ca="1">ROUND(D63*D96/(1+'数据-取费表'!C42),0)</f>
        <v>#DIV/0!</v>
      </c>
      <c r="D96" s="406">
        <f>'数据-取费表'!B43</f>
        <v>6.000000000000001E-3</v>
      </c>
      <c r="E96" s="3737" t="s">
        <v>2403</v>
      </c>
      <c r="F96" s="3738"/>
      <c r="G96" s="3738"/>
      <c r="H96" s="3739"/>
      <c r="I96" s="1303"/>
      <c r="J96" s="2015"/>
      <c r="K96" s="2009"/>
      <c r="L96" s="2009"/>
      <c r="M96" s="2009"/>
      <c r="N96" s="2009"/>
      <c r="O96" s="2009"/>
      <c r="P96" s="2009"/>
      <c r="Q96" s="2009"/>
      <c r="R96" s="2009"/>
      <c r="S96" s="2009"/>
      <c r="T96" s="2009"/>
      <c r="U96" s="2009"/>
      <c r="V96" s="2009"/>
      <c r="W96" s="2013"/>
      <c r="X96" s="2013"/>
      <c r="Y96" s="2013"/>
      <c r="Z96" s="2013"/>
    </row>
    <row r="97" spans="1:26" s="1300" customFormat="1" ht="14.25">
      <c r="A97" s="1593" t="s">
        <v>1813</v>
      </c>
      <c r="B97" s="382" t="s">
        <v>450</v>
      </c>
      <c r="C97" s="385" t="e">
        <f ca="1">C90-C91</f>
        <v>#DIV/0!</v>
      </c>
      <c r="D97" s="378" t="s">
        <v>18</v>
      </c>
      <c r="E97" s="982"/>
      <c r="F97" s="981"/>
      <c r="G97" s="981"/>
      <c r="H97" s="394"/>
      <c r="I97" s="1302"/>
      <c r="J97" s="2014"/>
      <c r="K97" s="2009"/>
      <c r="L97" s="2009"/>
      <c r="M97" s="2009"/>
      <c r="N97" s="2009"/>
      <c r="O97" s="2009"/>
      <c r="P97" s="2009"/>
      <c r="Q97" s="2009"/>
      <c r="R97" s="2009"/>
      <c r="S97" s="2009"/>
      <c r="T97" s="2009"/>
      <c r="U97" s="2009"/>
      <c r="V97" s="2009"/>
      <c r="W97" s="2013"/>
      <c r="X97" s="2013"/>
      <c r="Y97" s="2013"/>
      <c r="Z97" s="2013"/>
    </row>
    <row r="98" spans="1:26" s="1300" customFormat="1" ht="24">
      <c r="A98" s="1593" t="s">
        <v>1814</v>
      </c>
      <c r="B98" s="382" t="s">
        <v>451</v>
      </c>
      <c r="C98" s="407" t="e">
        <f ca="1">IF(C97&lt;=0,0,C97/C91)</f>
        <v>#DIV/0!</v>
      </c>
      <c r="D98" s="378" t="s">
        <v>18</v>
      </c>
      <c r="E98" s="26" t="e">
        <f ca="1">IF(C98&gt;=200%,"增值额超过扣除项目金额200%",IF(C98&gt;=100%,"增值额超过扣除项目金额100%，未超过200%",IF(C98&gt;=50%,"增值额超过扣除项目金额50%，未超过100%",IF(C98&lt;50%,"增值额未超过扣除项目金额50%"))))</f>
        <v>#DIV/0!</v>
      </c>
      <c r="F98" s="981"/>
      <c r="G98" s="981"/>
      <c r="H98" s="394"/>
      <c r="I98" s="1302"/>
      <c r="J98" s="2014"/>
      <c r="K98" s="2009"/>
      <c r="L98" s="2009"/>
      <c r="M98" s="2009"/>
      <c r="N98" s="2009"/>
      <c r="O98" s="2009"/>
      <c r="P98" s="2009"/>
      <c r="Q98" s="2009"/>
      <c r="R98" s="2009"/>
      <c r="S98" s="2009"/>
      <c r="T98" s="2009"/>
      <c r="U98" s="2009"/>
      <c r="V98" s="2009"/>
      <c r="W98" s="2013"/>
      <c r="X98" s="2013"/>
      <c r="Y98" s="2013"/>
      <c r="Z98" s="2013"/>
    </row>
    <row r="99" spans="1:26" s="1300" customFormat="1" ht="24.75" thickBot="1">
      <c r="A99" s="1594" t="s">
        <v>1815</v>
      </c>
      <c r="B99" s="387" t="s">
        <v>452</v>
      </c>
      <c r="C99" s="408" t="e">
        <f ca="1">ROUND(IF(C97&lt;=0,0,IF(C98&gt;=200%,C97*60%-C91*35%,IF(C98&gt;=100%,C97*50%-C91*15%,IF(C98&gt;=50%,C97*40%-C91*5%,IF(C98&lt;50%,C97*30%,0))))),0)</f>
        <v>#DIV/0!</v>
      </c>
      <c r="D99" s="409" t="s">
        <v>18</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11"/>
      <c r="G99" s="411"/>
      <c r="H99" s="412"/>
      <c r="I99" s="1302"/>
      <c r="J99" s="2014"/>
      <c r="K99" s="2009"/>
      <c r="L99" s="2009"/>
      <c r="M99" s="2009"/>
      <c r="N99" s="2009"/>
      <c r="O99" s="2009"/>
      <c r="P99" s="2009"/>
      <c r="Q99" s="2009"/>
      <c r="R99" s="2009"/>
      <c r="S99" s="2009"/>
      <c r="T99" s="2009"/>
      <c r="U99" s="2009"/>
      <c r="V99" s="2009"/>
      <c r="W99" s="2013"/>
      <c r="X99" s="2013"/>
      <c r="Y99" s="2013"/>
      <c r="Z99" s="2013"/>
    </row>
    <row r="100" spans="1:26" s="1300" customFormat="1" ht="7.5" customHeight="1">
      <c r="A100" s="1304"/>
      <c r="B100" s="1305"/>
      <c r="C100" s="11"/>
      <c r="D100" s="11"/>
      <c r="E100" s="1305"/>
      <c r="F100" s="1305"/>
      <c r="G100" s="1305"/>
      <c r="H100" s="1306"/>
      <c r="I100" s="1303"/>
      <c r="J100" s="2015"/>
      <c r="K100" s="2009"/>
      <c r="L100" s="2009"/>
      <c r="M100" s="2009"/>
      <c r="N100" s="2009"/>
      <c r="O100" s="2009"/>
      <c r="P100" s="2009"/>
      <c r="Q100" s="2009"/>
      <c r="R100" s="2009"/>
      <c r="S100" s="2009"/>
      <c r="T100" s="2009"/>
      <c r="U100" s="2009"/>
      <c r="V100" s="2009"/>
      <c r="W100" s="2013"/>
      <c r="X100" s="2013"/>
      <c r="Y100" s="2013"/>
      <c r="Z100" s="2013"/>
    </row>
    <row r="101" spans="1:26" s="1300" customFormat="1" ht="15" thickBot="1">
      <c r="A101" s="3750" t="s">
        <v>453</v>
      </c>
      <c r="B101" s="3751"/>
      <c r="C101" s="3751"/>
      <c r="D101" s="3751"/>
      <c r="E101" s="3751"/>
      <c r="F101" s="3751"/>
      <c r="G101" s="3751"/>
      <c r="H101" s="3751"/>
      <c r="I101" s="11"/>
      <c r="J101" s="2009"/>
      <c r="K101" s="2009"/>
      <c r="L101" s="2009"/>
      <c r="M101" s="2009"/>
      <c r="N101" s="2009"/>
      <c r="O101" s="2009"/>
      <c r="P101" s="2009"/>
      <c r="Q101" s="2009"/>
      <c r="R101" s="2009"/>
      <c r="S101" s="2009"/>
      <c r="T101" s="2009"/>
      <c r="U101" s="2009"/>
      <c r="V101" s="2009"/>
      <c r="W101" s="2013"/>
      <c r="X101" s="2013"/>
      <c r="Y101" s="2013"/>
      <c r="Z101" s="2013"/>
    </row>
    <row r="102" spans="1:26" s="1300" customFormat="1" ht="14.25">
      <c r="A102" s="3714" t="s">
        <v>427</v>
      </c>
      <c r="B102" s="3715"/>
      <c r="C102" s="985"/>
      <c r="D102" s="985" t="s">
        <v>428</v>
      </c>
      <c r="E102" s="391" t="s">
        <v>437</v>
      </c>
      <c r="F102" s="392"/>
      <c r="G102" s="392"/>
      <c r="H102" s="413"/>
      <c r="I102" s="11"/>
      <c r="J102" s="2009"/>
      <c r="K102" s="2009"/>
      <c r="L102" s="2009"/>
      <c r="M102" s="2009"/>
      <c r="N102" s="2009"/>
      <c r="O102" s="2009"/>
      <c r="P102" s="2009"/>
      <c r="Q102" s="2009"/>
      <c r="R102" s="2009"/>
      <c r="S102" s="2009"/>
      <c r="T102" s="2009"/>
      <c r="U102" s="2009"/>
      <c r="V102" s="2009"/>
      <c r="W102" s="2013"/>
      <c r="X102" s="2013"/>
      <c r="Y102" s="2013"/>
      <c r="Z102" s="2013"/>
    </row>
    <row r="103" spans="1:26" s="1300" customFormat="1" ht="14.25">
      <c r="A103" s="381" t="s">
        <v>1801</v>
      </c>
      <c r="B103" s="382" t="s">
        <v>438</v>
      </c>
      <c r="C103" s="385" t="e">
        <f ca="1">ROUND(D63/(1+'数据-取费表'!C42),0)</f>
        <v>#DIV/0!</v>
      </c>
      <c r="D103" s="378" t="s">
        <v>18</v>
      </c>
      <c r="E103" s="982"/>
      <c r="F103" s="981"/>
      <c r="G103" s="981"/>
      <c r="H103" s="414"/>
      <c r="I103" s="11"/>
      <c r="J103" s="2009"/>
      <c r="K103" s="2009"/>
      <c r="L103" s="2009"/>
      <c r="M103" s="2009"/>
      <c r="N103" s="2009"/>
      <c r="O103" s="2009"/>
      <c r="P103" s="2009"/>
      <c r="Q103" s="2009"/>
      <c r="R103" s="2009"/>
      <c r="S103" s="2009"/>
      <c r="T103" s="2009"/>
      <c r="U103" s="2009"/>
      <c r="V103" s="2009"/>
      <c r="W103" s="2013"/>
      <c r="X103" s="2013"/>
      <c r="Y103" s="2013"/>
      <c r="Z103" s="2013"/>
    </row>
    <row r="104" spans="1:26" s="1300" customFormat="1" ht="14.25">
      <c r="A104" s="381" t="s">
        <v>1807</v>
      </c>
      <c r="B104" s="348" t="s">
        <v>439</v>
      </c>
      <c r="C104" s="385" t="e">
        <f ca="1">IF(H106="仅含出让金",C105+C108+C109+C110+C111+C112,C105+C109+C110+C111+C112)</f>
        <v>#DIV/0!</v>
      </c>
      <c r="D104" s="415"/>
      <c r="E104" s="982"/>
      <c r="F104" s="981"/>
      <c r="G104" s="981"/>
      <c r="H104" s="414"/>
      <c r="I104" s="11"/>
      <c r="J104" s="2009"/>
      <c r="K104" s="2009"/>
      <c r="L104" s="2009"/>
      <c r="M104" s="2009"/>
      <c r="N104" s="2009"/>
      <c r="O104" s="2009"/>
      <c r="P104" s="2009"/>
      <c r="Q104" s="2009"/>
      <c r="R104" s="2009"/>
      <c r="S104" s="2009"/>
      <c r="T104" s="2009"/>
      <c r="U104" s="2009"/>
      <c r="V104" s="2009"/>
      <c r="W104" s="2013"/>
      <c r="X104" s="2013"/>
      <c r="Y104" s="2013"/>
      <c r="Z104" s="2013"/>
    </row>
    <row r="105" spans="1:26" s="1300" customFormat="1" ht="14.25">
      <c r="A105" s="395" t="s">
        <v>1808</v>
      </c>
      <c r="B105" s="376" t="s">
        <v>454</v>
      </c>
      <c r="C105" s="405">
        <f>C106+C107</f>
        <v>572</v>
      </c>
      <c r="D105" s="406"/>
      <c r="E105" s="976"/>
      <c r="F105" s="977"/>
      <c r="G105" s="977"/>
      <c r="H105" s="978"/>
      <c r="I105" s="11"/>
      <c r="J105" s="2009"/>
      <c r="K105" s="2009"/>
      <c r="L105" s="2009"/>
      <c r="M105" s="2009"/>
      <c r="N105" s="2009"/>
      <c r="O105" s="2009"/>
      <c r="P105" s="2009"/>
      <c r="Q105" s="2009"/>
      <c r="R105" s="2009"/>
      <c r="S105" s="2009"/>
      <c r="T105" s="2009"/>
      <c r="U105" s="2009"/>
      <c r="V105" s="2009"/>
      <c r="W105" s="2013"/>
      <c r="X105" s="2013"/>
      <c r="Y105" s="2013"/>
      <c r="Z105" s="2013"/>
    </row>
    <row r="106" spans="1:26" s="1300" customFormat="1" ht="14.25">
      <c r="A106" s="395" t="s">
        <v>1809</v>
      </c>
      <c r="B106" s="376" t="s">
        <v>455</v>
      </c>
      <c r="C106" s="416">
        <v>555</v>
      </c>
      <c r="D106" s="406"/>
      <c r="E106" s="417" t="s">
        <v>456</v>
      </c>
      <c r="F106" s="977"/>
      <c r="G106" s="418" t="s">
        <v>457</v>
      </c>
      <c r="H106" s="419" t="s">
        <v>2414</v>
      </c>
      <c r="I106" s="11"/>
      <c r="J106" s="2009"/>
      <c r="K106" s="2009"/>
      <c r="L106" s="2009"/>
      <c r="M106" s="2009"/>
      <c r="N106" s="2009"/>
      <c r="O106" s="2009"/>
      <c r="P106" s="2009"/>
      <c r="Q106" s="2009"/>
      <c r="R106" s="2009"/>
      <c r="S106" s="2009"/>
      <c r="T106" s="2009"/>
      <c r="U106" s="2009"/>
      <c r="V106" s="2009"/>
      <c r="W106" s="2013"/>
      <c r="X106" s="2013"/>
      <c r="Y106" s="2013"/>
      <c r="Z106" s="2013"/>
    </row>
    <row r="107" spans="1:26" s="1300" customFormat="1" ht="14.25">
      <c r="A107" s="395" t="s">
        <v>1810</v>
      </c>
      <c r="B107" s="376" t="s">
        <v>447</v>
      </c>
      <c r="C107" s="405">
        <f>ROUND(C106*D107,0)</f>
        <v>17</v>
      </c>
      <c r="D107" s="406">
        <f>'数据-取费表'!B48+'数据-取费表'!B49</f>
        <v>3.0499999999999999E-2</v>
      </c>
      <c r="E107" s="417" t="s">
        <v>458</v>
      </c>
      <c r="F107" s="977"/>
      <c r="G107" s="977"/>
      <c r="H107" s="978"/>
      <c r="I107" s="11"/>
      <c r="J107" s="2009"/>
      <c r="K107" s="2009"/>
      <c r="L107" s="2009"/>
      <c r="M107" s="2009"/>
      <c r="N107" s="2009"/>
      <c r="O107" s="2009"/>
      <c r="P107" s="2009"/>
      <c r="Q107" s="2009"/>
      <c r="R107" s="2009"/>
      <c r="S107" s="2009"/>
      <c r="T107" s="2009"/>
      <c r="U107" s="2009"/>
      <c r="V107" s="2009"/>
      <c r="W107" s="2013"/>
      <c r="X107" s="2013"/>
      <c r="Y107" s="2013"/>
      <c r="Z107" s="2013"/>
    </row>
    <row r="108" spans="1:26" s="1300" customFormat="1" ht="14.25">
      <c r="A108" s="395" t="s">
        <v>1812</v>
      </c>
      <c r="B108" s="376" t="s">
        <v>459</v>
      </c>
      <c r="C108" s="416"/>
      <c r="D108" s="406"/>
      <c r="E108" s="417" t="str">
        <f>IF(H106="-","土地取得成本中已包含该笔费用"," ")</f>
        <v xml:space="preserve"> </v>
      </c>
      <c r="F108" s="977"/>
      <c r="G108" s="977"/>
      <c r="H108" s="978"/>
      <c r="I108" s="11"/>
      <c r="J108" s="2009"/>
      <c r="K108" s="2009"/>
      <c r="L108" s="2009"/>
      <c r="M108" s="2009"/>
      <c r="N108" s="2009"/>
      <c r="O108" s="2009"/>
      <c r="P108" s="2009"/>
      <c r="Q108" s="2009"/>
      <c r="R108" s="2009"/>
      <c r="S108" s="2009"/>
      <c r="T108" s="2009"/>
      <c r="U108" s="2009"/>
      <c r="V108" s="2009"/>
      <c r="W108" s="2013"/>
      <c r="X108" s="2013"/>
      <c r="Y108" s="2013"/>
      <c r="Z108" s="2013"/>
    </row>
    <row r="109" spans="1:26" s="1300" customFormat="1" ht="24" customHeight="1">
      <c r="A109" s="1595" t="s">
        <v>1816</v>
      </c>
      <c r="B109" s="376" t="s">
        <v>460</v>
      </c>
      <c r="C109" s="405">
        <f>IF(H109="——",IF(F1="现房",'剩余法-现房'!C18,'剩余法-待开发'!C18),I109)</f>
        <v>55</v>
      </c>
      <c r="D109" s="406"/>
      <c r="E109" s="3740" t="s">
        <v>461</v>
      </c>
      <c r="F109" s="3738"/>
      <c r="G109" s="3738"/>
      <c r="H109" s="1917" t="s">
        <v>2255</v>
      </c>
      <c r="I109" s="1918">
        <v>55</v>
      </c>
      <c r="J109" s="2009"/>
      <c r="K109" s="2009"/>
      <c r="L109" s="2009"/>
      <c r="M109" s="2009"/>
      <c r="N109" s="2009"/>
      <c r="O109" s="2009"/>
      <c r="P109" s="2009"/>
      <c r="Q109" s="2009"/>
      <c r="R109" s="2009"/>
      <c r="S109" s="2009"/>
      <c r="T109" s="2009"/>
      <c r="U109" s="2009"/>
      <c r="V109" s="2009"/>
      <c r="W109" s="2013"/>
      <c r="X109" s="2013"/>
      <c r="Y109" s="2013"/>
      <c r="Z109" s="2013"/>
    </row>
    <row r="110" spans="1:26" s="1300" customFormat="1" ht="25.5" customHeight="1">
      <c r="A110" s="1595" t="s">
        <v>1817</v>
      </c>
      <c r="B110" s="376" t="s">
        <v>462</v>
      </c>
      <c r="C110" s="405">
        <f>ROUND((C105+C108+C109)*D110,0)</f>
        <v>63</v>
      </c>
      <c r="D110" s="406">
        <v>0.1</v>
      </c>
      <c r="E110" s="3740" t="s">
        <v>463</v>
      </c>
      <c r="F110" s="3738"/>
      <c r="G110" s="3738"/>
      <c r="H110" s="3739"/>
      <c r="I110" s="11"/>
      <c r="J110" s="2009"/>
      <c r="K110" s="2009"/>
      <c r="L110" s="2009"/>
      <c r="M110" s="2009"/>
      <c r="N110" s="2009"/>
      <c r="O110" s="2009"/>
      <c r="P110" s="2009"/>
      <c r="Q110" s="2009"/>
      <c r="R110" s="2009"/>
      <c r="S110" s="2009"/>
      <c r="T110" s="2009"/>
      <c r="U110" s="2009"/>
      <c r="V110" s="2009"/>
      <c r="W110" s="2013"/>
      <c r="X110" s="2013"/>
      <c r="Y110" s="2013"/>
      <c r="Z110" s="2013"/>
    </row>
    <row r="111" spans="1:26" s="1300" customFormat="1" ht="25.5" customHeight="1">
      <c r="A111" s="1595" t="s">
        <v>1818</v>
      </c>
      <c r="B111" s="376" t="s">
        <v>449</v>
      </c>
      <c r="C111" s="405" t="e">
        <f ca="1">ROUND(D63*D111/(1+'数据-取费表'!C42),0)</f>
        <v>#DIV/0!</v>
      </c>
      <c r="D111" s="406">
        <f>'数据-取费表'!B43</f>
        <v>6.000000000000001E-3</v>
      </c>
      <c r="E111" s="3737" t="s">
        <v>2403</v>
      </c>
      <c r="F111" s="3738"/>
      <c r="G111" s="3738"/>
      <c r="H111" s="3739"/>
      <c r="I111" s="11"/>
      <c r="J111" s="2009"/>
      <c r="K111" s="2009"/>
      <c r="L111" s="2009"/>
      <c r="M111" s="2009"/>
      <c r="N111" s="2009"/>
      <c r="O111" s="2009"/>
      <c r="P111" s="2009"/>
      <c r="Q111" s="2009"/>
      <c r="R111" s="2009"/>
      <c r="S111" s="2009"/>
      <c r="T111" s="2009"/>
      <c r="U111" s="2009"/>
      <c r="V111" s="2009"/>
      <c r="W111" s="2013"/>
      <c r="X111" s="2013"/>
      <c r="Y111" s="2013"/>
      <c r="Z111" s="2013"/>
    </row>
    <row r="112" spans="1:26" s="1300" customFormat="1" ht="25.5" customHeight="1">
      <c r="A112" s="1595" t="s">
        <v>1819</v>
      </c>
      <c r="B112" s="376" t="s">
        <v>464</v>
      </c>
      <c r="C112" s="405">
        <f>ROUND(C108*D112,0)</f>
        <v>0</v>
      </c>
      <c r="D112" s="406">
        <v>0.2</v>
      </c>
      <c r="E112" s="3740" t="s">
        <v>2428</v>
      </c>
      <c r="F112" s="3738"/>
      <c r="G112" s="3738"/>
      <c r="H112" s="3739"/>
      <c r="I112" s="11"/>
      <c r="J112" s="2009"/>
      <c r="K112" s="2009"/>
      <c r="L112" s="2009"/>
      <c r="M112" s="2009"/>
      <c r="N112" s="2009"/>
      <c r="O112" s="2009"/>
      <c r="P112" s="2009"/>
      <c r="Q112" s="2009"/>
      <c r="R112" s="2009"/>
      <c r="S112" s="2009"/>
      <c r="T112" s="2009"/>
      <c r="U112" s="2009"/>
      <c r="V112" s="2009"/>
      <c r="W112" s="2013"/>
      <c r="X112" s="2013"/>
      <c r="Y112" s="2013"/>
      <c r="Z112" s="2013"/>
    </row>
    <row r="113" spans="1:26" s="1300" customFormat="1" ht="14.25">
      <c r="A113" s="1593" t="s">
        <v>1813</v>
      </c>
      <c r="B113" s="382" t="s">
        <v>450</v>
      </c>
      <c r="C113" s="385" t="e">
        <f ca="1">ROUND(C103-C104,0)</f>
        <v>#DIV/0!</v>
      </c>
      <c r="D113" s="378" t="s">
        <v>18</v>
      </c>
      <c r="E113" s="982"/>
      <c r="F113" s="981"/>
      <c r="G113" s="981"/>
      <c r="H113" s="414"/>
      <c r="I113" s="11"/>
      <c r="J113" s="2009"/>
      <c r="K113" s="2009"/>
      <c r="L113" s="2009"/>
      <c r="M113" s="2009"/>
      <c r="N113" s="2009"/>
      <c r="O113" s="2009"/>
      <c r="P113" s="2009"/>
      <c r="Q113" s="2009"/>
      <c r="R113" s="2009"/>
      <c r="S113" s="2009"/>
      <c r="T113" s="2009"/>
      <c r="U113" s="2009"/>
      <c r="V113" s="2009"/>
      <c r="W113" s="2013"/>
      <c r="X113" s="2013"/>
      <c r="Y113" s="2013"/>
      <c r="Z113" s="2013"/>
    </row>
    <row r="114" spans="1:26" s="1300" customFormat="1" ht="24">
      <c r="A114" s="1593" t="s">
        <v>1814</v>
      </c>
      <c r="B114" s="382" t="s">
        <v>451</v>
      </c>
      <c r="C114" s="407" t="e">
        <f ca="1">IF(C113&lt;=0,0,C113/C104)</f>
        <v>#DIV/0!</v>
      </c>
      <c r="D114" s="378" t="s">
        <v>18</v>
      </c>
      <c r="E114" s="26" t="e">
        <f ca="1">IF(C114&gt;=200%,"增值额超过扣除项目金额200%",IF(C114&gt;=100%,"增值额超过扣除项目金额100%，未超过200%",IF(C114&gt;=50%,"增值额超过扣除项目金额50%，未超过100%",IF(C114&lt;50%,"增值额未超过扣除项目金额50%"))))</f>
        <v>#DIV/0!</v>
      </c>
      <c r="F114" s="981"/>
      <c r="G114" s="981"/>
      <c r="H114" s="414"/>
      <c r="I114" s="11"/>
      <c r="J114" s="2009"/>
      <c r="K114" s="2009"/>
      <c r="L114" s="2009"/>
      <c r="M114" s="2009"/>
      <c r="N114" s="2009"/>
      <c r="O114" s="2009"/>
      <c r="P114" s="2009"/>
      <c r="Q114" s="2009"/>
      <c r="R114" s="2009"/>
      <c r="S114" s="2009"/>
      <c r="T114" s="2009"/>
      <c r="U114" s="2009"/>
      <c r="V114" s="2009"/>
      <c r="W114" s="2013"/>
      <c r="X114" s="2013"/>
      <c r="Y114" s="2013"/>
      <c r="Z114" s="2013"/>
    </row>
    <row r="115" spans="1:26" s="1300" customFormat="1" ht="24.75" thickBot="1">
      <c r="A115" s="1594" t="s">
        <v>1815</v>
      </c>
      <c r="B115" s="387" t="s">
        <v>452</v>
      </c>
      <c r="C115" s="408" t="e">
        <f ca="1">ROUND(IF(C113&lt;=0,0,IF(C114&gt;=200%,C113*60%-C104*35%,IF(C114&gt;=100%,C113*50%-C104*15%,IF(C114&gt;=50%,C113*40%-C104*5%,IF(C114&lt;50%,C113*30%,0))))),0)</f>
        <v>#DIV/0!</v>
      </c>
      <c r="D115" s="409" t="s">
        <v>18</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11"/>
      <c r="G115" s="411"/>
      <c r="H115" s="420"/>
      <c r="I115" s="11"/>
      <c r="J115" s="2009"/>
      <c r="K115" s="2009"/>
      <c r="L115" s="2009"/>
      <c r="M115" s="2009"/>
      <c r="N115" s="2009"/>
      <c r="O115" s="2009"/>
      <c r="P115" s="2009"/>
      <c r="Q115" s="2009"/>
      <c r="R115" s="2009"/>
      <c r="S115" s="2009"/>
      <c r="T115" s="2009"/>
      <c r="U115" s="2009"/>
      <c r="V115" s="2009"/>
      <c r="W115" s="2013"/>
      <c r="X115" s="2013"/>
      <c r="Y115" s="2013"/>
      <c r="Z115" s="2013"/>
    </row>
    <row r="116" spans="1:26" s="2017" customFormat="1" ht="21.75" customHeight="1">
      <c r="J116" s="2016"/>
      <c r="K116" s="2004"/>
      <c r="L116" s="2004"/>
      <c r="M116" s="2004"/>
      <c r="N116" s="2004"/>
      <c r="O116" s="2004"/>
    </row>
    <row r="117" spans="1:26" s="2017" customFormat="1" ht="21.75" customHeight="1">
      <c r="J117" s="2016"/>
    </row>
    <row r="118" spans="1:26" s="2017" customFormat="1" ht="21.75" customHeight="1">
      <c r="J118" s="2016"/>
    </row>
    <row r="119" spans="1:26" s="2017" customFormat="1" ht="21.75" customHeight="1">
      <c r="J119" s="2016"/>
    </row>
    <row r="120" spans="1:26" s="2017" customFormat="1" ht="21.75" customHeight="1">
      <c r="J120" s="2016"/>
    </row>
    <row r="121" spans="1:26" s="2017" customFormat="1" ht="21.75" customHeight="1"/>
    <row r="122" spans="1:26" s="2017" customFormat="1" ht="21.75" customHeight="1">
      <c r="J122" s="2018"/>
    </row>
    <row r="123" spans="1:26" s="2017" customFormat="1" ht="21.75" customHeight="1"/>
    <row r="124" spans="1:26" s="2017" customFormat="1" ht="21.75" customHeight="1"/>
    <row r="125" spans="1:26" s="2017" customFormat="1" ht="21.75" customHeight="1">
      <c r="J125" s="2018"/>
    </row>
    <row r="126" spans="1:26" s="2017" customFormat="1" ht="21.75" customHeight="1"/>
    <row r="127" spans="1:26" s="2017" customFormat="1" ht="21.75" customHeight="1"/>
    <row r="128" spans="1:26" s="2017" customFormat="1" ht="21.75" customHeight="1">
      <c r="J128" s="2018"/>
    </row>
    <row r="129" spans="2:6" s="2017" customFormat="1" ht="21.75" customHeight="1"/>
    <row r="130" spans="2:6" s="2017" customFormat="1" ht="21.75" customHeight="1">
      <c r="B130" s="2019"/>
      <c r="C130" s="2020"/>
      <c r="D130" s="2021"/>
      <c r="E130" s="2021"/>
      <c r="F130" s="2022"/>
    </row>
    <row r="131" spans="2:6" s="2017" customFormat="1" ht="21.75" customHeight="1"/>
    <row r="132" spans="2:6" s="2017" customFormat="1" ht="21.75" customHeight="1"/>
    <row r="133" spans="2:6" s="2017" customFormat="1" ht="21.75" customHeight="1"/>
    <row r="134" spans="2:6" s="2017" customFormat="1" ht="21.75" customHeight="1"/>
    <row r="135" spans="2:6" s="2017" customFormat="1" ht="21.75" customHeight="1"/>
    <row r="136" spans="2:6" s="2017" customFormat="1" ht="21.75" customHeight="1"/>
    <row r="137" spans="2:6" s="2017" customFormat="1" ht="21.75" customHeight="1"/>
    <row r="138" spans="2:6" s="2017" customFormat="1" ht="21.75" customHeight="1"/>
    <row r="139" spans="2:6" s="2017" customFormat="1" ht="21.75" customHeight="1"/>
    <row r="140" spans="2:6" s="2017" customFormat="1" ht="21.75" customHeight="1"/>
    <row r="141" spans="2:6" s="2017" customFormat="1" ht="21.75" customHeight="1"/>
    <row r="142" spans="2:6" s="2017" customFormat="1" ht="21.75" customHeight="1"/>
    <row r="143" spans="2:6" s="2017" customFormat="1" ht="21.75" customHeight="1"/>
    <row r="144" spans="2:6" s="2017" customFormat="1" ht="21.75" customHeight="1"/>
    <row r="145" s="2017" customFormat="1" ht="21.75" customHeight="1"/>
    <row r="146" s="2017" customFormat="1" ht="21.75" customHeight="1"/>
    <row r="147" s="2017" customFormat="1" ht="21.75" customHeight="1"/>
    <row r="148" s="2017" customFormat="1" ht="21.75" customHeight="1"/>
    <row r="149" s="2017" customFormat="1" ht="21.75" customHeight="1"/>
    <row r="150" s="2017" customFormat="1" ht="21.75" customHeight="1"/>
    <row r="151" s="2017" customFormat="1" ht="21.75" customHeight="1"/>
    <row r="152" s="2017" customFormat="1" ht="21.75" customHeight="1"/>
    <row r="153" s="2017" customFormat="1" ht="21.75" customHeight="1"/>
    <row r="154" s="2017" customFormat="1" ht="21.75" customHeight="1"/>
    <row r="155" s="2017" customFormat="1" ht="21.75" customHeight="1"/>
    <row r="156" s="2017" customFormat="1" ht="21.75" customHeight="1"/>
    <row r="157" s="2017" customFormat="1" ht="21.75" customHeight="1"/>
    <row r="158" s="2017" customFormat="1" ht="21.75" customHeight="1"/>
    <row r="159" s="2017" customFormat="1" ht="21.75" customHeight="1"/>
    <row r="160" s="2017" customFormat="1" ht="21.75" customHeight="1"/>
    <row r="161" s="2017" customFormat="1" ht="21.75" customHeight="1"/>
    <row r="162" s="2017" customFormat="1" ht="21.75" customHeight="1"/>
    <row r="163" s="2017" customFormat="1" ht="21.75" customHeight="1"/>
    <row r="164" s="2017" customFormat="1" ht="21.75" customHeight="1"/>
    <row r="165" s="2017" customFormat="1" ht="21.75" customHeight="1"/>
    <row r="166" s="2017" customFormat="1" ht="21.75" customHeight="1"/>
    <row r="167" s="2017" customFormat="1" ht="21.75" customHeight="1"/>
    <row r="168" s="2017" customFormat="1" ht="21.75" customHeight="1"/>
    <row r="169" s="2017" customFormat="1" ht="21.75" customHeight="1"/>
    <row r="170" s="2017" customFormat="1" ht="21.75" customHeight="1"/>
    <row r="171" s="2017" customFormat="1" ht="21.75" customHeight="1"/>
    <row r="172" s="2017" customFormat="1" ht="21.75" customHeight="1"/>
    <row r="173" s="2017" customFormat="1" ht="21.75" customHeight="1"/>
    <row r="174" s="2017" customFormat="1" ht="21.75" customHeight="1"/>
    <row r="175" s="2017" customFormat="1" ht="21.75" customHeight="1"/>
    <row r="176" s="2017" customFormat="1" ht="21.75" customHeight="1"/>
    <row r="177" spans="11:15" s="2017" customFormat="1" ht="21.75" customHeight="1"/>
    <row r="178" spans="11:15" s="2017" customFormat="1" ht="21.75" customHeight="1"/>
    <row r="179" spans="11:15" s="2017" customFormat="1" ht="21.75" customHeight="1"/>
    <row r="180" spans="11:15" s="2017" customFormat="1" ht="21.75" customHeight="1"/>
    <row r="181" spans="11:15" s="2017" customFormat="1" ht="21.75" customHeight="1"/>
    <row r="182" spans="11:15" s="2017" customFormat="1" ht="21.75" customHeight="1"/>
    <row r="183" spans="11:15" s="2017" customFormat="1" ht="21.75" customHeight="1"/>
    <row r="184" spans="11:15" s="2017" customFormat="1" ht="21.75" customHeight="1"/>
    <row r="185" spans="11:15" s="257" customFormat="1" ht="21.75" customHeight="1">
      <c r="K185" s="2017"/>
      <c r="L185" s="2017"/>
      <c r="M185" s="2017"/>
      <c r="N185" s="2017"/>
      <c r="O185" s="201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2"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23" sqref="C23"/>
    </sheetView>
  </sheetViews>
  <sheetFormatPr defaultColWidth="9" defaultRowHeight="13.5"/>
  <cols>
    <col min="1" max="1" width="3.5" style="1631" customWidth="1"/>
    <col min="2" max="2" width="10.625" style="1631" customWidth="1"/>
    <col min="3" max="4" width="11.625" style="1631" customWidth="1"/>
    <col min="5" max="5" width="6.625" style="1631" customWidth="1"/>
    <col min="6" max="16384" width="9" style="1631"/>
  </cols>
  <sheetData>
    <row r="36" spans="1:9">
      <c r="A36" s="1630" t="s">
        <v>1879</v>
      </c>
      <c r="B36" s="1630" t="s">
        <v>1880</v>
      </c>
    </row>
    <row r="37" spans="1:9" ht="28.5" customHeight="1">
      <c r="A37" s="1630"/>
      <c r="B37" s="3598" t="str">
        <f>项目基本情况!B1</f>
        <v>雄安新区出让国有建设用地使用权市场价格预评估</v>
      </c>
      <c r="C37" s="3598"/>
      <c r="D37" s="3598"/>
      <c r="E37" s="3598"/>
      <c r="F37" s="3598"/>
      <c r="G37" s="3598"/>
      <c r="H37" s="3598"/>
      <c r="I37" s="3598"/>
    </row>
    <row r="38" spans="1:9">
      <c r="A38" s="1632"/>
      <c r="B38" s="1632"/>
    </row>
    <row r="39" spans="1:9">
      <c r="A39" s="1630" t="s">
        <v>1879</v>
      </c>
      <c r="B39" s="1630" t="s">
        <v>2022</v>
      </c>
    </row>
    <row r="40" spans="1:9">
      <c r="A40" s="1630"/>
      <c r="B40" s="1630">
        <f>项目基本情况!B5</f>
        <v>0</v>
      </c>
    </row>
    <row r="41" spans="1:9">
      <c r="A41" s="1630"/>
      <c r="B41" s="1630"/>
    </row>
    <row r="42" spans="1:9">
      <c r="A42" s="1630" t="s">
        <v>1879</v>
      </c>
      <c r="B42" s="1630" t="s">
        <v>2023</v>
      </c>
    </row>
    <row r="43" spans="1:9">
      <c r="A43" s="1630"/>
      <c r="B43" s="1630" t="s">
        <v>1881</v>
      </c>
    </row>
    <row r="44" spans="1:9">
      <c r="A44" s="1630"/>
      <c r="B44" s="1630"/>
    </row>
    <row r="45" spans="1:9">
      <c r="A45" s="1630" t="s">
        <v>1879</v>
      </c>
      <c r="B45" s="1630" t="s">
        <v>2021</v>
      </c>
    </row>
    <row r="46" spans="1:9" s="1630" customFormat="1" ht="12.75">
      <c r="B46" s="1630" t="str">
        <f>项目基本情况!K4</f>
        <v>土地估价师、土地估价师</v>
      </c>
    </row>
    <row r="47" spans="1:9">
      <c r="A47" s="1630"/>
      <c r="B47" s="1630"/>
    </row>
    <row r="48" spans="1:9">
      <c r="A48" s="1630" t="s">
        <v>1879</v>
      </c>
      <c r="B48" s="1630" t="s">
        <v>2024</v>
      </c>
    </row>
    <row r="49" spans="2:2">
      <c r="B49" s="1630" t="str">
        <f>"康正预评字"&amp;项目基本情况!B2&amp;"号"</f>
        <v>康正预评字号</v>
      </c>
    </row>
  </sheetData>
  <sheetProtection sheet="1" objects="1" scenarios="1" formatCells="0" formatRows="0"/>
  <mergeCells count="1">
    <mergeCell ref="B37:I37"/>
  </mergeCells>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0" sqref="D10"/>
    </sheetView>
  </sheetViews>
  <sheetFormatPr defaultColWidth="6.625" defaultRowHeight="12.75"/>
  <cols>
    <col min="1" max="1" width="9.625" style="2100" customWidth="1"/>
    <col min="2" max="2" width="25.625" style="2090" customWidth="1"/>
    <col min="3" max="3" width="10.375" style="2101" customWidth="1"/>
    <col min="4" max="4" width="12" style="2090" customWidth="1"/>
    <col min="5" max="5" width="9.5" style="2100" customWidth="1"/>
    <col min="6" max="6" width="10.125" style="2090" customWidth="1"/>
    <col min="7" max="7" width="11.625" style="2090" customWidth="1"/>
    <col min="8" max="8" width="10" style="2090" customWidth="1"/>
    <col min="9" max="11" width="9.5" style="2090" customWidth="1"/>
    <col min="12" max="12" width="9" style="2090" customWidth="1"/>
    <col min="13" max="13" width="10.5" style="2090" bestFit="1" customWidth="1"/>
    <col min="14" max="254" width="9" style="2090" customWidth="1"/>
    <col min="255" max="16384" width="6.625" style="2090"/>
  </cols>
  <sheetData>
    <row r="1" spans="1:31" s="2017" customFormat="1" ht="20.25">
      <c r="A1" s="2079" t="s">
        <v>465</v>
      </c>
      <c r="B1" s="2739"/>
      <c r="C1" s="2080"/>
      <c r="D1" s="2080"/>
      <c r="E1" s="2080"/>
      <c r="F1" s="2080"/>
      <c r="G1" s="2080"/>
      <c r="H1" s="2080"/>
      <c r="I1" s="2080"/>
      <c r="J1" s="2080"/>
      <c r="K1" s="422">
        <f>MATCH(B1,'数据-取费表'!A6:A16,0)+5</f>
        <v>8</v>
      </c>
    </row>
    <row r="2" spans="1:31" s="2017" customFormat="1" ht="18" customHeight="1">
      <c r="A2" s="2077" t="s">
        <v>466</v>
      </c>
      <c r="B2" s="2081">
        <f ca="1">C36</f>
        <v>263451</v>
      </c>
      <c r="C2" s="2080"/>
      <c r="D2" s="2080"/>
      <c r="E2" s="2080"/>
      <c r="F2" s="2080"/>
      <c r="G2" s="2080"/>
      <c r="H2" s="2080"/>
      <c r="I2" s="2080"/>
      <c r="J2" s="2080"/>
      <c r="K2" s="2080"/>
    </row>
    <row r="3" spans="1:31" s="2017" customFormat="1" ht="18" customHeight="1">
      <c r="A3" s="2082" t="s">
        <v>1662</v>
      </c>
      <c r="B3" s="2083">
        <f ca="1">ROUND(B2*10000/IF(B1="",'数据-汇总表'!E3,INDIRECT("'数据-取费表'!K"&amp;$K$1)),0)</f>
        <v>4733</v>
      </c>
      <c r="C3" s="2080"/>
      <c r="D3" s="2080"/>
      <c r="E3" s="2080"/>
      <c r="F3" s="2080"/>
      <c r="G3" s="2080"/>
      <c r="H3" s="2080"/>
      <c r="I3" s="2080"/>
      <c r="J3" s="2080"/>
      <c r="K3" s="2080"/>
    </row>
    <row r="4" spans="1:31" s="2017" customFormat="1" ht="18" customHeight="1">
      <c r="A4" s="426" t="s">
        <v>467</v>
      </c>
      <c r="B4" s="427">
        <f ca="1">ROUND(B2*10000/IF(B1="",'数据-汇总表'!D3,INDIRECT("'数据-取费表'!R"&amp;$K$1)),0)</f>
        <v>7105</v>
      </c>
      <c r="C4" s="428"/>
      <c r="D4" s="422"/>
      <c r="E4" s="422"/>
      <c r="F4" s="422"/>
      <c r="G4" s="422"/>
      <c r="H4" s="422"/>
      <c r="I4" s="422"/>
      <c r="J4" s="422"/>
      <c r="K4" s="422"/>
    </row>
    <row r="5" spans="1:31" s="2017" customFormat="1" ht="18" customHeight="1" thickBot="1">
      <c r="A5" s="429"/>
      <c r="B5" s="430">
        <f ca="1">ROUND(B2/(IF(B1="",'数据-汇总表'!D3,INDIRECT("'数据-取费表'!R"&amp;$K$1))/666.67),0)</f>
        <v>474</v>
      </c>
      <c r="C5" s="431" t="s">
        <v>468</v>
      </c>
      <c r="D5" s="422"/>
      <c r="E5" s="422"/>
      <c r="F5" s="422"/>
      <c r="G5" s="422"/>
      <c r="H5" s="422"/>
      <c r="I5" s="422"/>
      <c r="J5" s="422"/>
      <c r="K5" s="422"/>
    </row>
    <row r="6" spans="1:31" s="2087" customFormat="1" ht="16.5" customHeight="1">
      <c r="A6" s="2758" t="s">
        <v>1820</v>
      </c>
      <c r="B6" s="2759"/>
      <c r="C6" s="2760">
        <f ca="1">SUM(C10:K10)</f>
        <v>919014.73219300015</v>
      </c>
      <c r="D6" s="2759"/>
      <c r="E6" s="2759"/>
      <c r="F6" s="2759"/>
      <c r="G6" s="2759"/>
      <c r="H6" s="2759"/>
      <c r="I6" s="2759"/>
      <c r="J6" s="2759"/>
      <c r="K6" s="2761"/>
    </row>
    <row r="7" spans="1:31" s="2089" customFormat="1" ht="15">
      <c r="A7" s="2762" t="s">
        <v>469</v>
      </c>
      <c r="B7" s="2763" t="s">
        <v>470</v>
      </c>
      <c r="C7" s="436" t="s">
        <v>3014</v>
      </c>
      <c r="D7" s="436" t="s">
        <v>1655</v>
      </c>
      <c r="E7" s="436"/>
      <c r="F7" s="436"/>
      <c r="G7" s="436"/>
      <c r="H7" s="436"/>
      <c r="I7" s="436"/>
      <c r="J7" s="436"/>
      <c r="K7" s="437"/>
      <c r="L7" s="2088"/>
      <c r="M7" s="2088"/>
      <c r="N7" s="2088"/>
      <c r="O7" s="2088"/>
      <c r="P7" s="2088"/>
      <c r="Q7" s="2088"/>
      <c r="R7" s="2088"/>
      <c r="S7" s="2088"/>
      <c r="T7" s="2088"/>
      <c r="U7" s="2088"/>
      <c r="V7" s="2088"/>
      <c r="W7" s="2088"/>
      <c r="X7" s="2088"/>
      <c r="Y7" s="2088"/>
      <c r="Z7" s="2088"/>
      <c r="AA7" s="2088"/>
      <c r="AB7" s="2088"/>
      <c r="AC7" s="2088"/>
      <c r="AD7" s="2088"/>
      <c r="AE7" s="2088"/>
    </row>
    <row r="8" spans="1:31" s="2091" customFormat="1" ht="13.5" customHeight="1">
      <c r="A8" s="803" t="s">
        <v>1823</v>
      </c>
      <c r="B8" s="261" t="s">
        <v>471</v>
      </c>
      <c r="C8" s="2764">
        <f ca="1">'不动产收益法-商业'!B3</f>
        <v>16285</v>
      </c>
      <c r="D8" s="2764">
        <f ca="1">'不动产收益法-办公'!B3</f>
        <v>16916</v>
      </c>
      <c r="E8" s="2764"/>
      <c r="F8" s="2764"/>
      <c r="G8" s="2764"/>
      <c r="H8" s="2764"/>
      <c r="I8" s="2764"/>
      <c r="J8" s="2764"/>
      <c r="K8" s="2765"/>
      <c r="L8" s="2090"/>
      <c r="M8" s="2090"/>
      <c r="N8" s="2090"/>
      <c r="O8" s="2090"/>
      <c r="P8" s="2090"/>
      <c r="Q8" s="2090"/>
      <c r="R8" s="2090"/>
      <c r="S8" s="2090"/>
      <c r="T8" s="2090"/>
      <c r="U8" s="2090"/>
      <c r="V8" s="2090"/>
      <c r="W8" s="2090"/>
      <c r="X8" s="2090"/>
      <c r="Y8" s="2090"/>
      <c r="Z8" s="2090"/>
      <c r="AA8" s="2090"/>
      <c r="AB8" s="2090"/>
      <c r="AC8" s="2090"/>
      <c r="AD8" s="2090"/>
      <c r="AE8" s="2090"/>
    </row>
    <row r="9" spans="1:31" s="2091" customFormat="1" ht="13.5" customHeight="1">
      <c r="A9" s="803" t="s">
        <v>1824</v>
      </c>
      <c r="B9" s="261" t="s">
        <v>472</v>
      </c>
      <c r="C9" s="441">
        <f>SUMIF('数据-汇总表'!$C19:$C33,'剩余法-待开发'!C7,'数据-汇总表'!$E19:$E33)</f>
        <v>358392.93</v>
      </c>
      <c r="D9" s="441">
        <f>SUMIF('数据-汇总表'!$C19:$C33,'剩余法-待开发'!D7,'数据-汇总表'!$E19:$E33)</f>
        <v>198257.18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0"/>
      <c r="M9" s="2090"/>
      <c r="N9" s="2090"/>
      <c r="O9" s="2090"/>
      <c r="P9" s="2090"/>
      <c r="Q9" s="2090"/>
      <c r="R9" s="2090"/>
      <c r="S9" s="2090"/>
      <c r="T9" s="2090"/>
      <c r="U9" s="2090"/>
      <c r="V9" s="2090"/>
      <c r="W9" s="2090"/>
      <c r="X9" s="2090"/>
      <c r="Y9" s="2090"/>
      <c r="Z9" s="2090"/>
      <c r="AA9" s="2090"/>
      <c r="AB9" s="2090"/>
      <c r="AC9" s="2090"/>
      <c r="AD9" s="2090"/>
      <c r="AE9" s="2090"/>
    </row>
    <row r="10" spans="1:31" s="2091" customFormat="1" ht="13.5" customHeight="1" thickBot="1">
      <c r="A10" s="2766" t="s">
        <v>1825</v>
      </c>
      <c r="B10" s="2752" t="s">
        <v>473</v>
      </c>
      <c r="C10" s="2956">
        <f ca="1">C8*C9/10000</f>
        <v>583642.88650500006</v>
      </c>
      <c r="D10" s="2956">
        <f ca="1">D8*D9/10000</f>
        <v>335371.84568800003</v>
      </c>
      <c r="E10" s="2956"/>
      <c r="F10" s="2767"/>
      <c r="G10" s="2767"/>
      <c r="H10" s="2767"/>
      <c r="I10" s="2767"/>
      <c r="J10" s="2767"/>
      <c r="K10" s="2768"/>
      <c r="L10" s="2090"/>
      <c r="M10" s="2090"/>
      <c r="N10" s="2090"/>
      <c r="O10" s="2090"/>
      <c r="P10" s="2090"/>
      <c r="Q10" s="2090"/>
      <c r="R10" s="2090"/>
      <c r="S10" s="2090"/>
      <c r="T10" s="2090"/>
      <c r="U10" s="2090"/>
      <c r="V10" s="2090"/>
      <c r="W10" s="2090"/>
      <c r="X10" s="2090"/>
      <c r="Y10" s="2090"/>
      <c r="Z10" s="2090"/>
      <c r="AA10" s="2090"/>
      <c r="AB10" s="2090"/>
      <c r="AC10" s="2090"/>
      <c r="AD10" s="2090"/>
      <c r="AE10" s="2090"/>
    </row>
    <row r="11" spans="1:31" s="2087" customFormat="1" ht="16.5" customHeight="1">
      <c r="A11" s="2769" t="s">
        <v>1821</v>
      </c>
      <c r="B11" s="2759"/>
      <c r="C11" s="2759"/>
      <c r="D11" s="2759"/>
      <c r="E11" s="2759"/>
      <c r="F11" s="2759"/>
      <c r="G11" s="2759"/>
      <c r="H11" s="2759"/>
      <c r="I11" s="2759"/>
      <c r="J11" s="2759"/>
      <c r="K11" s="2761"/>
    </row>
    <row r="12" spans="1:31" s="2061" customFormat="1" ht="13.5" customHeight="1">
      <c r="A12" s="2770" t="s">
        <v>469</v>
      </c>
      <c r="B12" s="2742" t="s">
        <v>470</v>
      </c>
      <c r="C12" s="2771" t="s">
        <v>474</v>
      </c>
      <c r="D12" s="2738" t="s">
        <v>475</v>
      </c>
      <c r="E12" s="2738" t="s">
        <v>476</v>
      </c>
      <c r="F12" s="2738" t="s">
        <v>477</v>
      </c>
      <c r="G12" s="2742"/>
      <c r="H12" s="2743"/>
      <c r="I12" s="2743"/>
      <c r="J12" s="2743"/>
      <c r="K12" s="2744"/>
    </row>
    <row r="13" spans="1:31" s="2092" customFormat="1" ht="13.5" customHeight="1">
      <c r="A13" s="2772" t="s">
        <v>1826</v>
      </c>
      <c r="B13" s="2773" t="s">
        <v>478</v>
      </c>
      <c r="C13" s="450">
        <f ca="1">IF(B1="",'数据-取费表'!P16,INDIRECT("'数据-取费表'!p"&amp;$K$1)+INDIRECT("'数据-取费表'!t"&amp;$K$1))</f>
        <v>379742</v>
      </c>
      <c r="D13" s="2774"/>
      <c r="E13" s="2775"/>
      <c r="F13" s="2776"/>
      <c r="G13" s="2742"/>
      <c r="H13" s="2743"/>
      <c r="I13" s="2743"/>
      <c r="J13" s="2743"/>
      <c r="K13" s="2744"/>
    </row>
    <row r="14" spans="1:31" s="2092" customFormat="1" ht="13.5" customHeight="1">
      <c r="A14" s="2772" t="s">
        <v>1827</v>
      </c>
      <c r="B14" s="2773" t="s">
        <v>479</v>
      </c>
      <c r="C14" s="53">
        <f ca="1">ROUND(C13*F14,0)</f>
        <v>18987</v>
      </c>
      <c r="D14" s="2774"/>
      <c r="E14" s="2775"/>
      <c r="F14" s="2777">
        <f>'数据-取费表'!B33</f>
        <v>0.05</v>
      </c>
      <c r="G14" s="2742" t="s">
        <v>480</v>
      </c>
      <c r="H14" s="2743"/>
      <c r="I14" s="2743"/>
      <c r="J14" s="2743"/>
      <c r="K14" s="2744"/>
    </row>
    <row r="15" spans="1:31" s="2092" customFormat="1" ht="13.5" customHeight="1">
      <c r="A15" s="2772" t="s">
        <v>1828</v>
      </c>
      <c r="B15" s="2773" t="s">
        <v>481</v>
      </c>
      <c r="C15" s="53">
        <f ca="1">ROUND(IF(B1="",SUMIF('数据-取费表'!C:C,"住宅",'数据-取费表'!P:P)*F15,IF(INDIRECT("'数据-取费表'!c"&amp;$K$1)="住宅",INDIRECT("'数据-取费表'!P"&amp;$K$1)*F15,0)),0)</f>
        <v>0</v>
      </c>
      <c r="D15" s="2774"/>
      <c r="E15" s="2775"/>
      <c r="F15" s="2777">
        <f>'数据-取费表'!B34</f>
        <v>0</v>
      </c>
      <c r="G15" s="2742" t="s">
        <v>482</v>
      </c>
      <c r="H15" s="2743"/>
      <c r="I15" s="2743"/>
      <c r="J15" s="2743"/>
      <c r="K15" s="2744"/>
    </row>
    <row r="16" spans="1:31" s="2093" customFormat="1" ht="13.5" customHeight="1">
      <c r="A16" s="2772" t="s">
        <v>1829</v>
      </c>
      <c r="B16" s="2773" t="s">
        <v>483</v>
      </c>
      <c r="C16" s="53">
        <f ca="1">ROUND(D16*E16/10000,0)</f>
        <v>19483</v>
      </c>
      <c r="D16" s="2774">
        <f ca="1">IF(B1="",'数据-汇总表'!E3,INDIRECT("'数据-取费表'!K"&amp;$K$1)+INDIRECT("'数据-取费表'!S"&amp;$K$1))</f>
        <v>556650.11</v>
      </c>
      <c r="E16" s="53">
        <f>'数据-取费表'!B35</f>
        <v>350</v>
      </c>
      <c r="F16" s="2777"/>
      <c r="G16" s="2742"/>
      <c r="H16" s="2743"/>
      <c r="I16" s="2743"/>
      <c r="J16" s="2743"/>
      <c r="K16" s="2744"/>
      <c r="L16" s="2092"/>
      <c r="M16" s="2092"/>
      <c r="N16" s="2092"/>
      <c r="O16" s="2092"/>
      <c r="P16" s="2092"/>
      <c r="Q16" s="2092"/>
      <c r="R16" s="2092"/>
      <c r="S16" s="2092"/>
      <c r="T16" s="2092"/>
      <c r="U16" s="2092"/>
      <c r="V16" s="2092"/>
      <c r="W16" s="2092"/>
      <c r="X16" s="2092"/>
      <c r="Y16" s="2092"/>
      <c r="Z16" s="2092"/>
      <c r="AA16" s="2092"/>
      <c r="AB16" s="2092"/>
      <c r="AC16" s="2092"/>
      <c r="AD16" s="2092"/>
      <c r="AE16" s="2092"/>
    </row>
    <row r="17" spans="1:14" s="2092" customFormat="1" ht="13.5" customHeight="1">
      <c r="A17" s="2772" t="s">
        <v>1830</v>
      </c>
      <c r="B17" s="2773" t="s">
        <v>484</v>
      </c>
      <c r="C17" s="2778">
        <f ca="1">ROUND(C13*F17,0)</f>
        <v>5696</v>
      </c>
      <c r="D17" s="475"/>
      <c r="E17" s="2778"/>
      <c r="F17" s="2779">
        <f>'数据-取费表'!B36</f>
        <v>1.4999999999999999E-2</v>
      </c>
      <c r="G17" s="261" t="s">
        <v>485</v>
      </c>
      <c r="H17" s="2745"/>
      <c r="I17" s="2745"/>
      <c r="J17" s="2745"/>
      <c r="K17" s="279"/>
    </row>
    <row r="18" spans="1:14" s="2092" customFormat="1" ht="13.5" customHeight="1">
      <c r="A18" s="2780" t="s">
        <v>1831</v>
      </c>
      <c r="B18" s="2781" t="s">
        <v>486</v>
      </c>
      <c r="C18" s="2782">
        <f ca="1">SUM(C13:C17)</f>
        <v>423908</v>
      </c>
      <c r="D18" s="2783"/>
      <c r="E18" s="468"/>
      <c r="F18" s="468"/>
      <c r="G18" s="2746" t="s">
        <v>2405</v>
      </c>
      <c r="H18" s="2747"/>
      <c r="I18" s="2747"/>
      <c r="J18" s="2747"/>
      <c r="K18" s="2748"/>
    </row>
    <row r="19" spans="1:14" s="2092" customFormat="1" ht="13.5" customHeight="1">
      <c r="A19" s="2780" t="s">
        <v>1832</v>
      </c>
      <c r="B19" s="2781" t="s">
        <v>487</v>
      </c>
      <c r="C19" s="2738">
        <f ca="1">ROUND(D19*E19/10000,0)</f>
        <v>0</v>
      </c>
      <c r="D19" s="2784">
        <f ca="1">D16</f>
        <v>556650.11</v>
      </c>
      <c r="E19" s="2738">
        <f>'数据-取费表'!B32</f>
        <v>0</v>
      </c>
      <c r="F19" s="468"/>
      <c r="G19" s="2742" t="s">
        <v>488</v>
      </c>
      <c r="H19" s="2743"/>
      <c r="I19" s="2747"/>
      <c r="J19" s="2747"/>
      <c r="K19" s="2748"/>
    </row>
    <row r="20" spans="1:14" s="2092" customFormat="1" ht="13.5" customHeight="1">
      <c r="A20" s="2780" t="s">
        <v>1833</v>
      </c>
      <c r="B20" s="2781" t="s">
        <v>489</v>
      </c>
      <c r="C20" s="2738">
        <f ca="1">C21+C22-IF(B1="",'数据-取费表'!B29,IF(G20="已全部缴纳",C21+C22,H20))</f>
        <v>11133</v>
      </c>
      <c r="D20" s="2784"/>
      <c r="E20" s="2738"/>
      <c r="F20" s="2785"/>
      <c r="G20" s="3015"/>
      <c r="H20" s="2740"/>
      <c r="I20" s="2741" t="s">
        <v>2625</v>
      </c>
      <c r="J20" s="2747"/>
      <c r="K20" s="2748"/>
    </row>
    <row r="21" spans="1:14" s="2092" customFormat="1" ht="13.5" customHeight="1">
      <c r="A21" s="2772" t="s">
        <v>1834</v>
      </c>
      <c r="B21" s="2773" t="s">
        <v>490</v>
      </c>
      <c r="C21" s="53">
        <f ca="1">ROUND(D21*E21/10000,0)</f>
        <v>0</v>
      </c>
      <c r="D21" s="2774">
        <f ca="1">IF(B1="",'数据-汇总表'!E5,IF(INDIRECT("'数据-取费表'!c"&amp;$K$1)="住宅",INDIRECT("'数据-取费表'!k"&amp;$K$1),0))</f>
        <v>0</v>
      </c>
      <c r="E21" s="53">
        <f>'数据-取费表'!B27</f>
        <v>160</v>
      </c>
      <c r="F21" s="2777"/>
      <c r="G21" s="26"/>
      <c r="H21" s="51"/>
      <c r="I21" s="51"/>
      <c r="J21" s="51"/>
      <c r="K21" s="2749"/>
    </row>
    <row r="22" spans="1:14" s="2092" customFormat="1" ht="13.5" customHeight="1">
      <c r="A22" s="2772" t="s">
        <v>1835</v>
      </c>
      <c r="B22" s="2773" t="s">
        <v>491</v>
      </c>
      <c r="C22" s="53">
        <f ca="1">ROUND(D22*E22/10000,0)</f>
        <v>11133</v>
      </c>
      <c r="D22" s="2774">
        <f ca="1">IF(B1="",'数据-汇总表'!E6,IF(INDIRECT("'数据-取费表'!c"&amp;$K$1)="住宅",INDIRECT("'数据-取费表'!s"&amp;$K$1),INDIRECT("'数据-取费表'!k"&amp;$K$1)+INDIRECT("'数据-取费表'!s"&amp;$K$1)))</f>
        <v>556650.11</v>
      </c>
      <c r="E22" s="53">
        <f>'数据-取费表'!B28</f>
        <v>200</v>
      </c>
      <c r="F22" s="2777"/>
      <c r="G22" s="26"/>
      <c r="H22" s="51"/>
      <c r="I22" s="51"/>
      <c r="J22" s="51"/>
      <c r="K22" s="2749"/>
    </row>
    <row r="23" spans="1:14" s="2092" customFormat="1" ht="13.5" customHeight="1">
      <c r="A23" s="2780" t="s">
        <v>1836</v>
      </c>
      <c r="B23" s="2962" t="s">
        <v>2808</v>
      </c>
      <c r="C23" s="2782">
        <f ca="1">ROUND((C18+C19+C20)*F23,0)</f>
        <v>8701</v>
      </c>
      <c r="D23" s="468"/>
      <c r="E23" s="468"/>
      <c r="F23" s="2786">
        <f>'数据-取费表'!B37</f>
        <v>0.02</v>
      </c>
      <c r="G23" s="2742" t="s">
        <v>2406</v>
      </c>
      <c r="H23" s="2743"/>
      <c r="I23" s="2743"/>
      <c r="J23" s="2743"/>
      <c r="K23" s="2744"/>
      <c r="L23" s="2094"/>
      <c r="M23" s="2094"/>
      <c r="N23" s="2094"/>
    </row>
    <row r="24" spans="1:14" s="2092" customFormat="1" ht="13.5" customHeight="1">
      <c r="A24" s="2780" t="s">
        <v>1837</v>
      </c>
      <c r="B24" s="2962" t="s">
        <v>2811</v>
      </c>
      <c r="C24" s="2782">
        <f ca="1">ROUND(C6*F24,0)</f>
        <v>18380</v>
      </c>
      <c r="D24" s="475"/>
      <c r="E24" s="473"/>
      <c r="F24" s="2786">
        <f>'数据-取费表'!B38</f>
        <v>0.02</v>
      </c>
      <c r="G24" s="2751" t="s">
        <v>498</v>
      </c>
      <c r="H24" s="2745"/>
      <c r="I24" s="2745"/>
      <c r="J24" s="2745"/>
      <c r="K24" s="279"/>
      <c r="L24" s="2094"/>
      <c r="M24" s="2094"/>
      <c r="N24" s="2094"/>
    </row>
    <row r="25" spans="1:14" s="2095" customFormat="1" ht="13.5" customHeight="1">
      <c r="A25" s="2780" t="s">
        <v>1838</v>
      </c>
      <c r="B25" s="2962" t="s">
        <v>2809</v>
      </c>
      <c r="C25" s="3159">
        <f>F25</f>
        <v>3.0499999999999999E-2</v>
      </c>
      <c r="D25" s="462" t="s">
        <v>2803</v>
      </c>
      <c r="E25" s="469"/>
      <c r="F25" s="2786">
        <f>'数据-取费表'!B48+'数据-取费表'!B49</f>
        <v>3.0499999999999999E-2</v>
      </c>
      <c r="G25" s="2750" t="s">
        <v>2967</v>
      </c>
      <c r="H25" s="2743"/>
      <c r="I25" s="2743"/>
      <c r="J25" s="2743"/>
      <c r="K25" s="2744"/>
    </row>
    <row r="26" spans="1:14" s="2094" customFormat="1" ht="13.5" customHeight="1">
      <c r="A26" s="2780" t="s">
        <v>1839</v>
      </c>
      <c r="B26" s="2963" t="s">
        <v>2810</v>
      </c>
      <c r="C26" s="2787">
        <f ca="1">C28</f>
        <v>21951</v>
      </c>
      <c r="D26" s="467">
        <f ca="1">C27</f>
        <v>0.1002</v>
      </c>
      <c r="E26" s="469" t="s">
        <v>494</v>
      </c>
      <c r="F26" s="471">
        <f ca="1">'数据-取费表'!B40</f>
        <v>4.7500000000000001E-2</v>
      </c>
      <c r="G26" s="2511" t="str">
        <f>IF('数据-取费表'!B22&lt;=1,"单利计息。","复利计息。")&amp;"后续开发成本、管理费用及销售费用产生的利息。"</f>
        <v>复利计息。后续开发成本、管理费用及销售费用产生的利息。</v>
      </c>
      <c r="H26" s="2747"/>
      <c r="I26" s="2747"/>
      <c r="J26" s="2747"/>
      <c r="K26" s="2748"/>
    </row>
    <row r="27" spans="1:14" s="2096" customFormat="1" ht="13.5" customHeight="1">
      <c r="A27" s="803" t="s">
        <v>1834</v>
      </c>
      <c r="B27" s="2788" t="s">
        <v>495</v>
      </c>
      <c r="C27" s="2789">
        <f ca="1">ROUND(IF('数据-取费表'!B22&lt;=1,(1+C25)*F26*'数据-取费表'!B24,(1+C25)*(POWER((1+F26),'数据-取费表'!B24)-1)),4)</f>
        <v>0.1002</v>
      </c>
      <c r="D27" s="472"/>
      <c r="E27" s="473"/>
      <c r="F27" s="474"/>
      <c r="G27" s="2511" t="str">
        <f>IF('数据-取费表'!B22&lt;=1,"（1+取得税费率/(1+5%)）×年利率×建设期","（1+取得税费率）/(1+5%)×((1+年利率)^建设期-1)")</f>
        <v>（1+取得税费率）/(1+5%)×((1+年利率)^建设期-1)</v>
      </c>
      <c r="H27" s="2745"/>
      <c r="I27" s="2745"/>
      <c r="J27" s="2745"/>
      <c r="K27" s="279"/>
    </row>
    <row r="28" spans="1:14" s="2096" customFormat="1" ht="13.5" customHeight="1">
      <c r="A28" s="803" t="s">
        <v>1835</v>
      </c>
      <c r="B28" s="2788" t="s">
        <v>2812</v>
      </c>
      <c r="C28" s="2790">
        <f ca="1">ROUND(IF('数据-取费表'!B22&lt;=1,(C18+C19+C20+C23+C24)*F26*'数据-取费表'!B24/2,(C18+C19+C20+C23+C24)*(POWER((1+F26),'数据-取费表'!B24/2)-1)),0)</f>
        <v>21951</v>
      </c>
      <c r="D28" s="472"/>
      <c r="E28" s="473"/>
      <c r="F28" s="474"/>
      <c r="G28" s="2511" t="str">
        <f>IF('数据-取费表'!B22&lt;=1,"（1）-（4）项×年利率×建设期÷2","（1）-（4）项×((1+年利率)^(建设期÷2)-1)")</f>
        <v>（1）-（4）项×((1+年利率)^(建设期÷2)-1)</v>
      </c>
      <c r="H28" s="2745"/>
      <c r="I28" s="2745"/>
      <c r="J28" s="2745"/>
      <c r="K28" s="279"/>
    </row>
    <row r="29" spans="1:14" s="2096" customFormat="1" ht="13.5" customHeight="1">
      <c r="A29" s="2791" t="s">
        <v>1840</v>
      </c>
      <c r="B29" s="2781" t="s">
        <v>496</v>
      </c>
      <c r="C29" s="2782">
        <f ca="1">ROUND(C6*F29/(1+'数据-取费表'!C42),0)</f>
        <v>49014</v>
      </c>
      <c r="D29" s="468"/>
      <c r="E29" s="468"/>
      <c r="F29" s="2964">
        <f>'数据-取费表'!B41</f>
        <v>5.6000000000000001E-2</v>
      </c>
      <c r="G29" s="2751" t="s">
        <v>497</v>
      </c>
      <c r="H29" s="2743"/>
      <c r="I29" s="2743"/>
      <c r="J29" s="2743"/>
      <c r="K29" s="2744"/>
    </row>
    <row r="30" spans="1:14" s="2097" customFormat="1" ht="13.5" customHeight="1">
      <c r="A30" s="1611" t="s">
        <v>1841</v>
      </c>
      <c r="B30" s="2792" t="s">
        <v>499</v>
      </c>
      <c r="C30" s="2787">
        <f ca="1">C31</f>
        <v>533087</v>
      </c>
      <c r="D30" s="477">
        <f ca="1">C32</f>
        <v>0.13070000000000001</v>
      </c>
      <c r="E30" s="469" t="s">
        <v>494</v>
      </c>
      <c r="F30" s="471"/>
      <c r="G30" s="2750" t="s">
        <v>2947</v>
      </c>
      <c r="H30" s="2743"/>
      <c r="I30" s="2743"/>
      <c r="J30" s="2743"/>
      <c r="K30" s="2744"/>
    </row>
    <row r="31" spans="1:14" s="2096" customFormat="1" ht="13.5" customHeight="1">
      <c r="A31" s="803" t="s">
        <v>1834</v>
      </c>
      <c r="B31" s="2788"/>
      <c r="C31" s="450">
        <f ca="1">C18+C19+C20+C23+C24+C26+C29</f>
        <v>533087</v>
      </c>
      <c r="D31" s="472"/>
      <c r="E31" s="473"/>
      <c r="F31" s="474"/>
      <c r="G31" s="261"/>
      <c r="H31" s="2745"/>
      <c r="I31" s="2745"/>
      <c r="J31" s="2745"/>
      <c r="K31" s="279"/>
    </row>
    <row r="32" spans="1:14" s="2096" customFormat="1" ht="13.5" customHeight="1">
      <c r="A32" s="803" t="s">
        <v>1835</v>
      </c>
      <c r="B32" s="2788"/>
      <c r="C32" s="53">
        <f ca="1">ROUND(C25+D26,4)</f>
        <v>0.13070000000000001</v>
      </c>
      <c r="D32" s="472"/>
      <c r="E32" s="473"/>
      <c r="F32" s="474"/>
      <c r="G32" s="261"/>
      <c r="H32" s="2745"/>
      <c r="I32" s="2745"/>
      <c r="J32" s="2745"/>
      <c r="K32" s="279"/>
    </row>
    <row r="33" spans="1:11" s="2098" customFormat="1" ht="13.5" customHeight="1">
      <c r="A33" s="2961" t="s">
        <v>2807</v>
      </c>
      <c r="B33" s="2959" t="s">
        <v>2805</v>
      </c>
      <c r="C33" s="478">
        <f ca="1">C35</f>
        <v>55455</v>
      </c>
      <c r="D33" s="467">
        <f ca="1">C34</f>
        <v>0.1237</v>
      </c>
      <c r="E33" s="469" t="s">
        <v>494</v>
      </c>
      <c r="F33" s="479">
        <f ca="1">IF(B1="",'数据-取费表'!Q16,INDIRECT("'数据-取费表'!q"&amp;$K$1))</f>
        <v>0.12</v>
      </c>
      <c r="G33" s="2746"/>
      <c r="H33" s="2747"/>
      <c r="I33" s="2747"/>
      <c r="J33" s="2747"/>
      <c r="K33" s="2748"/>
    </row>
    <row r="34" spans="1:11" s="2099" customFormat="1" ht="13.5" customHeight="1">
      <c r="A34" s="375" t="s">
        <v>1834</v>
      </c>
      <c r="B34" s="2793" t="s">
        <v>500</v>
      </c>
      <c r="C34" s="472">
        <f ca="1">ROUND((1+C25)*F33,4)</f>
        <v>0.1237</v>
      </c>
      <c r="D34" s="472"/>
      <c r="E34" s="473"/>
      <c r="F34" s="480"/>
      <c r="G34" s="261" t="s">
        <v>2265</v>
      </c>
      <c r="H34" s="2745"/>
      <c r="I34" s="2745"/>
      <c r="J34" s="2745"/>
      <c r="K34" s="279"/>
    </row>
    <row r="35" spans="1:11" s="2099" customFormat="1" ht="13.5" customHeight="1" thickBot="1">
      <c r="A35" s="1612" t="s">
        <v>1835</v>
      </c>
      <c r="B35" s="2960" t="s">
        <v>2813</v>
      </c>
      <c r="C35" s="1604">
        <f ca="1">ROUND((C18+C19+C20+C23+C24)*F33,0)</f>
        <v>55455</v>
      </c>
      <c r="D35" s="1605"/>
      <c r="E35" s="2794"/>
      <c r="F35" s="1606"/>
      <c r="G35" s="2752"/>
      <c r="H35" s="2753"/>
      <c r="I35" s="2753"/>
      <c r="J35" s="2753"/>
      <c r="K35" s="2754"/>
    </row>
    <row r="36" spans="1:11" s="2061" customFormat="1" ht="13.5" customHeight="1" thickBot="1">
      <c r="A36" s="284" t="s">
        <v>1822</v>
      </c>
      <c r="B36" s="2756"/>
      <c r="C36" s="2795">
        <f ca="1">ROUND((C6-C30-C33)/(1+D30+D33),0)</f>
        <v>263451</v>
      </c>
      <c r="D36" s="2756"/>
      <c r="E36" s="2756"/>
      <c r="F36" s="2756"/>
      <c r="G36" s="2755" t="s">
        <v>2814</v>
      </c>
      <c r="H36" s="2756"/>
      <c r="I36" s="2756"/>
      <c r="J36" s="2756"/>
      <c r="K36" s="2757"/>
    </row>
    <row r="38" spans="1:11" ht="12.75" customHeight="1"/>
  </sheetData>
  <sheetProtection formatCells="0" formatColumns="0" formatRows="0"/>
  <phoneticPr fontId="1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8" workbookViewId="0">
      <selection activeCell="F20" sqref="F20"/>
    </sheetView>
  </sheetViews>
  <sheetFormatPr defaultColWidth="6.625" defaultRowHeight="12.75"/>
  <cols>
    <col min="1" max="1" width="10.125" style="2100" customWidth="1"/>
    <col min="2" max="2" width="25.625" style="2090" customWidth="1"/>
    <col min="3" max="3" width="10.375" style="2101" customWidth="1"/>
    <col min="4" max="4" width="12" style="2090" customWidth="1"/>
    <col min="5" max="5" width="9.5" style="2100" customWidth="1"/>
    <col min="6" max="6" width="10.125" style="2090" customWidth="1"/>
    <col min="7" max="7" width="9.5" style="2090" customWidth="1"/>
    <col min="8" max="8" width="10" style="2090" customWidth="1"/>
    <col min="9" max="11" width="9.5" style="2090" customWidth="1"/>
    <col min="12" max="12" width="9" style="2090" customWidth="1"/>
    <col min="13" max="13" width="10.5" style="2090" bestFit="1" customWidth="1"/>
    <col min="14" max="254" width="9" style="2090" customWidth="1"/>
    <col min="255" max="16384" width="6.625" style="2090"/>
  </cols>
  <sheetData>
    <row r="1" spans="1:41" s="2017" customFormat="1" ht="20.25">
      <c r="A1" s="421" t="s">
        <v>465</v>
      </c>
      <c r="B1" s="2739"/>
      <c r="C1" s="2080"/>
      <c r="D1" s="2080"/>
      <c r="E1" s="2080"/>
      <c r="F1" s="2080"/>
      <c r="G1" s="2080"/>
      <c r="H1" s="2080"/>
      <c r="I1" s="2080"/>
      <c r="J1" s="2080"/>
      <c r="K1" s="422">
        <f>MATCH(B1,'数据-取费表'!A6:A16,0)+5</f>
        <v>8</v>
      </c>
    </row>
    <row r="2" spans="1:41" s="2017" customFormat="1" ht="18" customHeight="1">
      <c r="A2" s="423" t="s">
        <v>466</v>
      </c>
      <c r="B2" s="424">
        <f ca="1">C32</f>
        <v>0</v>
      </c>
      <c r="C2" s="2080"/>
      <c r="D2" s="2080"/>
      <c r="E2" s="2080"/>
      <c r="F2" s="2080"/>
      <c r="G2" s="2080"/>
      <c r="H2" s="2080"/>
      <c r="I2" s="2080"/>
      <c r="J2" s="2080"/>
      <c r="K2" s="2080"/>
    </row>
    <row r="3" spans="1:41" s="2017" customFormat="1" ht="18" customHeight="1">
      <c r="A3" s="1366" t="s">
        <v>1662</v>
      </c>
      <c r="B3" s="425">
        <f ca="1">ROUND(B2*10000/IF(B1="",'数据-汇总表'!E3,INDIRECT("'数据-取费表'!K"&amp;$K$1)),0)</f>
        <v>0</v>
      </c>
      <c r="C3" s="2080"/>
      <c r="D3" s="2080"/>
      <c r="E3" s="2080"/>
      <c r="F3" s="2080"/>
      <c r="G3" s="2080"/>
      <c r="H3" s="2080"/>
      <c r="I3" s="2080"/>
      <c r="J3" s="2080"/>
      <c r="K3" s="2080"/>
    </row>
    <row r="4" spans="1:41" s="2017" customFormat="1" ht="18" customHeight="1">
      <c r="A4" s="426" t="s">
        <v>467</v>
      </c>
      <c r="B4" s="427">
        <f ca="1">ROUND(B2*10000/IF(B1="",'数据-汇总表'!D3,INDIRECT("'数据-取费表'!R"&amp;$K$1)),0)</f>
        <v>0</v>
      </c>
      <c r="C4" s="2037"/>
      <c r="D4" s="2080"/>
      <c r="E4" s="2080"/>
      <c r="F4" s="2080"/>
      <c r="G4" s="2080"/>
      <c r="H4" s="2080"/>
      <c r="I4" s="2080"/>
      <c r="J4" s="2080"/>
      <c r="K4" s="2080"/>
    </row>
    <row r="5" spans="1:41" s="2017" customFormat="1" ht="18" customHeight="1" thickBot="1">
      <c r="A5" s="429"/>
      <c r="B5" s="430">
        <f ca="1">ROUND(B2/(IF(B1="",'数据-汇总表'!D3,INDIRECT("'数据-取费表'!R"&amp;$K$1))/666.67),0)</f>
        <v>0</v>
      </c>
      <c r="C5" s="431" t="s">
        <v>468</v>
      </c>
      <c r="D5" s="2080"/>
      <c r="E5" s="2080"/>
      <c r="F5" s="2080"/>
      <c r="G5" s="2080"/>
      <c r="H5" s="2080"/>
      <c r="I5" s="2080"/>
      <c r="J5" s="2080"/>
      <c r="K5" s="2080"/>
    </row>
    <row r="6" spans="1:41" s="2087" customFormat="1" ht="16.5" customHeight="1">
      <c r="A6" s="432" t="s">
        <v>2626</v>
      </c>
      <c r="B6" s="433"/>
      <c r="C6" s="1599">
        <f>SUM(C10:K10)</f>
        <v>0</v>
      </c>
      <c r="D6" s="2085"/>
      <c r="E6" s="2085"/>
      <c r="F6" s="2085"/>
      <c r="G6" s="2085"/>
      <c r="H6" s="2085"/>
      <c r="I6" s="2085"/>
      <c r="J6" s="2085"/>
      <c r="K6" s="2086"/>
    </row>
    <row r="7" spans="1:41" s="2089" customFormat="1" ht="15">
      <c r="A7" s="434" t="s">
        <v>469</v>
      </c>
      <c r="B7" s="435" t="s">
        <v>470</v>
      </c>
      <c r="C7" s="436"/>
      <c r="D7" s="436"/>
      <c r="E7" s="436"/>
      <c r="F7" s="436"/>
      <c r="G7" s="436"/>
      <c r="H7" s="436"/>
      <c r="I7" s="436"/>
      <c r="J7" s="436"/>
      <c r="K7" s="437"/>
      <c r="L7" s="2088"/>
      <c r="M7" s="2088"/>
      <c r="N7" s="2088"/>
      <c r="O7" s="2088"/>
      <c r="P7" s="2088"/>
      <c r="Q7" s="2088"/>
      <c r="R7" s="2088"/>
      <c r="S7" s="2088"/>
      <c r="T7" s="2088"/>
      <c r="U7" s="2088"/>
      <c r="V7" s="2088"/>
      <c r="W7" s="2088"/>
      <c r="X7" s="2088"/>
      <c r="Y7" s="2088"/>
      <c r="Z7" s="2088"/>
      <c r="AA7" s="2088"/>
      <c r="AB7" s="2088"/>
      <c r="AC7" s="2088"/>
      <c r="AD7" s="2088"/>
      <c r="AE7" s="2088"/>
      <c r="AF7" s="2088"/>
      <c r="AG7" s="2088"/>
      <c r="AH7" s="2088"/>
      <c r="AI7" s="2088"/>
      <c r="AJ7" s="2088"/>
      <c r="AK7" s="2088"/>
      <c r="AL7" s="2088"/>
      <c r="AM7" s="2088"/>
      <c r="AN7" s="2088"/>
      <c r="AO7" s="2088"/>
    </row>
    <row r="8" spans="1:41" s="2091" customFormat="1" ht="13.5" customHeight="1">
      <c r="A8" s="1607" t="s">
        <v>1823</v>
      </c>
      <c r="B8" s="438" t="s">
        <v>471</v>
      </c>
      <c r="C8" s="439"/>
      <c r="D8" s="439"/>
      <c r="E8" s="439"/>
      <c r="F8" s="439"/>
      <c r="G8" s="439"/>
      <c r="H8" s="439"/>
      <c r="I8" s="439"/>
      <c r="J8" s="439"/>
      <c r="K8" s="440"/>
      <c r="L8" s="2090"/>
      <c r="M8" s="2090"/>
      <c r="N8" s="2090"/>
      <c r="O8" s="2090"/>
      <c r="P8" s="2090"/>
      <c r="Q8" s="2090"/>
      <c r="R8" s="2090"/>
      <c r="S8" s="2090"/>
      <c r="T8" s="2090"/>
      <c r="U8" s="2090"/>
      <c r="V8" s="2090"/>
      <c r="W8" s="2090"/>
      <c r="X8" s="2090"/>
      <c r="Y8" s="2090"/>
      <c r="Z8" s="2090"/>
      <c r="AA8" s="2090"/>
      <c r="AB8" s="2090"/>
      <c r="AC8" s="2090"/>
      <c r="AD8" s="2090"/>
      <c r="AE8" s="2090"/>
      <c r="AF8" s="2090"/>
      <c r="AG8" s="2090"/>
      <c r="AH8" s="2090"/>
      <c r="AI8" s="2090"/>
      <c r="AJ8" s="2090"/>
      <c r="AK8" s="2090"/>
      <c r="AL8" s="2090"/>
      <c r="AM8" s="2090"/>
      <c r="AN8" s="2090"/>
      <c r="AO8" s="2090"/>
    </row>
    <row r="9" spans="1:41" s="2091" customFormat="1" ht="13.5" customHeight="1">
      <c r="A9" s="1607" t="s">
        <v>1824</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0"/>
      <c r="M9" s="2090"/>
      <c r="N9" s="2090"/>
      <c r="O9" s="2090"/>
      <c r="P9" s="2090"/>
      <c r="Q9" s="2090"/>
      <c r="R9" s="2090"/>
      <c r="S9" s="2090"/>
      <c r="T9" s="2090"/>
      <c r="U9" s="2090"/>
      <c r="V9" s="2090"/>
      <c r="W9" s="2090"/>
      <c r="X9" s="2090"/>
      <c r="Y9" s="2090"/>
      <c r="Z9" s="2090"/>
      <c r="AA9" s="2090"/>
      <c r="AB9" s="2090"/>
      <c r="AC9" s="2090"/>
      <c r="AD9" s="2090"/>
      <c r="AE9" s="2090"/>
      <c r="AF9" s="2090"/>
      <c r="AG9" s="2090"/>
      <c r="AH9" s="2090"/>
      <c r="AI9" s="2090"/>
      <c r="AJ9" s="2090"/>
      <c r="AK9" s="2090"/>
      <c r="AL9" s="2090"/>
      <c r="AM9" s="2090"/>
      <c r="AN9" s="2090"/>
      <c r="AO9" s="2090"/>
    </row>
    <row r="10" spans="1:41" s="2091" customFormat="1" ht="13.5" customHeight="1" thickBot="1">
      <c r="A10" s="1608" t="s">
        <v>1825</v>
      </c>
      <c r="B10" s="1600" t="s">
        <v>473</v>
      </c>
      <c r="C10" s="1601"/>
      <c r="D10" s="1601"/>
      <c r="E10" s="1601"/>
      <c r="F10" s="1602"/>
      <c r="G10" s="1602"/>
      <c r="H10" s="1602"/>
      <c r="I10" s="1602"/>
      <c r="J10" s="1602"/>
      <c r="K10" s="1603"/>
      <c r="L10" s="2090"/>
      <c r="M10" s="2090"/>
      <c r="N10" s="2090"/>
      <c r="O10" s="2090"/>
      <c r="P10" s="2090"/>
      <c r="Q10" s="2090"/>
      <c r="R10" s="2090"/>
      <c r="S10" s="2090"/>
      <c r="T10" s="2090"/>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row>
    <row r="11" spans="1:41" s="2087" customFormat="1" ht="16.5" customHeight="1">
      <c r="A11" s="1596" t="s">
        <v>1842</v>
      </c>
      <c r="B11" s="1597"/>
      <c r="C11" s="1597"/>
      <c r="D11" s="1597"/>
      <c r="E11" s="1597"/>
      <c r="F11" s="1597"/>
      <c r="G11" s="1597"/>
      <c r="H11" s="1597"/>
      <c r="I11" s="1597"/>
      <c r="J11" s="1597"/>
      <c r="K11" s="1598"/>
    </row>
    <row r="12" spans="1:41" s="2061" customFormat="1" ht="13.5" customHeight="1">
      <c r="A12" s="434" t="s">
        <v>469</v>
      </c>
      <c r="B12" s="444" t="s">
        <v>470</v>
      </c>
      <c r="C12" s="445" t="s">
        <v>474</v>
      </c>
      <c r="D12" s="446" t="s">
        <v>475</v>
      </c>
      <c r="E12" s="446" t="s">
        <v>476</v>
      </c>
      <c r="F12" s="446" t="s">
        <v>477</v>
      </c>
      <c r="G12" s="444"/>
      <c r="H12" s="447"/>
      <c r="I12" s="447"/>
      <c r="J12" s="447"/>
      <c r="K12" s="448"/>
    </row>
    <row r="13" spans="1:41" s="2092" customFormat="1" ht="13.5" customHeight="1">
      <c r="A13" s="1609" t="s">
        <v>1826</v>
      </c>
      <c r="B13" s="449" t="s">
        <v>478</v>
      </c>
      <c r="C13" s="450">
        <f ca="1">IF(B1="",'数据-取费表'!M16,INDIRECT("'数据-取费表'!M"&amp;$K$1)+INDIRECT("'数据-取费表'!t"&amp;$K$1))</f>
        <v>379742</v>
      </c>
      <c r="D13" s="451"/>
      <c r="E13" s="365"/>
      <c r="F13" s="452"/>
      <c r="G13" s="444"/>
      <c r="H13" s="447"/>
      <c r="I13" s="447"/>
      <c r="J13" s="447"/>
      <c r="K13" s="448"/>
    </row>
    <row r="14" spans="1:41" s="2092" customFormat="1" ht="13.5" customHeight="1">
      <c r="A14" s="1609" t="s">
        <v>1827</v>
      </c>
      <c r="B14" s="449" t="s">
        <v>479</v>
      </c>
      <c r="C14" s="53">
        <f ca="1">ROUND(C13*F14,0)</f>
        <v>18987</v>
      </c>
      <c r="D14" s="451"/>
      <c r="E14" s="365"/>
      <c r="F14" s="453">
        <f>'数据-取费表'!B33</f>
        <v>0.05</v>
      </c>
      <c r="G14" s="444" t="s">
        <v>501</v>
      </c>
      <c r="H14" s="447"/>
      <c r="I14" s="447"/>
      <c r="J14" s="447"/>
      <c r="K14" s="448"/>
    </row>
    <row r="15" spans="1:41" s="2092" customFormat="1" ht="13.5" customHeight="1">
      <c r="A15" s="1609" t="s">
        <v>1828</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093" customFormat="1" ht="13.5" customHeight="1">
      <c r="A16" s="1609" t="s">
        <v>1829</v>
      </c>
      <c r="B16" s="449" t="s">
        <v>483</v>
      </c>
      <c r="C16" s="53">
        <f ca="1">ROUND(D16*E16/10000,0)</f>
        <v>19483</v>
      </c>
      <c r="D16" s="451">
        <f ca="1">IF(B1="",'数据-汇总表'!E3,INDIRECT("'数据-取费表'!K"&amp;$K$1)+INDIRECT("'数据-取费表'!S"&amp;$K$1))</f>
        <v>556650.11</v>
      </c>
      <c r="E16" s="53">
        <f>'数据-取费表'!B35</f>
        <v>350</v>
      </c>
      <c r="F16" s="453"/>
      <c r="G16" s="444"/>
      <c r="H16" s="447"/>
      <c r="I16" s="447"/>
      <c r="J16" s="447"/>
      <c r="K16" s="448"/>
      <c r="L16" s="2092"/>
      <c r="M16" s="2092"/>
      <c r="N16" s="2092"/>
      <c r="O16" s="2092"/>
      <c r="P16" s="2092"/>
      <c r="Q16" s="2092"/>
      <c r="R16" s="2092"/>
      <c r="S16" s="2092"/>
      <c r="T16" s="2092"/>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row>
    <row r="17" spans="1:14" s="2092" customFormat="1" ht="13.5" customHeight="1">
      <c r="A17" s="1609" t="s">
        <v>1830</v>
      </c>
      <c r="B17" s="449" t="s">
        <v>484</v>
      </c>
      <c r="C17" s="454">
        <f ca="1">ROUND(C13*F17,0)</f>
        <v>5696</v>
      </c>
      <c r="D17" s="455"/>
      <c r="E17" s="454"/>
      <c r="F17" s="456">
        <f>'数据-取费表'!B36</f>
        <v>1.4999999999999999E-2</v>
      </c>
      <c r="G17" s="444" t="s">
        <v>501</v>
      </c>
      <c r="H17" s="457"/>
      <c r="I17" s="457"/>
      <c r="J17" s="457"/>
      <c r="K17" s="458"/>
    </row>
    <row r="18" spans="1:14" s="2095" customFormat="1" ht="13.5" customHeight="1">
      <c r="A18" s="1610" t="s">
        <v>1831</v>
      </c>
      <c r="B18" s="459" t="s">
        <v>486</v>
      </c>
      <c r="C18" s="460">
        <f ca="1">SUM(C13:C17)</f>
        <v>423908</v>
      </c>
      <c r="D18" s="461"/>
      <c r="E18" s="462"/>
      <c r="F18" s="462"/>
      <c r="G18" s="1313" t="s">
        <v>2407</v>
      </c>
      <c r="H18" s="447"/>
      <c r="I18" s="447"/>
      <c r="J18" s="447"/>
      <c r="K18" s="448"/>
    </row>
    <row r="19" spans="1:14" s="2095" customFormat="1" ht="13.5" customHeight="1">
      <c r="A19" s="1610" t="s">
        <v>1832</v>
      </c>
      <c r="B19" s="459" t="s">
        <v>492</v>
      </c>
      <c r="C19" s="460">
        <f ca="1">ROUND(C18*F19,0)</f>
        <v>8478</v>
      </c>
      <c r="D19" s="462"/>
      <c r="E19" s="462"/>
      <c r="F19" s="466">
        <f>'数据-取费表'!B37</f>
        <v>0.02</v>
      </c>
      <c r="G19" s="444" t="s">
        <v>502</v>
      </c>
      <c r="H19" s="447"/>
      <c r="I19" s="447"/>
      <c r="J19" s="447"/>
      <c r="K19" s="448"/>
      <c r="L19" s="2097"/>
      <c r="M19" s="2097"/>
      <c r="N19" s="2097"/>
    </row>
    <row r="20" spans="1:14" s="2095" customFormat="1" ht="13.5" customHeight="1">
      <c r="A20" s="1610" t="s">
        <v>1833</v>
      </c>
      <c r="B20" s="459" t="s">
        <v>503</v>
      </c>
      <c r="C20" s="2957">
        <f>F20</f>
        <v>0.02</v>
      </c>
      <c r="D20" s="469" t="s">
        <v>504</v>
      </c>
      <c r="E20" s="469"/>
      <c r="F20" s="486">
        <f>'数据-取费表'!B38</f>
        <v>0.02</v>
      </c>
      <c r="G20" s="1313" t="s">
        <v>505</v>
      </c>
      <c r="H20" s="447"/>
      <c r="I20" s="447"/>
      <c r="J20" s="447"/>
      <c r="K20" s="448"/>
      <c r="L20" s="2097"/>
      <c r="M20" s="2097"/>
      <c r="N20" s="2097"/>
    </row>
    <row r="21" spans="1:14" s="2097" customFormat="1" ht="13.5" customHeight="1">
      <c r="A21" s="1610" t="s">
        <v>1836</v>
      </c>
      <c r="B21" s="461" t="s">
        <v>493</v>
      </c>
      <c r="C21" s="470">
        <f ca="1">C22</f>
        <v>20538</v>
      </c>
      <c r="D21" s="467">
        <f ca="1">C23</f>
        <v>1E-3</v>
      </c>
      <c r="E21" s="469" t="s">
        <v>506</v>
      </c>
      <c r="F21" s="471">
        <f ca="1">'数据-取费表'!B40</f>
        <v>4.7500000000000001E-2</v>
      </c>
      <c r="G21" s="1313" t="str">
        <f>IF('数据-取费表'!B22&lt;=1,"单利计息。","复利计息。")&amp;"建造成本、管理费用及销售费用产生的利息。"</f>
        <v>复利计息。建造成本、管理费用及销售费用产生的利息。</v>
      </c>
      <c r="H21" s="447"/>
      <c r="I21" s="447"/>
      <c r="J21" s="447"/>
      <c r="K21" s="448"/>
      <c r="L21" s="2094" t="s">
        <v>2429</v>
      </c>
    </row>
    <row r="22" spans="1:14" s="2096" customFormat="1" ht="13.5" customHeight="1">
      <c r="A22" s="1609" t="s">
        <v>1826</v>
      </c>
      <c r="B22" s="1314" t="s">
        <v>2410</v>
      </c>
      <c r="C22" s="487">
        <f ca="1">ROUND(IF('数据-取费表'!B22&lt;=1,(C18+C19)*F21*'数据-取费表'!B20/2,(C18+C19)*(POWER((1+F21),'数据-取费表'!B20/2)-1)),0)</f>
        <v>20538</v>
      </c>
      <c r="D22" s="472"/>
      <c r="E22" s="473"/>
      <c r="F22" s="474"/>
      <c r="G22" s="2506" t="str">
        <f>IF('数据-取费表'!B22&lt;=1,"((1)+(2))×年利率×建设期÷2","((1)+(2))×((1+年利率)^(建设期÷2)-1)")</f>
        <v>((1)+(2))×((1+年利率)^(建设期÷2)-1)</v>
      </c>
      <c r="H22" s="457"/>
      <c r="I22" s="457"/>
      <c r="J22" s="457"/>
      <c r="K22" s="458"/>
    </row>
    <row r="23" spans="1:14" s="2096" customFormat="1" ht="13.5" customHeight="1">
      <c r="A23" s="1609" t="s">
        <v>1827</v>
      </c>
      <c r="B23" s="1314" t="s">
        <v>507</v>
      </c>
      <c r="C23" s="488">
        <f ca="1">ROUND(IF('数据-取费表'!B22&lt;=1,F20*F21*'数据-取费表'!B20/2,F20*(POWER((1+F21),'数据-取费表'!B20/2)-1)),4)</f>
        <v>1E-3</v>
      </c>
      <c r="D23" s="472"/>
      <c r="E23" s="473"/>
      <c r="F23" s="474"/>
      <c r="G23" s="2506" t="str">
        <f>IF('数据-取费表'!B22&lt;=1,"销售费用率×年利率×建设期÷2","销售费用率×((1+年利率)^(建设期÷2)-1)")</f>
        <v>销售费用率×((1+年利率)^(建设期÷2)-1)</v>
      </c>
      <c r="H23" s="457"/>
      <c r="I23" s="457"/>
      <c r="J23" s="457"/>
      <c r="K23" s="458"/>
    </row>
    <row r="24" spans="1:14" s="2096" customFormat="1" ht="13.5" customHeight="1">
      <c r="A24" s="1610" t="s">
        <v>1837</v>
      </c>
      <c r="B24" s="2959" t="s">
        <v>2806</v>
      </c>
      <c r="C24" s="478">
        <f ca="1">C25</f>
        <v>51886</v>
      </c>
      <c r="D24" s="489">
        <f ca="1">C26</f>
        <v>2.3999999999999998E-3</v>
      </c>
      <c r="E24" s="469" t="s">
        <v>506</v>
      </c>
      <c r="F24" s="479">
        <f ca="1">IF(B1="",'数据-取费表'!Q16,INDIRECT("'数据-取费表'!q"&amp;$K$1))</f>
        <v>0.12</v>
      </c>
      <c r="G24" s="444"/>
      <c r="H24" s="447"/>
      <c r="I24" s="447"/>
      <c r="J24" s="447"/>
      <c r="K24" s="448"/>
    </row>
    <row r="25" spans="1:14" s="2096" customFormat="1" ht="13.5" customHeight="1">
      <c r="A25" s="1609" t="s">
        <v>1826</v>
      </c>
      <c r="B25" s="1314" t="s">
        <v>2411</v>
      </c>
      <c r="C25" s="490">
        <f ca="1">ROUND((C18+C19)*F24,0)</f>
        <v>51886</v>
      </c>
      <c r="D25" s="472"/>
      <c r="E25" s="473"/>
      <c r="F25" s="480"/>
      <c r="G25" s="1312" t="s">
        <v>2408</v>
      </c>
      <c r="H25" s="457"/>
      <c r="I25" s="457"/>
      <c r="J25" s="457"/>
      <c r="K25" s="458"/>
    </row>
    <row r="26" spans="1:14" s="2096" customFormat="1" ht="13.5" customHeight="1">
      <c r="A26" s="1609" t="s">
        <v>1827</v>
      </c>
      <c r="B26" s="1314" t="s">
        <v>508</v>
      </c>
      <c r="C26" s="491">
        <f ca="1">ROUND(F20*F24,4)</f>
        <v>2.3999999999999998E-3</v>
      </c>
      <c r="D26" s="472"/>
      <c r="E26" s="481"/>
      <c r="F26" s="480"/>
      <c r="G26" s="1312" t="s">
        <v>509</v>
      </c>
      <c r="H26" s="457"/>
      <c r="I26" s="457"/>
      <c r="J26" s="457"/>
      <c r="K26" s="458"/>
    </row>
    <row r="27" spans="1:14" s="2096" customFormat="1" ht="13.5" customHeight="1">
      <c r="A27" s="1613" t="s">
        <v>1845</v>
      </c>
      <c r="B27" s="459" t="s">
        <v>510</v>
      </c>
      <c r="C27" s="2958">
        <f>ROUND(F27/(1+'数据-取费表'!C42),4)</f>
        <v>5.33E-2</v>
      </c>
      <c r="D27" s="462" t="s">
        <v>2804</v>
      </c>
      <c r="E27" s="462"/>
      <c r="F27" s="466">
        <f>'数据-取费表'!B41</f>
        <v>5.6000000000000001E-2</v>
      </c>
      <c r="G27" s="1936" t="s">
        <v>2266</v>
      </c>
      <c r="H27" s="447"/>
      <c r="I27" s="447"/>
      <c r="J27" s="447"/>
      <c r="K27" s="448"/>
    </row>
    <row r="28" spans="1:14" s="2097" customFormat="1" ht="13.5" customHeight="1">
      <c r="A28" s="1613" t="s">
        <v>1846</v>
      </c>
      <c r="B28" s="476" t="s">
        <v>511</v>
      </c>
      <c r="C28" s="470">
        <f ca="1">ROUND((C18+C19+C21+C24)/(1-C20-D21-D24-C27),0)</f>
        <v>546745</v>
      </c>
      <c r="D28" s="477"/>
      <c r="E28" s="469"/>
      <c r="F28" s="471"/>
      <c r="G28" s="1313" t="s">
        <v>2409</v>
      </c>
      <c r="H28" s="447"/>
      <c r="I28" s="447"/>
      <c r="J28" s="447"/>
      <c r="K28" s="448"/>
    </row>
    <row r="29" spans="1:14" s="2097" customFormat="1" ht="13.5" customHeight="1">
      <c r="A29" s="1613" t="s">
        <v>1847</v>
      </c>
      <c r="B29" s="476" t="s">
        <v>512</v>
      </c>
      <c r="C29" s="492">
        <f ca="1">IF(B1="",'数据-取费表'!N16,INDIRECT("'数据-取费表'!N"&amp;$K$1))</f>
        <v>0</v>
      </c>
      <c r="D29" s="493"/>
      <c r="E29" s="494"/>
      <c r="F29" s="495"/>
      <c r="G29" s="444"/>
      <c r="H29" s="447"/>
      <c r="I29" s="447"/>
      <c r="J29" s="447"/>
      <c r="K29" s="448"/>
    </row>
    <row r="30" spans="1:14" s="2097" customFormat="1" ht="13.5" customHeight="1">
      <c r="A30" s="443">
        <v>2</v>
      </c>
      <c r="B30" s="476" t="s">
        <v>513</v>
      </c>
      <c r="C30" s="497">
        <f ca="1">ROUND(C28*C29,0)</f>
        <v>0</v>
      </c>
      <c r="D30" s="493"/>
      <c r="E30" s="498"/>
      <c r="F30" s="499"/>
      <c r="G30" s="1315" t="s">
        <v>514</v>
      </c>
      <c r="H30" s="496"/>
      <c r="I30" s="496"/>
      <c r="J30" s="447"/>
      <c r="K30" s="448"/>
    </row>
    <row r="31" spans="1:14" s="2102" customFormat="1" ht="13.5" customHeight="1">
      <c r="A31" s="2421" t="s">
        <v>1843</v>
      </c>
      <c r="B31" s="1316"/>
      <c r="C31" s="500">
        <f>ROUND(C6*F31/(1+'数据-取费表'!C42),0)</f>
        <v>0</v>
      </c>
      <c r="D31" s="1317"/>
      <c r="E31" s="1317"/>
      <c r="F31" s="501">
        <f>'数据-取费表'!B41</f>
        <v>5.6000000000000001E-2</v>
      </c>
      <c r="G31" s="1318"/>
      <c r="H31" s="1318"/>
      <c r="I31" s="1318"/>
      <c r="J31" s="1319"/>
      <c r="K31" s="1320"/>
    </row>
    <row r="32" spans="1:14" s="2061" customFormat="1" ht="13.5" customHeight="1" thickBot="1">
      <c r="A32" s="482" t="s">
        <v>1844</v>
      </c>
      <c r="B32" s="483"/>
      <c r="C32" s="484">
        <f ca="1">IF('数据-取费表'!B20&lt;=1,(C6-C30-C31)/(1+F21*'数据-取费表'!B20+F24)/(1+'数据-取费表'!B48+'数据-取费表'!B49),(C6-C30-C31)/(1+(POWER((1+F21),'数据-取费表'!B20)-1)+F24)/(1+'数据-取费表'!B48+'数据-取费表'!B49))</f>
        <v>0</v>
      </c>
      <c r="D32" s="483"/>
      <c r="E32" s="483"/>
      <c r="F32" s="483"/>
      <c r="G32" s="2422" t="s">
        <v>2948</v>
      </c>
      <c r="H32" s="483"/>
      <c r="I32" s="483"/>
      <c r="J32" s="483"/>
      <c r="K32" s="485"/>
    </row>
    <row r="34" ht="12.75" customHeight="1"/>
  </sheetData>
  <sheetProtection password="C66D" sheet="1" objects="1" scenarios="1" formatCells="0" formatColumns="0" formatRows="0"/>
  <phoneticPr fontId="44"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2" width="15.625" style="1323" customWidth="1"/>
    <col min="3" max="3" width="15.125" style="1323" customWidth="1"/>
    <col min="4" max="4" width="12.125" style="1323" customWidth="1"/>
    <col min="5" max="5" width="16.125" style="1323" customWidth="1"/>
    <col min="6" max="6" width="12.125" style="1323" customWidth="1"/>
    <col min="7" max="7" width="15.625" style="1323" customWidth="1"/>
    <col min="8" max="8" width="12.125" style="1323" customWidth="1"/>
    <col min="9" max="9" width="15.625" style="1323" customWidth="1"/>
    <col min="10" max="10" width="12.125" style="1323" customWidth="1"/>
    <col min="11" max="11" width="12.125" style="1329" customWidth="1"/>
    <col min="12" max="12" width="12.125" style="1330" customWidth="1"/>
    <col min="13" max="15" width="12.125" style="1323" customWidth="1"/>
    <col min="16" max="16" width="4.625" style="1323" customWidth="1"/>
    <col min="17" max="17" width="19.5" style="1323" customWidth="1"/>
    <col min="18" max="22" width="6.125" style="1323" customWidth="1"/>
    <col min="23" max="23" width="5.625" style="1323" customWidth="1"/>
    <col min="24" max="24" width="4.125" style="1323" customWidth="1"/>
    <col min="25" max="25" width="3.5" style="1323" customWidth="1"/>
    <col min="26" max="26" width="19.625" style="1323" customWidth="1"/>
    <col min="27" max="28" width="9.375" style="1323" customWidth="1"/>
    <col min="29" max="16384" width="9" style="1323"/>
  </cols>
  <sheetData>
    <row r="1" spans="1:30" s="1322" customFormat="1" ht="28.5" customHeight="1">
      <c r="A1" s="502" t="s">
        <v>515</v>
      </c>
      <c r="B1" s="503"/>
      <c r="C1" s="504" t="s">
        <v>516</v>
      </c>
      <c r="D1" s="505" t="s">
        <v>517</v>
      </c>
      <c r="E1" s="506"/>
      <c r="F1" s="428"/>
      <c r="G1" s="506"/>
      <c r="H1" s="506"/>
      <c r="I1" s="506"/>
      <c r="J1" s="506"/>
      <c r="K1" s="507"/>
      <c r="L1" s="1539"/>
      <c r="M1" s="1540"/>
      <c r="N1" s="1540"/>
      <c r="O1" s="1540"/>
      <c r="P1" s="1541"/>
      <c r="Q1" s="1541"/>
      <c r="R1" s="1541"/>
      <c r="S1" s="1541"/>
      <c r="T1" s="1541"/>
      <c r="U1" s="1541"/>
      <c r="V1" s="1541"/>
      <c r="W1" s="1541"/>
      <c r="X1" s="1541"/>
      <c r="Y1" s="1541"/>
      <c r="Z1" s="1541"/>
      <c r="AA1" s="1541"/>
      <c r="AB1" s="1541"/>
      <c r="AC1" s="1542"/>
      <c r="AD1" s="1321"/>
    </row>
    <row r="2" spans="1:30" s="1322" customFormat="1" ht="28.5" customHeight="1">
      <c r="A2" s="423" t="s">
        <v>466</v>
      </c>
      <c r="B2" s="508" t="e">
        <f>F68</f>
        <v>#DIV/0!</v>
      </c>
      <c r="C2" s="2103"/>
      <c r="D2" s="2103"/>
      <c r="E2" s="2104"/>
      <c r="F2" s="2105"/>
      <c r="G2" s="2104"/>
      <c r="H2" s="2104"/>
      <c r="I2" s="2104"/>
      <c r="J2" s="2104"/>
      <c r="K2" s="2106"/>
      <c r="L2" s="2107"/>
      <c r="M2" s="2108"/>
      <c r="N2" s="2108"/>
      <c r="O2" s="2108"/>
      <c r="P2" s="1541"/>
      <c r="Q2" s="1541"/>
      <c r="R2" s="1541"/>
      <c r="S2" s="1541"/>
      <c r="T2" s="1541"/>
      <c r="U2" s="1541"/>
      <c r="V2" s="1541"/>
      <c r="W2" s="1541"/>
      <c r="X2" s="1541"/>
      <c r="Y2" s="1541"/>
      <c r="Z2" s="1541"/>
      <c r="AA2" s="1541"/>
      <c r="AB2" s="1541"/>
      <c r="AC2" s="1542"/>
      <c r="AD2" s="1321"/>
    </row>
    <row r="3" spans="1:30" s="1322" customFormat="1" ht="28.5" customHeight="1">
      <c r="A3" s="1366" t="s">
        <v>1662</v>
      </c>
      <c r="B3" s="510" t="e">
        <f>ROUND(B2*10000/'数据-汇总表'!E3,0)</f>
        <v>#DIV/0!</v>
      </c>
      <c r="C3" s="2037"/>
      <c r="D3" s="2509"/>
      <c r="E3" s="2037"/>
      <c r="F3" s="2037"/>
      <c r="G3" s="2104"/>
      <c r="H3" s="2104"/>
      <c r="I3" s="2104"/>
      <c r="J3" s="2104"/>
      <c r="K3" s="2106"/>
      <c r="L3" s="2107"/>
      <c r="M3" s="2108"/>
      <c r="N3" s="2108"/>
      <c r="O3" s="2108"/>
      <c r="P3" s="1541"/>
      <c r="Q3" s="1541"/>
      <c r="R3" s="1541"/>
      <c r="S3" s="1541"/>
      <c r="T3" s="1541"/>
      <c r="U3" s="1541"/>
      <c r="V3" s="1541"/>
      <c r="W3" s="1541"/>
      <c r="X3" s="1541"/>
      <c r="Y3" s="1541"/>
      <c r="Z3" s="1541"/>
      <c r="AA3" s="1541"/>
      <c r="AB3" s="1543"/>
      <c r="AC3" s="428"/>
    </row>
    <row r="4" spans="1:30" s="1322" customFormat="1" ht="28.5" customHeight="1">
      <c r="A4" s="511" t="s">
        <v>519</v>
      </c>
      <c r="B4" s="427" t="e">
        <f>IF(B48="单位面积地价",C50,ROUND(B2*10000/'数据-汇总表'!D3,0))</f>
        <v>#DIV/0!</v>
      </c>
      <c r="C4" s="2037"/>
      <c r="D4" s="2509"/>
      <c r="E4" s="2037"/>
      <c r="F4" s="2037"/>
      <c r="G4" s="2104"/>
      <c r="H4" s="2104"/>
      <c r="I4" s="2104"/>
      <c r="J4" s="2104"/>
      <c r="K4" s="2106"/>
      <c r="L4" s="2107"/>
      <c r="M4" s="2108"/>
      <c r="N4" s="2108"/>
      <c r="O4" s="2108"/>
      <c r="P4" s="1541"/>
      <c r="Q4" s="1541"/>
      <c r="R4" s="1541"/>
      <c r="S4" s="1541"/>
      <c r="T4" s="1541"/>
      <c r="U4" s="1541"/>
      <c r="V4" s="1541"/>
      <c r="W4" s="1541"/>
      <c r="X4" s="1541"/>
      <c r="Y4" s="1541"/>
      <c r="Z4" s="1541"/>
      <c r="AA4" s="1541"/>
      <c r="AB4" s="1541"/>
      <c r="AC4" s="428"/>
    </row>
    <row r="5" spans="1:30" s="1322" customFormat="1" ht="28.5" customHeight="1" thickBot="1">
      <c r="A5" s="429"/>
      <c r="B5" s="430" t="e">
        <f>ROUND(B2/('数据-汇总表'!D3/666.67),0)</f>
        <v>#DIV/0!</v>
      </c>
      <c r="C5" s="431" t="s">
        <v>468</v>
      </c>
      <c r="D5" s="2037"/>
      <c r="E5" s="2037"/>
      <c r="F5" s="2037"/>
      <c r="G5" s="2104"/>
      <c r="H5" s="2104"/>
      <c r="I5" s="2104"/>
      <c r="J5" s="2104"/>
      <c r="K5" s="2106"/>
      <c r="L5" s="2107"/>
      <c r="M5" s="2108"/>
      <c r="N5" s="2108"/>
      <c r="O5" s="2108"/>
      <c r="P5" s="1541"/>
      <c r="Q5" s="1541"/>
      <c r="R5" s="1541"/>
      <c r="S5" s="1541"/>
      <c r="T5" s="1541"/>
      <c r="U5" s="1541"/>
      <c r="V5" s="1541"/>
      <c r="W5" s="1541"/>
      <c r="X5" s="1541"/>
      <c r="Y5" s="1541"/>
      <c r="Z5" s="1541"/>
      <c r="AA5" s="1541"/>
      <c r="AB5" s="1541"/>
      <c r="AC5" s="428"/>
    </row>
    <row r="6" spans="1:30" ht="20.25">
      <c r="A6" s="512" t="s">
        <v>520</v>
      </c>
      <c r="B6" s="513"/>
      <c r="C6" s="3795" t="s">
        <v>521</v>
      </c>
      <c r="D6" s="3796"/>
      <c r="E6" s="3795" t="s">
        <v>522</v>
      </c>
      <c r="F6" s="3796"/>
      <c r="G6" s="3795" t="s">
        <v>523</v>
      </c>
      <c r="H6" s="3796"/>
      <c r="I6" s="3795" t="s">
        <v>524</v>
      </c>
      <c r="J6" s="3796"/>
      <c r="K6" s="514" t="s">
        <v>525</v>
      </c>
      <c r="L6" s="2109"/>
      <c r="M6" s="2108"/>
      <c r="N6" s="2108"/>
      <c r="O6" s="2110"/>
      <c r="P6" s="3797" t="s">
        <v>526</v>
      </c>
      <c r="Q6" s="3798"/>
      <c r="R6" s="3783" t="s">
        <v>522</v>
      </c>
      <c r="S6" s="3784"/>
      <c r="T6" s="3783" t="s">
        <v>523</v>
      </c>
      <c r="U6" s="3784"/>
      <c r="V6" s="3803" t="s">
        <v>524</v>
      </c>
      <c r="W6" s="3803"/>
      <c r="X6" s="1544"/>
      <c r="Y6" s="3783" t="s">
        <v>526</v>
      </c>
      <c r="Z6" s="3784"/>
      <c r="AA6" s="3778" t="s">
        <v>522</v>
      </c>
      <c r="AB6" s="3779" t="s">
        <v>523</v>
      </c>
      <c r="AC6" s="3778" t="s">
        <v>524</v>
      </c>
    </row>
    <row r="7" spans="1:30" ht="20.25">
      <c r="A7" s="515"/>
      <c r="B7" s="516"/>
      <c r="C7" s="3806" t="s">
        <v>2905</v>
      </c>
      <c r="D7" s="3807"/>
      <c r="E7" s="3806" t="s">
        <v>2906</v>
      </c>
      <c r="F7" s="3807"/>
      <c r="G7" s="3806" t="s">
        <v>2907</v>
      </c>
      <c r="H7" s="3807"/>
      <c r="I7" s="3806" t="s">
        <v>2908</v>
      </c>
      <c r="J7" s="3807"/>
      <c r="K7" s="514"/>
      <c r="L7" s="2109"/>
      <c r="M7" s="2108"/>
      <c r="N7" s="2108"/>
      <c r="O7" s="2110"/>
      <c r="P7" s="3799"/>
      <c r="Q7" s="3800"/>
      <c r="R7" s="3785"/>
      <c r="S7" s="3786"/>
      <c r="T7" s="3785"/>
      <c r="U7" s="3786"/>
      <c r="V7" s="3803"/>
      <c r="W7" s="3803"/>
      <c r="X7" s="1544"/>
      <c r="Y7" s="3785"/>
      <c r="Z7" s="3786"/>
      <c r="AA7" s="3779"/>
      <c r="AB7" s="3779"/>
      <c r="AC7" s="3779"/>
    </row>
    <row r="8" spans="1:30" ht="21" thickBot="1">
      <c r="A8" s="515"/>
      <c r="B8" s="516"/>
      <c r="C8" s="3808" t="s">
        <v>2909</v>
      </c>
      <c r="D8" s="3809"/>
      <c r="E8" s="3808" t="s">
        <v>2909</v>
      </c>
      <c r="F8" s="3809"/>
      <c r="G8" s="3804" t="s">
        <v>2909</v>
      </c>
      <c r="H8" s="3805"/>
      <c r="I8" s="3804" t="s">
        <v>2909</v>
      </c>
      <c r="J8" s="3805"/>
      <c r="K8" s="514" t="s">
        <v>527</v>
      </c>
      <c r="L8" s="2109"/>
      <c r="M8" s="2108"/>
      <c r="N8" s="2108"/>
      <c r="O8" s="2110"/>
      <c r="P8" s="3801"/>
      <c r="Q8" s="3802"/>
      <c r="R8" s="3785"/>
      <c r="S8" s="3786"/>
      <c r="T8" s="3787"/>
      <c r="U8" s="3788"/>
      <c r="V8" s="3803"/>
      <c r="W8" s="3803"/>
      <c r="X8" s="1544"/>
      <c r="Y8" s="3787"/>
      <c r="Z8" s="3788"/>
      <c r="AA8" s="3780"/>
      <c r="AB8" s="3780"/>
      <c r="AC8" s="3780"/>
    </row>
    <row r="9" spans="1:30" s="1206" customFormat="1" ht="21" thickBot="1">
      <c r="A9" s="2842"/>
      <c r="B9" s="2849" t="s">
        <v>528</v>
      </c>
      <c r="C9" s="2841">
        <f>'数据-取费表'!B2</f>
        <v>43933</v>
      </c>
      <c r="D9" s="520">
        <v>100</v>
      </c>
      <c r="E9" s="521"/>
      <c r="F9" s="522">
        <f>SUMIF(72:72,YEAR(E9)&amp;"-"&amp;INT((MONTH(E9)+2)/3),73:73)</f>
        <v>0</v>
      </c>
      <c r="G9" s="523"/>
      <c r="H9" s="520">
        <f>SUMIF(72:72,YEAR(G9)&amp;"-"&amp;INT((MONTH(G9)+2)/3),73:73)</f>
        <v>0</v>
      </c>
      <c r="I9" s="523"/>
      <c r="J9" s="520">
        <f>SUMIF(72:72,YEAR(I9)&amp;"-"&amp;INT((MONTH(I9)+2)/3),73:73)</f>
        <v>0</v>
      </c>
      <c r="K9" s="524"/>
      <c r="L9" s="2111"/>
      <c r="M9" s="2108"/>
      <c r="N9" s="2108"/>
      <c r="O9" s="2112"/>
      <c r="P9" s="3781" t="s">
        <v>529</v>
      </c>
      <c r="Q9" s="3790"/>
      <c r="R9" s="1545" t="s">
        <v>8</v>
      </c>
      <c r="S9" s="1546">
        <f t="shared" ref="S9:S17" si="0">F9</f>
        <v>0</v>
      </c>
      <c r="T9" s="1545" t="s">
        <v>8</v>
      </c>
      <c r="U9" s="1546">
        <f t="shared" ref="U9:U17" si="1">H9</f>
        <v>0</v>
      </c>
      <c r="V9" s="1545" t="s">
        <v>8</v>
      </c>
      <c r="W9" s="1546">
        <f t="shared" ref="W9:W17" si="2">J9</f>
        <v>0</v>
      </c>
      <c r="X9" s="1547"/>
      <c r="Y9" s="3781" t="s">
        <v>529</v>
      </c>
      <c r="Z9" s="3782"/>
      <c r="AA9" s="1548" t="e">
        <f>D9/F9</f>
        <v>#DIV/0!</v>
      </c>
      <c r="AB9" s="1548" t="e">
        <f>D9/H9</f>
        <v>#DIV/0!</v>
      </c>
      <c r="AC9" s="1548" t="e">
        <f>D9/J9</f>
        <v>#DIV/0!</v>
      </c>
    </row>
    <row r="10" spans="1:30" s="1206" customFormat="1" ht="21" thickBot="1">
      <c r="A10" s="2843"/>
      <c r="B10" s="2850" t="s">
        <v>530</v>
      </c>
      <c r="C10" s="856" t="s">
        <v>531</v>
      </c>
      <c r="D10" s="520">
        <v>100</v>
      </c>
      <c r="E10" s="525"/>
      <c r="F10" s="522">
        <f>SUMIF(75:75,E10,76:76)-SUMIF(75:75,C10,76:76)+100</f>
        <v>0</v>
      </c>
      <c r="G10" s="525"/>
      <c r="H10" s="520">
        <f>SUMIF(75:75,G10,76:76)-SUMIF(75:75,C10,76:76)+100</f>
        <v>0</v>
      </c>
      <c r="I10" s="525"/>
      <c r="J10" s="520">
        <f>SUMIF(75:75,I10,76:76)-SUMIF(75:75,C10,76:76)+100</f>
        <v>0</v>
      </c>
      <c r="K10" s="524"/>
      <c r="L10" s="2111"/>
      <c r="M10" s="2108"/>
      <c r="N10" s="2108"/>
      <c r="O10" s="2112"/>
      <c r="P10" s="3781" t="s">
        <v>532</v>
      </c>
      <c r="Q10" s="3782"/>
      <c r="R10" s="1545" t="s">
        <v>8</v>
      </c>
      <c r="S10" s="1546">
        <f t="shared" si="0"/>
        <v>0</v>
      </c>
      <c r="T10" s="1545" t="s">
        <v>8</v>
      </c>
      <c r="U10" s="1546">
        <f t="shared" si="1"/>
        <v>0</v>
      </c>
      <c r="V10" s="1545" t="s">
        <v>8</v>
      </c>
      <c r="W10" s="1546">
        <f t="shared" si="2"/>
        <v>0</v>
      </c>
      <c r="X10" s="1547"/>
      <c r="Y10" s="3781" t="s">
        <v>532</v>
      </c>
      <c r="Z10" s="3782"/>
      <c r="AA10" s="1548" t="e">
        <f t="shared" ref="AA10:AA47" si="3">D10/F10</f>
        <v>#DIV/0!</v>
      </c>
      <c r="AB10" s="1548" t="e">
        <f t="shared" ref="AB10:AB47" si="4">D10/H10</f>
        <v>#DIV/0!</v>
      </c>
      <c r="AC10" s="1548" t="e">
        <f t="shared" ref="AC10:AC47" si="5">D10/J10</f>
        <v>#DIV/0!</v>
      </c>
    </row>
    <row r="11" spans="1:30" s="1206" customFormat="1" ht="20.25">
      <c r="A11" s="2844"/>
      <c r="B11" s="2851" t="s">
        <v>2730</v>
      </c>
      <c r="C11" s="2838"/>
      <c r="D11" s="254">
        <v>100</v>
      </c>
      <c r="E11" s="526"/>
      <c r="F11" s="254">
        <f>SUMIF(77:77,E11,78:78)-SUMIF(77:77,C11,78:78)+100</f>
        <v>100</v>
      </c>
      <c r="G11" s="526"/>
      <c r="H11" s="254">
        <f>SUMIF(77:77,G11,78:78)-SUMIF(77:77,C11,78:78)+100</f>
        <v>100</v>
      </c>
      <c r="I11" s="526"/>
      <c r="J11" s="254">
        <f>SUMIF(77:77,I11,78:78)-SUMIF(77:77,C11,78:78)+100</f>
        <v>100</v>
      </c>
      <c r="K11" s="524"/>
      <c r="L11" s="2111"/>
      <c r="M11" s="2108"/>
      <c r="N11" s="2108"/>
      <c r="O11" s="2113"/>
      <c r="P11" s="3789" t="s">
        <v>534</v>
      </c>
      <c r="Q11" s="1138" t="str">
        <f t="shared" ref="Q11:Q17" si="6">B11</f>
        <v>用途</v>
      </c>
      <c r="R11" s="1545" t="s">
        <v>8</v>
      </c>
      <c r="S11" s="1546">
        <f t="shared" si="0"/>
        <v>100</v>
      </c>
      <c r="T11" s="1545" t="s">
        <v>8</v>
      </c>
      <c r="U11" s="1546">
        <f t="shared" si="1"/>
        <v>100</v>
      </c>
      <c r="V11" s="1545" t="s">
        <v>8</v>
      </c>
      <c r="W11" s="1546">
        <f t="shared" si="2"/>
        <v>100</v>
      </c>
      <c r="X11" s="1547"/>
      <c r="Y11" s="3746" t="s">
        <v>535</v>
      </c>
      <c r="Z11" s="1137" t="str">
        <f t="shared" ref="Z11:Z17" si="7">Q11</f>
        <v>用途</v>
      </c>
      <c r="AA11" s="1548">
        <f t="shared" si="3"/>
        <v>1</v>
      </c>
      <c r="AB11" s="1548">
        <f t="shared" si="4"/>
        <v>1</v>
      </c>
      <c r="AC11" s="1548">
        <f t="shared" si="5"/>
        <v>1</v>
      </c>
    </row>
    <row r="12" spans="1:30" s="1324" customFormat="1" ht="27">
      <c r="A12" s="2845"/>
      <c r="B12" s="2850" t="s">
        <v>2731</v>
      </c>
      <c r="C12" s="904"/>
      <c r="D12" s="255">
        <v>100</v>
      </c>
      <c r="E12" s="529"/>
      <c r="F12" s="255">
        <f>ROUND(100/'数据-取费表'!G16,0)</f>
        <v>100</v>
      </c>
      <c r="G12" s="530"/>
      <c r="H12" s="255">
        <f>ROUND(100/'数据-取费表'!G16,0)</f>
        <v>100</v>
      </c>
      <c r="I12" s="530"/>
      <c r="J12" s="255">
        <f>ROUND(100/'数据-取费表'!G16,0)</f>
        <v>100</v>
      </c>
      <c r="K12" s="531"/>
      <c r="L12" s="2114"/>
      <c r="M12" s="2108"/>
      <c r="N12" s="2108"/>
      <c r="O12" s="2115"/>
      <c r="P12" s="3789"/>
      <c r="Q12" s="1138" t="str">
        <f t="shared" si="6"/>
        <v>土地使用年限（年）</v>
      </c>
      <c r="R12" s="1545" t="s">
        <v>8</v>
      </c>
      <c r="S12" s="1546">
        <f t="shared" si="0"/>
        <v>100</v>
      </c>
      <c r="T12" s="1545" t="s">
        <v>8</v>
      </c>
      <c r="U12" s="1546">
        <f t="shared" si="1"/>
        <v>100</v>
      </c>
      <c r="V12" s="1545" t="s">
        <v>8</v>
      </c>
      <c r="W12" s="1546">
        <f t="shared" si="2"/>
        <v>100</v>
      </c>
      <c r="X12" s="1547"/>
      <c r="Y12" s="3746"/>
      <c r="Z12" s="1137" t="str">
        <f t="shared" si="7"/>
        <v>土地使用年限（年）</v>
      </c>
      <c r="AA12" s="1548">
        <f t="shared" si="3"/>
        <v>1</v>
      </c>
      <c r="AB12" s="1548">
        <f t="shared" si="4"/>
        <v>1</v>
      </c>
      <c r="AC12" s="1548">
        <f t="shared" si="5"/>
        <v>1</v>
      </c>
    </row>
    <row r="13" spans="1:30" ht="20.25">
      <c r="A13" s="2846"/>
      <c r="B13" s="2850" t="s">
        <v>2732</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16"/>
      <c r="M13" s="2108"/>
      <c r="N13" s="2108"/>
      <c r="O13" s="2117"/>
      <c r="P13" s="3789"/>
      <c r="Q13" s="1138" t="str">
        <f t="shared" si="6"/>
        <v>容积率</v>
      </c>
      <c r="R13" s="1545" t="s">
        <v>8</v>
      </c>
      <c r="S13" s="1546" t="e">
        <f t="shared" si="0"/>
        <v>#N/A</v>
      </c>
      <c r="T13" s="1545" t="s">
        <v>8</v>
      </c>
      <c r="U13" s="1546" t="e">
        <f t="shared" si="1"/>
        <v>#N/A</v>
      </c>
      <c r="V13" s="1545" t="s">
        <v>8</v>
      </c>
      <c r="W13" s="1546" t="e">
        <f t="shared" si="2"/>
        <v>#N/A</v>
      </c>
      <c r="X13" s="1547"/>
      <c r="Y13" s="3746"/>
      <c r="Z13" s="1137" t="str">
        <f t="shared" si="7"/>
        <v>容积率</v>
      </c>
      <c r="AA13" s="1548" t="e">
        <f t="shared" si="3"/>
        <v>#N/A</v>
      </c>
      <c r="AB13" s="1548" t="e">
        <f t="shared" si="4"/>
        <v>#N/A</v>
      </c>
      <c r="AC13" s="1548" t="e">
        <f t="shared" si="5"/>
        <v>#N/A</v>
      </c>
    </row>
    <row r="14" spans="1:30" s="1206" customFormat="1" ht="20.25">
      <c r="A14" s="2843"/>
      <c r="B14" s="2852" t="s">
        <v>2733</v>
      </c>
      <c r="C14" s="2839"/>
      <c r="D14" s="538">
        <v>100</v>
      </c>
      <c r="E14" s="1361"/>
      <c r="F14" s="255">
        <f>SUMIF(84:84,E14,85:85)-SUMIF(84:84,C14,85:85)+100</f>
        <v>100</v>
      </c>
      <c r="G14" s="530"/>
      <c r="H14" s="255">
        <f>SUMIF(84:84,G14,85:85)-SUMIF(84:84,C14,85:85)+100</f>
        <v>100</v>
      </c>
      <c r="I14" s="529"/>
      <c r="J14" s="255">
        <f>SUMIF(84:84,I14,85:85)-SUMIF(84:84,C14,85:85)+100</f>
        <v>100</v>
      </c>
      <c r="K14" s="531"/>
      <c r="L14" s="2111"/>
      <c r="M14" s="2108"/>
      <c r="N14" s="2108"/>
      <c r="O14" s="2113"/>
      <c r="P14" s="3789"/>
      <c r="Q14" s="1138" t="str">
        <f t="shared" si="6"/>
        <v>配建</v>
      </c>
      <c r="R14" s="1545" t="s">
        <v>8</v>
      </c>
      <c r="S14" s="1546">
        <f t="shared" si="0"/>
        <v>100</v>
      </c>
      <c r="T14" s="1545" t="s">
        <v>8</v>
      </c>
      <c r="U14" s="1546">
        <f t="shared" si="1"/>
        <v>100</v>
      </c>
      <c r="V14" s="1545" t="s">
        <v>8</v>
      </c>
      <c r="W14" s="1546">
        <f t="shared" si="2"/>
        <v>100</v>
      </c>
      <c r="X14" s="1547"/>
      <c r="Y14" s="3746"/>
      <c r="Z14" s="1137" t="str">
        <f t="shared" si="7"/>
        <v>配建</v>
      </c>
      <c r="AA14" s="1548">
        <f>D14/F14</f>
        <v>1</v>
      </c>
      <c r="AB14" s="1548">
        <f>D14/H14</f>
        <v>1</v>
      </c>
      <c r="AC14" s="1548">
        <f>D14/J14</f>
        <v>1</v>
      </c>
    </row>
    <row r="15" spans="1:30" ht="20.25">
      <c r="A15" s="2847"/>
      <c r="B15" s="2853">
        <v>111</v>
      </c>
      <c r="C15" s="906"/>
      <c r="D15" s="540">
        <v>100</v>
      </c>
      <c r="E15" s="541"/>
      <c r="F15" s="255">
        <f>SUMIF(86:86,E15,87:87)-SUMIF(86:86,C15,87:87)+100</f>
        <v>100</v>
      </c>
      <c r="G15" s="542"/>
      <c r="H15" s="540">
        <f>SUMIF(86:86,G15,87:87)-SUMIF(86:86,C15,87:87)+100</f>
        <v>100</v>
      </c>
      <c r="I15" s="542"/>
      <c r="J15" s="540">
        <f>SUMIF(86:86,I15,87:87)-SUMIF(86:86,C15,87:87)+100</f>
        <v>100</v>
      </c>
      <c r="K15" s="531"/>
      <c r="L15" s="2118"/>
      <c r="M15" s="2108"/>
      <c r="N15" s="2108"/>
      <c r="O15" s="2117"/>
      <c r="P15" s="3789"/>
      <c r="Q15" s="1138">
        <f t="shared" si="6"/>
        <v>111</v>
      </c>
      <c r="R15" s="1545" t="s">
        <v>8</v>
      </c>
      <c r="S15" s="1546">
        <f t="shared" si="0"/>
        <v>100</v>
      </c>
      <c r="T15" s="1545" t="s">
        <v>8</v>
      </c>
      <c r="U15" s="1546">
        <f t="shared" si="1"/>
        <v>100</v>
      </c>
      <c r="V15" s="1545" t="s">
        <v>8</v>
      </c>
      <c r="W15" s="1546">
        <f t="shared" si="2"/>
        <v>100</v>
      </c>
      <c r="X15" s="1547"/>
      <c r="Y15" s="3746"/>
      <c r="Z15" s="1137">
        <f t="shared" si="7"/>
        <v>111</v>
      </c>
      <c r="AA15" s="1548">
        <f>D15/F15</f>
        <v>1</v>
      </c>
      <c r="AB15" s="1548">
        <f>D15/H15</f>
        <v>1</v>
      </c>
      <c r="AC15" s="1548">
        <f>D15/J15</f>
        <v>1</v>
      </c>
    </row>
    <row r="16" spans="1:30" ht="21" thickBot="1">
      <c r="A16" s="2848"/>
      <c r="B16" s="2854">
        <v>111</v>
      </c>
      <c r="C16" s="908"/>
      <c r="D16" s="546">
        <v>100</v>
      </c>
      <c r="E16" s="541"/>
      <c r="F16" s="546">
        <f>SUMIF(88:88,E16,89:89)-SUMIF(88:88,C16,89:89)+100</f>
        <v>100</v>
      </c>
      <c r="G16" s="542"/>
      <c r="H16" s="546">
        <f>SUMIF(88:88,G16,89:89)-SUMIF(88:88,C16,89:89)+100</f>
        <v>100</v>
      </c>
      <c r="I16" s="542"/>
      <c r="J16" s="546">
        <f>SUMIF(88:88,I16,89:89)-SUMIF(88:88,C16,89:89)+100</f>
        <v>100</v>
      </c>
      <c r="K16" s="531"/>
      <c r="L16" s="2118"/>
      <c r="M16" s="2108"/>
      <c r="N16" s="2108"/>
      <c r="O16" s="2117"/>
      <c r="P16" s="3789"/>
      <c r="Q16" s="1138">
        <f t="shared" si="6"/>
        <v>111</v>
      </c>
      <c r="R16" s="1545" t="s">
        <v>8</v>
      </c>
      <c r="S16" s="1546">
        <f t="shared" si="0"/>
        <v>100</v>
      </c>
      <c r="T16" s="1545" t="s">
        <v>8</v>
      </c>
      <c r="U16" s="1546">
        <f t="shared" si="1"/>
        <v>100</v>
      </c>
      <c r="V16" s="1545" t="s">
        <v>8</v>
      </c>
      <c r="W16" s="1546">
        <f t="shared" si="2"/>
        <v>100</v>
      </c>
      <c r="X16" s="1547"/>
      <c r="Y16" s="3746"/>
      <c r="Z16" s="1137">
        <f t="shared" si="7"/>
        <v>111</v>
      </c>
      <c r="AA16" s="1548">
        <f>D16/F16</f>
        <v>1</v>
      </c>
      <c r="AB16" s="1548">
        <f>D16/H16</f>
        <v>1</v>
      </c>
      <c r="AC16" s="1548">
        <f>D16/J16</f>
        <v>1</v>
      </c>
    </row>
    <row r="17" spans="1:29" ht="99.75">
      <c r="A17" s="2840" t="s">
        <v>2728</v>
      </c>
      <c r="B17" s="578" t="s">
        <v>294</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18"/>
      <c r="M17" s="2108"/>
      <c r="N17" s="2108"/>
      <c r="O17" s="2117"/>
      <c r="P17" s="3791" t="s">
        <v>539</v>
      </c>
      <c r="Q17" s="1549" t="str">
        <f t="shared" si="6"/>
        <v>居住社区成熟度</v>
      </c>
      <c r="R17" s="1550" t="s">
        <v>8</v>
      </c>
      <c r="S17" s="1551">
        <f t="shared" si="0"/>
        <v>100</v>
      </c>
      <c r="T17" s="1550" t="s">
        <v>8</v>
      </c>
      <c r="U17" s="1551">
        <f t="shared" si="1"/>
        <v>100</v>
      </c>
      <c r="V17" s="1550" t="s">
        <v>8</v>
      </c>
      <c r="W17" s="1551">
        <f t="shared" si="2"/>
        <v>100</v>
      </c>
      <c r="X17" s="1544"/>
      <c r="Y17" s="3791" t="s">
        <v>539</v>
      </c>
      <c r="Z17" s="1552" t="str">
        <f t="shared" si="7"/>
        <v>居住社区成熟度</v>
      </c>
      <c r="AA17" s="1553">
        <f t="shared" si="3"/>
        <v>1</v>
      </c>
      <c r="AB17" s="1553">
        <f t="shared" si="4"/>
        <v>1</v>
      </c>
      <c r="AC17" s="1553">
        <f t="shared" si="5"/>
        <v>1</v>
      </c>
    </row>
    <row r="18" spans="1:29" ht="20.25">
      <c r="A18" s="532"/>
      <c r="B18" s="553"/>
      <c r="C18" s="554"/>
      <c r="D18" s="557"/>
      <c r="E18" s="558"/>
      <c r="F18" s="555"/>
      <c r="G18" s="556"/>
      <c r="H18" s="559"/>
      <c r="I18" s="558"/>
      <c r="J18" s="555"/>
      <c r="K18" s="531"/>
      <c r="L18" s="2118"/>
      <c r="M18" s="2108"/>
      <c r="N18" s="2108"/>
      <c r="O18" s="2117"/>
      <c r="P18" s="3792"/>
      <c r="Q18" s="1549"/>
      <c r="R18" s="1550"/>
      <c r="S18" s="1551"/>
      <c r="T18" s="1550"/>
      <c r="U18" s="1551"/>
      <c r="V18" s="1550"/>
      <c r="W18" s="1551"/>
      <c r="X18" s="1544"/>
      <c r="Y18" s="3792"/>
      <c r="Z18" s="1552"/>
      <c r="AA18" s="1553">
        <v>1</v>
      </c>
      <c r="AB18" s="1553">
        <v>1</v>
      </c>
      <c r="AC18" s="1553">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18"/>
      <c r="M19" s="2108"/>
      <c r="N19" s="2108"/>
      <c r="O19" s="2117"/>
      <c r="P19" s="3792"/>
      <c r="Q19" s="1549" t="str">
        <f>B19</f>
        <v>商业繁华度</v>
      </c>
      <c r="R19" s="1550" t="s">
        <v>8</v>
      </c>
      <c r="S19" s="1551">
        <f>F19</f>
        <v>100</v>
      </c>
      <c r="T19" s="1550" t="s">
        <v>8</v>
      </c>
      <c r="U19" s="1551">
        <f>H19</f>
        <v>100</v>
      </c>
      <c r="V19" s="1550" t="s">
        <v>8</v>
      </c>
      <c r="W19" s="1551">
        <f>J19</f>
        <v>100</v>
      </c>
      <c r="X19" s="1544"/>
      <c r="Y19" s="3792"/>
      <c r="Z19" s="1552" t="str">
        <f>Q19</f>
        <v>商业繁华度</v>
      </c>
      <c r="AA19" s="1553">
        <f t="shared" si="3"/>
        <v>1</v>
      </c>
      <c r="AB19" s="1553">
        <f t="shared" si="4"/>
        <v>1</v>
      </c>
      <c r="AC19" s="1553">
        <f t="shared" si="5"/>
        <v>1</v>
      </c>
    </row>
    <row r="20" spans="1:29" ht="20.25">
      <c r="A20" s="532"/>
      <c r="B20" s="566"/>
      <c r="C20" s="567"/>
      <c r="D20" s="563"/>
      <c r="E20" s="569"/>
      <c r="F20" s="559"/>
      <c r="G20" s="568"/>
      <c r="H20" s="555"/>
      <c r="I20" s="569"/>
      <c r="J20" s="555"/>
      <c r="K20" s="531"/>
      <c r="L20" s="2118"/>
      <c r="M20" s="2108"/>
      <c r="N20" s="2108"/>
      <c r="O20" s="2117"/>
      <c r="P20" s="3792"/>
      <c r="Q20" s="1549"/>
      <c r="R20" s="1550"/>
      <c r="S20" s="1551"/>
      <c r="T20" s="1550"/>
      <c r="U20" s="1551"/>
      <c r="V20" s="1550"/>
      <c r="W20" s="1551"/>
      <c r="X20" s="1544"/>
      <c r="Y20" s="3792"/>
      <c r="Z20" s="1552"/>
      <c r="AA20" s="1553">
        <v>1</v>
      </c>
      <c r="AB20" s="1553">
        <v>1</v>
      </c>
      <c r="AC20" s="1553">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18"/>
      <c r="M21" s="2108"/>
      <c r="N21" s="2108"/>
      <c r="O21" s="2117"/>
      <c r="P21" s="3792"/>
      <c r="Q21" s="1549" t="str">
        <f>B21</f>
        <v>办公集聚程度</v>
      </c>
      <c r="R21" s="1550" t="s">
        <v>8</v>
      </c>
      <c r="S21" s="1551">
        <f>F21</f>
        <v>100</v>
      </c>
      <c r="T21" s="1550" t="s">
        <v>8</v>
      </c>
      <c r="U21" s="1551">
        <f>H21</f>
        <v>100</v>
      </c>
      <c r="V21" s="1550" t="s">
        <v>8</v>
      </c>
      <c r="W21" s="1551">
        <f>J21</f>
        <v>100</v>
      </c>
      <c r="X21" s="1544"/>
      <c r="Y21" s="3792"/>
      <c r="Z21" s="1552" t="str">
        <f>Q21</f>
        <v>办公集聚程度</v>
      </c>
      <c r="AA21" s="1553">
        <f t="shared" si="3"/>
        <v>1</v>
      </c>
      <c r="AB21" s="1553">
        <f t="shared" si="4"/>
        <v>1</v>
      </c>
      <c r="AC21" s="1553">
        <f t="shared" si="5"/>
        <v>1</v>
      </c>
    </row>
    <row r="22" spans="1:29" ht="20.25">
      <c r="A22" s="532"/>
      <c r="B22" s="566"/>
      <c r="C22" s="554"/>
      <c r="D22" s="557"/>
      <c r="E22" s="558"/>
      <c r="F22" s="555"/>
      <c r="G22" s="556"/>
      <c r="H22" s="555"/>
      <c r="I22" s="558"/>
      <c r="J22" s="555"/>
      <c r="K22" s="531"/>
      <c r="L22" s="2118"/>
      <c r="M22" s="2108"/>
      <c r="N22" s="2108"/>
      <c r="O22" s="2117"/>
      <c r="P22" s="3792"/>
      <c r="Q22" s="1549"/>
      <c r="R22" s="1550"/>
      <c r="S22" s="1551"/>
      <c r="T22" s="1550"/>
      <c r="U22" s="1551"/>
      <c r="V22" s="1550"/>
      <c r="W22" s="1551"/>
      <c r="X22" s="1544"/>
      <c r="Y22" s="3792"/>
      <c r="Z22" s="1552"/>
      <c r="AA22" s="1553">
        <v>1</v>
      </c>
      <c r="AB22" s="1553">
        <v>1</v>
      </c>
      <c r="AC22" s="1553">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18"/>
      <c r="M23" s="2108"/>
      <c r="N23" s="2108"/>
      <c r="O23" s="2117"/>
      <c r="P23" s="3792"/>
      <c r="Q23" s="1549" t="str">
        <f>B23</f>
        <v>交通便捷度</v>
      </c>
      <c r="R23" s="1550" t="s">
        <v>8</v>
      </c>
      <c r="S23" s="1551">
        <f>F23</f>
        <v>100</v>
      </c>
      <c r="T23" s="1550" t="s">
        <v>8</v>
      </c>
      <c r="U23" s="1551">
        <f>H23</f>
        <v>100</v>
      </c>
      <c r="V23" s="1550" t="s">
        <v>8</v>
      </c>
      <c r="W23" s="1551">
        <f>J23</f>
        <v>100</v>
      </c>
      <c r="X23" s="1544"/>
      <c r="Y23" s="3792"/>
      <c r="Z23" s="1552" t="str">
        <f>Q23</f>
        <v>交通便捷度</v>
      </c>
      <c r="AA23" s="1553">
        <f t="shared" si="3"/>
        <v>1</v>
      </c>
      <c r="AB23" s="1553">
        <f t="shared" si="4"/>
        <v>1</v>
      </c>
      <c r="AC23" s="1553">
        <f t="shared" si="5"/>
        <v>1</v>
      </c>
    </row>
    <row r="24" spans="1:29" ht="20.25">
      <c r="A24" s="532"/>
      <c r="B24" s="578"/>
      <c r="C24" s="554"/>
      <c r="D24" s="557"/>
      <c r="E24" s="558"/>
      <c r="F24" s="555"/>
      <c r="G24" s="556"/>
      <c r="H24" s="555"/>
      <c r="I24" s="558"/>
      <c r="J24" s="555"/>
      <c r="K24" s="531"/>
      <c r="L24" s="2118"/>
      <c r="M24" s="2108"/>
      <c r="N24" s="2108"/>
      <c r="O24" s="2117"/>
      <c r="P24" s="3792"/>
      <c r="Q24" s="1549"/>
      <c r="R24" s="1550"/>
      <c r="S24" s="1551"/>
      <c r="T24" s="1550"/>
      <c r="U24" s="1551"/>
      <c r="V24" s="1550"/>
      <c r="W24" s="1551"/>
      <c r="X24" s="1544"/>
      <c r="Y24" s="3792"/>
      <c r="Z24" s="1552"/>
      <c r="AA24" s="1553">
        <v>1</v>
      </c>
      <c r="AB24" s="1553">
        <v>1</v>
      </c>
      <c r="AC24" s="1553">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18"/>
      <c r="M25" s="2108"/>
      <c r="N25" s="2108"/>
      <c r="O25" s="2117"/>
      <c r="P25" s="3792"/>
      <c r="Q25" s="1549" t="str">
        <f t="shared" ref="Q25:Q39" si="8">B25</f>
        <v>区域土地利用方向</v>
      </c>
      <c r="R25" s="1550" t="s">
        <v>8</v>
      </c>
      <c r="S25" s="1551">
        <f>F25</f>
        <v>100</v>
      </c>
      <c r="T25" s="1550" t="s">
        <v>8</v>
      </c>
      <c r="U25" s="1551">
        <f>H25</f>
        <v>100</v>
      </c>
      <c r="V25" s="1550" t="s">
        <v>8</v>
      </c>
      <c r="W25" s="1551">
        <f>J25</f>
        <v>100</v>
      </c>
      <c r="X25" s="1544"/>
      <c r="Y25" s="3792"/>
      <c r="Z25" s="1552" t="str">
        <f>Q25</f>
        <v>区域土地利用方向</v>
      </c>
      <c r="AA25" s="1553">
        <f t="shared" si="3"/>
        <v>1</v>
      </c>
      <c r="AB25" s="1553">
        <f t="shared" si="4"/>
        <v>1</v>
      </c>
      <c r="AC25" s="1553">
        <f t="shared" si="5"/>
        <v>1</v>
      </c>
    </row>
    <row r="26" spans="1:29" ht="20.25">
      <c r="A26" s="515"/>
      <c r="B26" s="998"/>
      <c r="C26" s="554"/>
      <c r="D26" s="557"/>
      <c r="E26" s="558"/>
      <c r="F26" s="555"/>
      <c r="G26" s="556"/>
      <c r="H26" s="555"/>
      <c r="I26" s="558"/>
      <c r="J26" s="555"/>
      <c r="K26" s="531"/>
      <c r="L26" s="2118"/>
      <c r="M26" s="2108"/>
      <c r="N26" s="2108"/>
      <c r="O26" s="2117"/>
      <c r="P26" s="3792"/>
      <c r="Q26" s="1549"/>
      <c r="R26" s="1550"/>
      <c r="S26" s="1551"/>
      <c r="T26" s="1550"/>
      <c r="U26" s="1551"/>
      <c r="V26" s="1550"/>
      <c r="W26" s="1551"/>
      <c r="X26" s="1544"/>
      <c r="Y26" s="3792"/>
      <c r="Z26" s="1552"/>
      <c r="AA26" s="1553"/>
      <c r="AB26" s="1553"/>
      <c r="AC26" s="1553"/>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18"/>
      <c r="M27" s="2108"/>
      <c r="N27" s="2108"/>
      <c r="O27" s="2117"/>
      <c r="P27" s="3792"/>
      <c r="Q27" s="1549" t="str">
        <f t="shared" si="8"/>
        <v>自然及人文环境状况</v>
      </c>
      <c r="R27" s="1550" t="s">
        <v>8</v>
      </c>
      <c r="S27" s="1551">
        <f>F27</f>
        <v>100</v>
      </c>
      <c r="T27" s="1550" t="s">
        <v>8</v>
      </c>
      <c r="U27" s="1551">
        <f>H27</f>
        <v>100</v>
      </c>
      <c r="V27" s="1550" t="s">
        <v>8</v>
      </c>
      <c r="W27" s="1551">
        <f>J27</f>
        <v>100</v>
      </c>
      <c r="X27" s="1544"/>
      <c r="Y27" s="3792"/>
      <c r="Z27" s="1552" t="str">
        <f>Q27</f>
        <v>自然及人文环境状况</v>
      </c>
      <c r="AA27" s="1553">
        <f t="shared" si="3"/>
        <v>1</v>
      </c>
      <c r="AB27" s="1553">
        <f t="shared" si="4"/>
        <v>1</v>
      </c>
      <c r="AC27" s="1553">
        <f t="shared" si="5"/>
        <v>1</v>
      </c>
    </row>
    <row r="28" spans="1:29" ht="20.25">
      <c r="A28" s="515"/>
      <c r="B28" s="566"/>
      <c r="C28" s="554"/>
      <c r="D28" s="557"/>
      <c r="E28" s="576"/>
      <c r="F28" s="555"/>
      <c r="G28" s="554"/>
      <c r="H28" s="555"/>
      <c r="I28" s="576"/>
      <c r="J28" s="555"/>
      <c r="K28" s="531"/>
      <c r="L28" s="2118"/>
      <c r="M28" s="2108"/>
      <c r="N28" s="2108"/>
      <c r="O28" s="2117"/>
      <c r="P28" s="3792"/>
      <c r="Q28" s="1549"/>
      <c r="R28" s="1550"/>
      <c r="S28" s="1551"/>
      <c r="T28" s="1550"/>
      <c r="U28" s="1551"/>
      <c r="V28" s="1550"/>
      <c r="W28" s="1551"/>
      <c r="X28" s="1544"/>
      <c r="Y28" s="3792"/>
      <c r="Z28" s="1552"/>
      <c r="AA28" s="1553">
        <v>1</v>
      </c>
      <c r="AB28" s="1553">
        <v>1</v>
      </c>
      <c r="AC28" s="1553">
        <v>1</v>
      </c>
    </row>
    <row r="29" spans="1:29" s="1206" customFormat="1" ht="42.75">
      <c r="A29" s="577"/>
      <c r="B29" s="2530" t="s">
        <v>2523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1"/>
      <c r="M29" s="2108"/>
      <c r="N29" s="2108"/>
      <c r="O29" s="2113"/>
      <c r="P29" s="3792"/>
      <c r="Q29" s="1138" t="str">
        <f t="shared" si="8"/>
        <v>公共配套设施</v>
      </c>
      <c r="R29" s="1545" t="s">
        <v>8</v>
      </c>
      <c r="S29" s="1546">
        <f>F29</f>
        <v>100</v>
      </c>
      <c r="T29" s="1545" t="s">
        <v>8</v>
      </c>
      <c r="U29" s="1546">
        <f>H29</f>
        <v>100</v>
      </c>
      <c r="V29" s="1545" t="s">
        <v>8</v>
      </c>
      <c r="W29" s="1546">
        <f>J29</f>
        <v>100</v>
      </c>
      <c r="X29" s="1547"/>
      <c r="Y29" s="3792"/>
      <c r="Z29" s="1137" t="str">
        <f>Q29</f>
        <v>公共配套设施</v>
      </c>
      <c r="AA29" s="1553">
        <f>D29/F29</f>
        <v>1</v>
      </c>
      <c r="AB29" s="1553">
        <f>D29/H29</f>
        <v>1</v>
      </c>
      <c r="AC29" s="1553">
        <f>D29/J29</f>
        <v>1</v>
      </c>
    </row>
    <row r="30" spans="1:29" s="1206" customFormat="1" ht="20.25">
      <c r="A30" s="577"/>
      <c r="B30" s="566"/>
      <c r="C30" s="579"/>
      <c r="D30" s="557"/>
      <c r="E30" s="576"/>
      <c r="F30" s="555"/>
      <c r="G30" s="554"/>
      <c r="H30" s="555"/>
      <c r="I30" s="576"/>
      <c r="J30" s="555"/>
      <c r="K30" s="531"/>
      <c r="L30" s="2111"/>
      <c r="M30" s="2108"/>
      <c r="N30" s="2108"/>
      <c r="O30" s="2113"/>
      <c r="P30" s="3792"/>
      <c r="Q30" s="1138"/>
      <c r="R30" s="1545"/>
      <c r="S30" s="1546"/>
      <c r="T30" s="1545"/>
      <c r="U30" s="1546"/>
      <c r="V30" s="1545"/>
      <c r="W30" s="1546"/>
      <c r="X30" s="1547"/>
      <c r="Y30" s="3792"/>
      <c r="Z30" s="1137"/>
      <c r="AA30" s="1553">
        <v>1</v>
      </c>
      <c r="AB30" s="1553">
        <v>1</v>
      </c>
      <c r="AC30" s="1553">
        <v>1</v>
      </c>
    </row>
    <row r="31" spans="1:29" s="1206" customFormat="1" ht="28.5">
      <c r="A31" s="577"/>
      <c r="B31" s="2530" t="s">
        <v>2524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1"/>
      <c r="M31" s="2108"/>
      <c r="N31" s="2108"/>
      <c r="O31" s="2113"/>
      <c r="P31" s="3792"/>
      <c r="Q31" s="2517" t="str">
        <f t="shared" ref="Q31" si="9">B31</f>
        <v>基础设施水平</v>
      </c>
      <c r="R31" s="1545" t="s">
        <v>8</v>
      </c>
      <c r="S31" s="1546">
        <f>F31</f>
        <v>100</v>
      </c>
      <c r="T31" s="1545" t="s">
        <v>8</v>
      </c>
      <c r="U31" s="1546">
        <f>H31</f>
        <v>100</v>
      </c>
      <c r="V31" s="1545" t="s">
        <v>8</v>
      </c>
      <c r="W31" s="1546">
        <f>J31</f>
        <v>100</v>
      </c>
      <c r="X31" s="1547"/>
      <c r="Y31" s="3792"/>
      <c r="Z31" s="2514" t="str">
        <f>Q31</f>
        <v>基础设施水平</v>
      </c>
      <c r="AA31" s="1553">
        <f>D31/F31</f>
        <v>1</v>
      </c>
      <c r="AB31" s="1553">
        <f>D31/H31</f>
        <v>1</v>
      </c>
      <c r="AC31" s="1553">
        <f>D31/J31</f>
        <v>1</v>
      </c>
    </row>
    <row r="32" spans="1:29" s="1206" customFormat="1" ht="20.25">
      <c r="A32" s="577"/>
      <c r="B32" s="566"/>
      <c r="C32" s="579"/>
      <c r="D32" s="557"/>
      <c r="E32" s="2531"/>
      <c r="F32" s="555"/>
      <c r="G32" s="579"/>
      <c r="H32" s="555"/>
      <c r="I32" s="579"/>
      <c r="J32" s="555"/>
      <c r="K32" s="531"/>
      <c r="L32" s="2111"/>
      <c r="M32" s="2108"/>
      <c r="N32" s="2108"/>
      <c r="O32" s="2113"/>
      <c r="P32" s="3792"/>
      <c r="Q32" s="2517"/>
      <c r="R32" s="1545"/>
      <c r="S32" s="1546"/>
      <c r="T32" s="1545"/>
      <c r="U32" s="1546"/>
      <c r="V32" s="1545"/>
      <c r="W32" s="1546"/>
      <c r="X32" s="1547"/>
      <c r="Y32" s="3792"/>
      <c r="Z32" s="2514"/>
      <c r="AA32" s="1553">
        <v>1</v>
      </c>
      <c r="AB32" s="1553">
        <v>1</v>
      </c>
      <c r="AC32" s="1553">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18"/>
      <c r="M33" s="2108"/>
      <c r="N33" s="2108"/>
      <c r="O33" s="2117"/>
      <c r="P33" s="3792"/>
      <c r="Q33" s="1549" t="str">
        <f t="shared" si="8"/>
        <v>临街状况</v>
      </c>
      <c r="R33" s="1550" t="s">
        <v>8</v>
      </c>
      <c r="S33" s="1551">
        <f t="shared" ref="S33:S47" si="10">F33</f>
        <v>100</v>
      </c>
      <c r="T33" s="1550" t="s">
        <v>8</v>
      </c>
      <c r="U33" s="1551">
        <f t="shared" ref="U33:U47" si="11">H33</f>
        <v>100</v>
      </c>
      <c r="V33" s="1550" t="s">
        <v>8</v>
      </c>
      <c r="W33" s="1551">
        <f t="shared" ref="W33:W47" si="12">J33</f>
        <v>100</v>
      </c>
      <c r="X33" s="1544"/>
      <c r="Y33" s="3792"/>
      <c r="Z33" s="1552" t="str">
        <f t="shared" ref="Z33:Z47" si="13">Q33</f>
        <v>临街状况</v>
      </c>
      <c r="AA33" s="1553">
        <f t="shared" si="3"/>
        <v>1</v>
      </c>
      <c r="AB33" s="1553">
        <f t="shared" si="4"/>
        <v>1</v>
      </c>
      <c r="AC33" s="1553">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18"/>
      <c r="M34" s="2108"/>
      <c r="N34" s="2108"/>
      <c r="O34" s="2117"/>
      <c r="P34" s="3792"/>
      <c r="Q34" s="1549" t="str">
        <f t="shared" si="8"/>
        <v>毗邻道路的类型与等级</v>
      </c>
      <c r="R34" s="1550" t="s">
        <v>8</v>
      </c>
      <c r="S34" s="1551">
        <f t="shared" si="10"/>
        <v>100</v>
      </c>
      <c r="T34" s="1550" t="s">
        <v>8</v>
      </c>
      <c r="U34" s="1551">
        <f t="shared" si="11"/>
        <v>100</v>
      </c>
      <c r="V34" s="1550" t="s">
        <v>8</v>
      </c>
      <c r="W34" s="1551">
        <f t="shared" si="12"/>
        <v>100</v>
      </c>
      <c r="X34" s="1544"/>
      <c r="Y34" s="3792"/>
      <c r="Z34" s="1552" t="str">
        <f t="shared" si="13"/>
        <v>毗邻道路的类型与等级</v>
      </c>
      <c r="AA34" s="1553">
        <f t="shared" si="3"/>
        <v>1</v>
      </c>
      <c r="AB34" s="1553">
        <f t="shared" si="4"/>
        <v>1</v>
      </c>
      <c r="AC34" s="1553">
        <f t="shared" si="5"/>
        <v>1</v>
      </c>
    </row>
    <row r="35" spans="1:29" ht="20.25">
      <c r="A35" s="532"/>
      <c r="B35" s="566"/>
      <c r="C35" s="554"/>
      <c r="D35" s="557"/>
      <c r="E35" s="576"/>
      <c r="F35" s="555"/>
      <c r="G35" s="554"/>
      <c r="H35" s="555"/>
      <c r="I35" s="576"/>
      <c r="J35" s="555"/>
      <c r="K35" s="581"/>
      <c r="L35" s="2118"/>
      <c r="M35" s="2108"/>
      <c r="N35" s="2108"/>
      <c r="O35" s="2117"/>
      <c r="P35" s="3792"/>
      <c r="Q35" s="1549"/>
      <c r="R35" s="1550"/>
      <c r="S35" s="1551"/>
      <c r="T35" s="1550"/>
      <c r="U35" s="1551"/>
      <c r="V35" s="1550"/>
      <c r="W35" s="1551"/>
      <c r="X35" s="1544"/>
      <c r="Y35" s="3792"/>
      <c r="Z35" s="1552"/>
      <c r="AA35" s="1553">
        <v>1</v>
      </c>
      <c r="AB35" s="1553">
        <v>1</v>
      </c>
      <c r="AC35" s="1553">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18"/>
      <c r="M36" s="2108"/>
      <c r="N36" s="2108"/>
      <c r="O36" s="2117"/>
      <c r="P36" s="3792"/>
      <c r="Q36" s="1549" t="str">
        <f t="shared" si="8"/>
        <v>土地级别</v>
      </c>
      <c r="R36" s="1550" t="s">
        <v>8</v>
      </c>
      <c r="S36" s="1551">
        <f t="shared" si="10"/>
        <v>100</v>
      </c>
      <c r="T36" s="1550" t="s">
        <v>8</v>
      </c>
      <c r="U36" s="1551">
        <f t="shared" si="11"/>
        <v>100</v>
      </c>
      <c r="V36" s="1550" t="s">
        <v>8</v>
      </c>
      <c r="W36" s="1551">
        <f t="shared" si="12"/>
        <v>100</v>
      </c>
      <c r="X36" s="1544"/>
      <c r="Y36" s="3792"/>
      <c r="Z36" s="1552" t="str">
        <f t="shared" si="13"/>
        <v>土地级别</v>
      </c>
      <c r="AA36" s="1553">
        <f t="shared" si="3"/>
        <v>1</v>
      </c>
      <c r="AB36" s="1553">
        <f t="shared" si="4"/>
        <v>1</v>
      </c>
      <c r="AC36" s="155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18"/>
      <c r="M37" s="2108"/>
      <c r="N37" s="2108"/>
      <c r="O37" s="2117"/>
      <c r="P37" s="3792"/>
      <c r="Q37" s="1549">
        <f t="shared" si="8"/>
        <v>111</v>
      </c>
      <c r="R37" s="1550" t="s">
        <v>8</v>
      </c>
      <c r="S37" s="1551">
        <f t="shared" si="10"/>
        <v>100</v>
      </c>
      <c r="T37" s="1550" t="s">
        <v>8</v>
      </c>
      <c r="U37" s="1551">
        <f t="shared" si="11"/>
        <v>100</v>
      </c>
      <c r="V37" s="1550" t="s">
        <v>8</v>
      </c>
      <c r="W37" s="1551">
        <f t="shared" si="12"/>
        <v>100</v>
      </c>
      <c r="X37" s="1544"/>
      <c r="Y37" s="3792"/>
      <c r="Z37" s="1552">
        <f t="shared" si="13"/>
        <v>111</v>
      </c>
      <c r="AA37" s="1553">
        <f t="shared" si="3"/>
        <v>1</v>
      </c>
      <c r="AB37" s="1553">
        <f t="shared" si="4"/>
        <v>1</v>
      </c>
      <c r="AC37" s="155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18"/>
      <c r="M38" s="2108"/>
      <c r="N38" s="2108"/>
      <c r="O38" s="2117"/>
      <c r="P38" s="3793" t="s">
        <v>549</v>
      </c>
      <c r="Q38" s="1549">
        <f t="shared" si="8"/>
        <v>111</v>
      </c>
      <c r="R38" s="1550" t="s">
        <v>8</v>
      </c>
      <c r="S38" s="1551">
        <f t="shared" si="10"/>
        <v>100</v>
      </c>
      <c r="T38" s="1550" t="s">
        <v>8</v>
      </c>
      <c r="U38" s="1551">
        <f t="shared" si="11"/>
        <v>100</v>
      </c>
      <c r="V38" s="1550" t="s">
        <v>8</v>
      </c>
      <c r="W38" s="1551">
        <f t="shared" si="12"/>
        <v>100</v>
      </c>
      <c r="X38" s="1544"/>
      <c r="Y38" s="3794" t="s">
        <v>549</v>
      </c>
      <c r="Z38" s="1552">
        <f t="shared" si="13"/>
        <v>111</v>
      </c>
      <c r="AA38" s="1553">
        <f t="shared" si="3"/>
        <v>1</v>
      </c>
      <c r="AB38" s="1553">
        <f t="shared" si="4"/>
        <v>1</v>
      </c>
      <c r="AC38" s="1553">
        <f t="shared" si="5"/>
        <v>1</v>
      </c>
    </row>
    <row r="39" spans="1:29" s="132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16"/>
      <c r="M39" s="2108"/>
      <c r="N39" s="2108"/>
      <c r="O39" s="2119"/>
      <c r="P39" s="3794"/>
      <c r="Q39" s="1549">
        <f t="shared" si="8"/>
        <v>111</v>
      </c>
      <c r="R39" s="1554" t="s">
        <v>8</v>
      </c>
      <c r="S39" s="1555">
        <f t="shared" si="10"/>
        <v>100</v>
      </c>
      <c r="T39" s="1554" t="s">
        <v>8</v>
      </c>
      <c r="U39" s="1555">
        <f t="shared" si="11"/>
        <v>100</v>
      </c>
      <c r="V39" s="1554" t="s">
        <v>8</v>
      </c>
      <c r="W39" s="1555">
        <f t="shared" si="12"/>
        <v>100</v>
      </c>
      <c r="X39" s="1556"/>
      <c r="Y39" s="3794"/>
      <c r="Z39" s="1557">
        <f t="shared" si="13"/>
        <v>111</v>
      </c>
      <c r="AA39" s="1553">
        <f t="shared" si="3"/>
        <v>1</v>
      </c>
      <c r="AB39" s="1553">
        <f t="shared" si="4"/>
        <v>1</v>
      </c>
      <c r="AC39" s="1553">
        <f t="shared" si="5"/>
        <v>1</v>
      </c>
    </row>
    <row r="40" spans="1:29" ht="20.25">
      <c r="A40" s="2837" t="s">
        <v>2729</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18"/>
      <c r="M40" s="2108"/>
      <c r="N40" s="2108"/>
      <c r="O40" s="2117"/>
      <c r="P40" s="3794"/>
      <c r="Q40" s="1549" t="str">
        <f>B40</f>
        <v>宗地面积</v>
      </c>
      <c r="R40" s="1550" t="s">
        <v>8</v>
      </c>
      <c r="S40" s="1551" t="e">
        <f t="shared" si="10"/>
        <v>#N/A</v>
      </c>
      <c r="T40" s="1550" t="s">
        <v>8</v>
      </c>
      <c r="U40" s="1551" t="e">
        <f t="shared" si="11"/>
        <v>#N/A</v>
      </c>
      <c r="V40" s="1550" t="s">
        <v>8</v>
      </c>
      <c r="W40" s="1551" t="e">
        <f t="shared" si="12"/>
        <v>#N/A</v>
      </c>
      <c r="X40" s="1544"/>
      <c r="Y40" s="3794"/>
      <c r="Z40" s="1552" t="str">
        <f t="shared" si="13"/>
        <v>宗地面积</v>
      </c>
      <c r="AA40" s="1553" t="e">
        <f t="shared" si="3"/>
        <v>#N/A</v>
      </c>
      <c r="AB40" s="1553" t="e">
        <f t="shared" si="4"/>
        <v>#N/A</v>
      </c>
      <c r="AC40" s="1553" t="e">
        <f t="shared" si="5"/>
        <v>#N/A</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18"/>
      <c r="M41" s="2108"/>
      <c r="N41" s="2108"/>
      <c r="O41" s="2117"/>
      <c r="P41" s="3794"/>
      <c r="Q41" s="1549" t="str">
        <f t="shared" ref="Q41:Q47" si="14">B41</f>
        <v>宗地形状</v>
      </c>
      <c r="R41" s="1550" t="s">
        <v>8</v>
      </c>
      <c r="S41" s="1551">
        <f t="shared" si="10"/>
        <v>100</v>
      </c>
      <c r="T41" s="1550" t="s">
        <v>8</v>
      </c>
      <c r="U41" s="1551">
        <f t="shared" si="11"/>
        <v>100</v>
      </c>
      <c r="V41" s="1550" t="s">
        <v>8</v>
      </c>
      <c r="W41" s="1551">
        <f t="shared" si="12"/>
        <v>100</v>
      </c>
      <c r="X41" s="1544"/>
      <c r="Y41" s="3794"/>
      <c r="Z41" s="1552" t="str">
        <f t="shared" si="13"/>
        <v>宗地形状</v>
      </c>
      <c r="AA41" s="1553">
        <f t="shared" si="3"/>
        <v>1</v>
      </c>
      <c r="AB41" s="1553">
        <f t="shared" si="4"/>
        <v>1</v>
      </c>
      <c r="AC41" s="1553">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18"/>
      <c r="M42" s="2108"/>
      <c r="N42" s="2108"/>
      <c r="O42" s="2117"/>
      <c r="P42" s="3794"/>
      <c r="Q42" s="1549" t="str">
        <f t="shared" si="14"/>
        <v>临街宽度及深度</v>
      </c>
      <c r="R42" s="1550" t="s">
        <v>8</v>
      </c>
      <c r="S42" s="1551">
        <f t="shared" si="10"/>
        <v>100</v>
      </c>
      <c r="T42" s="1550" t="s">
        <v>8</v>
      </c>
      <c r="U42" s="1551">
        <f t="shared" si="11"/>
        <v>100</v>
      </c>
      <c r="V42" s="1550" t="s">
        <v>8</v>
      </c>
      <c r="W42" s="1551">
        <f t="shared" si="12"/>
        <v>100</v>
      </c>
      <c r="X42" s="1544"/>
      <c r="Y42" s="3794"/>
      <c r="Z42" s="1552" t="str">
        <f t="shared" si="13"/>
        <v>临街宽度及深度</v>
      </c>
      <c r="AA42" s="1553">
        <f t="shared" si="3"/>
        <v>1</v>
      </c>
      <c r="AB42" s="1553">
        <f t="shared" si="4"/>
        <v>1</v>
      </c>
      <c r="AC42" s="1553">
        <f t="shared" si="5"/>
        <v>1</v>
      </c>
    </row>
    <row r="43" spans="1:29" s="1206" customFormat="1" ht="20.25">
      <c r="A43" s="600"/>
      <c r="B43" s="1871" t="s">
        <v>2399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1"/>
      <c r="M43" s="2108"/>
      <c r="N43" s="2108"/>
      <c r="O43" s="2113"/>
      <c r="P43" s="3794"/>
      <c r="Q43" s="1549" t="str">
        <f t="shared" si="14"/>
        <v>宗地开发程度</v>
      </c>
      <c r="R43" s="1545" t="s">
        <v>8</v>
      </c>
      <c r="S43" s="1546">
        <f t="shared" si="10"/>
        <v>100</v>
      </c>
      <c r="T43" s="1545" t="s">
        <v>8</v>
      </c>
      <c r="U43" s="1546">
        <f t="shared" si="11"/>
        <v>100</v>
      </c>
      <c r="V43" s="1545" t="s">
        <v>8</v>
      </c>
      <c r="W43" s="1546">
        <f t="shared" si="12"/>
        <v>100</v>
      </c>
      <c r="X43" s="1547"/>
      <c r="Y43" s="3794"/>
      <c r="Z43" s="1137" t="str">
        <f t="shared" si="13"/>
        <v>宗地开发程度</v>
      </c>
      <c r="AA43" s="1548">
        <f t="shared" si="3"/>
        <v>1</v>
      </c>
      <c r="AB43" s="1548">
        <f t="shared" si="4"/>
        <v>1</v>
      </c>
      <c r="AC43" s="1548">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18"/>
      <c r="M44" s="2108"/>
      <c r="N44" s="2108"/>
      <c r="O44" s="2117"/>
      <c r="P44" s="3794" t="s">
        <v>549</v>
      </c>
      <c r="Q44" s="1549" t="str">
        <f t="shared" si="14"/>
        <v>工程地质条件</v>
      </c>
      <c r="R44" s="1550" t="s">
        <v>8</v>
      </c>
      <c r="S44" s="1551">
        <f t="shared" si="10"/>
        <v>100</v>
      </c>
      <c r="T44" s="1550" t="s">
        <v>8</v>
      </c>
      <c r="U44" s="1551">
        <f t="shared" si="11"/>
        <v>100</v>
      </c>
      <c r="V44" s="1550" t="s">
        <v>8</v>
      </c>
      <c r="W44" s="1551">
        <f t="shared" si="12"/>
        <v>100</v>
      </c>
      <c r="X44" s="1544"/>
      <c r="Y44" s="3794" t="s">
        <v>549</v>
      </c>
      <c r="Z44" s="1552" t="str">
        <f t="shared" si="13"/>
        <v>工程地质条件</v>
      </c>
      <c r="AA44" s="1553">
        <f t="shared" si="3"/>
        <v>1</v>
      </c>
      <c r="AB44" s="1553">
        <f t="shared" si="4"/>
        <v>1</v>
      </c>
      <c r="AC44" s="155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18"/>
      <c r="M45" s="2108"/>
      <c r="N45" s="2108"/>
      <c r="O45" s="2117"/>
      <c r="P45" s="3794"/>
      <c r="Q45" s="1549">
        <f t="shared" si="14"/>
        <v>111</v>
      </c>
      <c r="R45" s="1550" t="s">
        <v>8</v>
      </c>
      <c r="S45" s="1551">
        <f t="shared" si="10"/>
        <v>100</v>
      </c>
      <c r="T45" s="1550" t="s">
        <v>8</v>
      </c>
      <c r="U45" s="1551">
        <f t="shared" si="11"/>
        <v>100</v>
      </c>
      <c r="V45" s="1550" t="s">
        <v>8</v>
      </c>
      <c r="W45" s="1551">
        <f t="shared" si="12"/>
        <v>100</v>
      </c>
      <c r="X45" s="1544"/>
      <c r="Y45" s="3794"/>
      <c r="Z45" s="1552">
        <f t="shared" si="13"/>
        <v>111</v>
      </c>
      <c r="AA45" s="1553">
        <f t="shared" si="3"/>
        <v>1</v>
      </c>
      <c r="AB45" s="1553">
        <f t="shared" si="4"/>
        <v>1</v>
      </c>
      <c r="AC45" s="155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18"/>
      <c r="M46" s="2108"/>
      <c r="N46" s="2108"/>
      <c r="O46" s="2117"/>
      <c r="P46" s="3794"/>
      <c r="Q46" s="1549">
        <f t="shared" si="14"/>
        <v>111</v>
      </c>
      <c r="R46" s="1550" t="s">
        <v>8</v>
      </c>
      <c r="S46" s="1551">
        <f t="shared" si="10"/>
        <v>100</v>
      </c>
      <c r="T46" s="1550" t="s">
        <v>8</v>
      </c>
      <c r="U46" s="1551">
        <f t="shared" si="11"/>
        <v>100</v>
      </c>
      <c r="V46" s="1550" t="s">
        <v>8</v>
      </c>
      <c r="W46" s="1551">
        <f t="shared" si="12"/>
        <v>100</v>
      </c>
      <c r="X46" s="1544"/>
      <c r="Y46" s="3794"/>
      <c r="Z46" s="1552">
        <f t="shared" si="13"/>
        <v>111</v>
      </c>
      <c r="AA46" s="1553">
        <f t="shared" si="3"/>
        <v>1</v>
      </c>
      <c r="AB46" s="1553">
        <f t="shared" si="4"/>
        <v>1</v>
      </c>
      <c r="AC46" s="1553">
        <f t="shared" si="5"/>
        <v>1</v>
      </c>
    </row>
    <row r="47" spans="1:29" s="132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16"/>
      <c r="M47" s="2108"/>
      <c r="N47" s="2108"/>
      <c r="O47" s="2119"/>
      <c r="P47" s="3794"/>
      <c r="Q47" s="1549">
        <f t="shared" si="14"/>
        <v>111</v>
      </c>
      <c r="R47" s="1554" t="s">
        <v>8</v>
      </c>
      <c r="S47" s="1555">
        <f t="shared" si="10"/>
        <v>100</v>
      </c>
      <c r="T47" s="1554" t="s">
        <v>8</v>
      </c>
      <c r="U47" s="1555">
        <f t="shared" si="11"/>
        <v>100</v>
      </c>
      <c r="V47" s="1554" t="s">
        <v>8</v>
      </c>
      <c r="W47" s="1555">
        <f t="shared" si="12"/>
        <v>100</v>
      </c>
      <c r="X47" s="1556"/>
      <c r="Y47" s="3794"/>
      <c r="Z47" s="1557">
        <f t="shared" si="13"/>
        <v>111</v>
      </c>
      <c r="AA47" s="1553">
        <f t="shared" si="3"/>
        <v>1</v>
      </c>
      <c r="AB47" s="1553">
        <f t="shared" si="4"/>
        <v>1</v>
      </c>
      <c r="AC47" s="1553">
        <f t="shared" si="5"/>
        <v>1</v>
      </c>
    </row>
    <row r="48" spans="1:29" ht="20.25">
      <c r="A48" s="607" t="s">
        <v>555</v>
      </c>
      <c r="B48" s="608" t="s">
        <v>2910</v>
      </c>
      <c r="C48" s="609" t="s">
        <v>1</v>
      </c>
      <c r="D48" s="610"/>
      <c r="E48" s="611"/>
      <c r="F48" s="612"/>
      <c r="G48" s="613"/>
      <c r="H48" s="614"/>
      <c r="I48" s="611"/>
      <c r="J48" s="614"/>
      <c r="K48" s="1326"/>
      <c r="L48" s="2120"/>
      <c r="M48" s="2108"/>
      <c r="N48" s="2108"/>
      <c r="O48" s="2121"/>
      <c r="P48" s="3789" t="str">
        <f>A48</f>
        <v>成交单价</v>
      </c>
      <c r="Q48" s="3789"/>
      <c r="R48" s="3803">
        <f>E48</f>
        <v>0</v>
      </c>
      <c r="S48" s="3803"/>
      <c r="T48" s="3803">
        <f>G48</f>
        <v>0</v>
      </c>
      <c r="U48" s="3803"/>
      <c r="V48" s="3803">
        <f>I48</f>
        <v>0</v>
      </c>
      <c r="W48" s="3803"/>
      <c r="X48" s="1536"/>
      <c r="Y48" s="1558"/>
      <c r="Z48" s="1536"/>
      <c r="AA48" s="1536"/>
      <c r="AB48" s="1536"/>
      <c r="AC48" s="1536"/>
    </row>
    <row r="49" spans="1:29" ht="21" thickBot="1">
      <c r="A49" s="615" t="s">
        <v>2667</v>
      </c>
      <c r="B49" s="616"/>
      <c r="C49" s="617" t="e">
        <f>R50</f>
        <v>#DIV/0!</v>
      </c>
      <c r="D49" s="618"/>
      <c r="E49" s="617" t="e">
        <f>R49</f>
        <v>#DIV/0!</v>
      </c>
      <c r="F49" s="619"/>
      <c r="G49" s="620" t="e">
        <f>T49</f>
        <v>#DIV/0!</v>
      </c>
      <c r="H49" s="618"/>
      <c r="I49" s="617" t="e">
        <f>V49</f>
        <v>#DIV/0!</v>
      </c>
      <c r="J49" s="618"/>
      <c r="K49" s="1327"/>
      <c r="L49" s="2120"/>
      <c r="M49" s="2108"/>
      <c r="N49" s="2108"/>
      <c r="O49" s="2121"/>
      <c r="P49" s="3789" t="str">
        <f>A49</f>
        <v>比较价格（元/平方米）</v>
      </c>
      <c r="Q49" s="3789"/>
      <c r="R49" s="3813" t="e">
        <f>ROUND(PRODUCT(R48,AA9:AA47),0)</f>
        <v>#DIV/0!</v>
      </c>
      <c r="S49" s="3813"/>
      <c r="T49" s="3813" t="e">
        <f>ROUND(PRODUCT(T48,AB9:AB47),0)</f>
        <v>#DIV/0!</v>
      </c>
      <c r="U49" s="3813"/>
      <c r="V49" s="3813" t="e">
        <f>ROUND(PRODUCT(V48,AC9:AC47),0)</f>
        <v>#DIV/0!</v>
      </c>
      <c r="W49" s="3813"/>
      <c r="X49" s="1536"/>
      <c r="Y49" s="1536"/>
      <c r="Z49" s="1536"/>
      <c r="AA49" s="1536"/>
      <c r="AB49" s="1536"/>
      <c r="AC49" s="1536"/>
    </row>
    <row r="50" spans="1:29" ht="21" thickBot="1">
      <c r="A50" s="621" t="s">
        <v>2911</v>
      </c>
      <c r="B50" s="622"/>
      <c r="C50" s="623" t="e">
        <f>R50</f>
        <v>#DIV/0!</v>
      </c>
      <c r="D50" s="623"/>
      <c r="E50" s="623"/>
      <c r="F50" s="623"/>
      <c r="G50" s="623"/>
      <c r="H50" s="623"/>
      <c r="I50" s="623"/>
      <c r="J50" s="623"/>
      <c r="K50" s="1328"/>
      <c r="L50" s="2120"/>
      <c r="M50" s="2108"/>
      <c r="N50" s="2108"/>
      <c r="O50" s="2121"/>
      <c r="P50" s="3810" t="str">
        <f>A50</f>
        <v>估价对象XX用房的比较价格（楼面单价，元/平方米）</v>
      </c>
      <c r="Q50" s="3811"/>
      <c r="R50" s="3812" t="e">
        <f>ROUND(AVERAGE(R49:V49),0)</f>
        <v>#DIV/0!</v>
      </c>
      <c r="S50" s="3812"/>
      <c r="T50" s="3812"/>
      <c r="U50" s="3812"/>
      <c r="V50" s="3812"/>
      <c r="W50" s="3812"/>
      <c r="X50" s="1536"/>
      <c r="Y50" s="1536"/>
      <c r="Z50" s="1536"/>
      <c r="AA50" s="1536"/>
      <c r="AB50" s="1536"/>
      <c r="AC50" s="1536"/>
    </row>
    <row r="51" spans="1:29" ht="20.25">
      <c r="A51" s="2121"/>
      <c r="B51" s="2121"/>
      <c r="C51" s="2121"/>
      <c r="D51" s="2121"/>
      <c r="E51" s="2121"/>
      <c r="F51" s="2121"/>
      <c r="G51" s="2124"/>
      <c r="H51" s="2121"/>
      <c r="I51" s="2121"/>
      <c r="J51" s="2121"/>
      <c r="K51" s="2125"/>
      <c r="L51" s="2126"/>
      <c r="M51" s="2108"/>
      <c r="N51" s="2108"/>
      <c r="O51" s="2121"/>
      <c r="P51" s="1536"/>
      <c r="Q51" s="2121"/>
      <c r="R51" s="2121"/>
      <c r="S51" s="2121"/>
      <c r="T51" s="2121"/>
      <c r="U51" s="2121"/>
      <c r="V51" s="2121"/>
      <c r="W51" s="2121"/>
      <c r="X51" s="2121"/>
      <c r="Y51" s="2121"/>
      <c r="Z51" s="2121"/>
      <c r="AA51" s="2121"/>
      <c r="AB51" s="2121"/>
      <c r="AC51" s="2121"/>
    </row>
    <row r="52" spans="1:29" ht="20.25">
      <c r="A52" s="2121"/>
      <c r="B52" s="2121"/>
      <c r="C52" s="2121"/>
      <c r="D52" s="2121"/>
      <c r="E52" s="2121"/>
      <c r="F52" s="2121"/>
      <c r="G52" s="2121"/>
      <c r="H52" s="2121"/>
      <c r="I52" s="2121"/>
      <c r="J52" s="2121"/>
      <c r="K52" s="2125"/>
      <c r="L52" s="2126"/>
      <c r="M52" s="2108"/>
      <c r="N52" s="2108"/>
      <c r="O52" s="2121"/>
      <c r="P52" s="1536"/>
      <c r="Q52" s="2121"/>
      <c r="R52" s="2121"/>
      <c r="S52" s="2121"/>
      <c r="T52" s="2121"/>
      <c r="U52" s="2121"/>
      <c r="V52" s="2121"/>
      <c r="W52" s="2121"/>
      <c r="X52" s="2121"/>
      <c r="Y52" s="2121"/>
      <c r="Z52" s="2121"/>
      <c r="AA52" s="2121"/>
      <c r="AB52" s="2121"/>
      <c r="AC52" s="2121"/>
    </row>
    <row r="53" spans="1:29" ht="13.5" customHeight="1">
      <c r="A53" s="2121"/>
      <c r="B53" s="2121"/>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25"/>
      <c r="L53" s="2126"/>
      <c r="M53" s="2108"/>
      <c r="N53" s="2108"/>
      <c r="O53" s="2121"/>
      <c r="P53" s="1536"/>
      <c r="Q53" s="2121"/>
      <c r="R53" s="2121"/>
      <c r="S53" s="2121"/>
      <c r="T53" s="2121"/>
      <c r="U53" s="2121"/>
      <c r="V53" s="2121"/>
      <c r="W53" s="2121"/>
      <c r="X53" s="2121"/>
      <c r="Y53" s="2121"/>
      <c r="Z53" s="2121"/>
      <c r="AA53" s="2121"/>
      <c r="AB53" s="2121"/>
      <c r="AC53" s="2121"/>
    </row>
    <row r="54" spans="1:29" ht="13.5" customHeight="1">
      <c r="A54" s="2121"/>
      <c r="B54" s="2121"/>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25"/>
      <c r="L54" s="2126"/>
      <c r="M54" s="2108"/>
      <c r="N54" s="2108"/>
      <c r="O54" s="2121"/>
      <c r="P54" s="1536"/>
      <c r="Q54" s="2121"/>
      <c r="R54" s="2121"/>
      <c r="S54" s="2121"/>
      <c r="T54" s="2121"/>
      <c r="U54" s="2121"/>
      <c r="V54" s="2121"/>
      <c r="W54" s="2121"/>
      <c r="X54" s="2121"/>
      <c r="Y54" s="2121"/>
      <c r="Z54" s="2121"/>
      <c r="AA54" s="2121"/>
      <c r="AB54" s="2121"/>
      <c r="AC54" s="2121"/>
    </row>
    <row r="55" spans="1:29" s="1331" customFormat="1" ht="13.5" customHeight="1">
      <c r="A55" s="2122"/>
      <c r="B55" s="2122"/>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28"/>
      <c r="L55" s="2129"/>
      <c r="M55" s="2108"/>
      <c r="N55" s="2108"/>
      <c r="O55" s="2122"/>
      <c r="P55" s="1534"/>
      <c r="Q55" s="2122"/>
      <c r="R55" s="2122"/>
      <c r="S55" s="2122"/>
      <c r="T55" s="2122"/>
      <c r="U55" s="2122"/>
      <c r="V55" s="2122"/>
      <c r="W55" s="2122"/>
      <c r="X55" s="2122"/>
      <c r="Y55" s="2122"/>
      <c r="Z55" s="2122"/>
      <c r="AA55" s="2122"/>
      <c r="AB55" s="2122"/>
      <c r="AC55" s="2122"/>
    </row>
    <row r="56" spans="1:29" s="1331" customFormat="1" ht="21" thickBot="1">
      <c r="A56" s="2122"/>
      <c r="B56" s="2123"/>
      <c r="C56" s="2127"/>
      <c r="D56" s="2122"/>
      <c r="E56" s="2122"/>
      <c r="F56" s="2122"/>
      <c r="G56" s="2122"/>
      <c r="H56" s="2122"/>
      <c r="I56" s="2122"/>
      <c r="J56" s="2122"/>
      <c r="K56" s="2128"/>
      <c r="L56" s="2129"/>
      <c r="M56" s="2108"/>
      <c r="N56" s="2108"/>
      <c r="O56" s="2122"/>
      <c r="P56" s="1534"/>
      <c r="Q56" s="2122"/>
      <c r="R56" s="2122"/>
      <c r="S56" s="2122"/>
      <c r="T56" s="2122"/>
      <c r="U56" s="2122"/>
      <c r="V56" s="2122"/>
      <c r="W56" s="2122"/>
      <c r="X56" s="2122"/>
      <c r="Y56" s="2122"/>
      <c r="Z56" s="2122"/>
      <c r="AA56" s="2122"/>
      <c r="AB56" s="2122"/>
      <c r="AC56" s="2122"/>
    </row>
    <row r="57" spans="1:29" ht="26.25" customHeight="1">
      <c r="A57" s="629" t="s">
        <v>559</v>
      </c>
      <c r="B57" s="630" t="s">
        <v>560</v>
      </c>
      <c r="C57" s="1537" t="s">
        <v>1702</v>
      </c>
      <c r="D57" s="2188" t="s">
        <v>2268</v>
      </c>
      <c r="E57" s="631" t="s">
        <v>561</v>
      </c>
      <c r="F57" s="632" t="s">
        <v>562</v>
      </c>
      <c r="G57" s="3773" t="s">
        <v>2257</v>
      </c>
      <c r="H57" s="3774"/>
      <c r="I57" s="1532" t="s">
        <v>1700</v>
      </c>
      <c r="J57" s="1532" t="str">
        <f>项目基本情况!F41</f>
        <v>雄安新区</v>
      </c>
      <c r="K57" s="2130" t="s">
        <v>1701</v>
      </c>
      <c r="L57" s="2126"/>
      <c r="M57" s="2121"/>
      <c r="N57" s="2121"/>
      <c r="O57" s="2121"/>
      <c r="P57" s="2121"/>
      <c r="Q57" s="2121"/>
      <c r="R57" s="2121"/>
      <c r="S57" s="2121"/>
      <c r="T57" s="2121"/>
      <c r="U57" s="2121"/>
      <c r="V57" s="2121"/>
      <c r="W57" s="2121"/>
      <c r="X57" s="2121"/>
      <c r="Y57" s="2121"/>
      <c r="Z57" s="2121"/>
      <c r="AA57" s="2121"/>
      <c r="AB57" s="2121"/>
      <c r="AC57" s="2121"/>
    </row>
    <row r="58" spans="1:29" s="1332" customFormat="1" ht="12.75">
      <c r="A58" s="633" t="s">
        <v>563</v>
      </c>
      <c r="B58" s="634" t="e">
        <f>C50</f>
        <v>#DIV/0!</v>
      </c>
      <c r="C58" s="635">
        <v>1</v>
      </c>
      <c r="D58" s="2189">
        <v>1</v>
      </c>
      <c r="E58" s="635">
        <f>'数据-汇总表'!E8+'数据-汇总表'!E9</f>
        <v>556650.11</v>
      </c>
      <c r="F58" s="636" t="e">
        <f t="shared" ref="F58:F67" si="15">ROUND(B58*E58/10000,0)</f>
        <v>#DIV/0!</v>
      </c>
      <c r="G58" s="3775"/>
      <c r="H58" s="3776"/>
      <c r="I58" s="1533">
        <v>1</v>
      </c>
      <c r="J58" s="1533">
        <v>1</v>
      </c>
      <c r="K58" s="2131"/>
      <c r="L58" s="2131"/>
      <c r="M58" s="2131"/>
      <c r="N58" s="2131"/>
      <c r="O58" s="2131"/>
      <c r="P58" s="2131"/>
      <c r="Q58" s="2131"/>
      <c r="R58" s="2131"/>
      <c r="S58" s="2131"/>
      <c r="T58" s="2131"/>
      <c r="U58" s="2131"/>
      <c r="V58" s="2131"/>
      <c r="W58" s="2131"/>
      <c r="X58" s="2131"/>
      <c r="Y58" s="2131"/>
      <c r="Z58" s="2131"/>
      <c r="AA58" s="2131"/>
      <c r="AB58" s="2131"/>
      <c r="AC58" s="2131"/>
    </row>
    <row r="59" spans="1:29" s="1332" customFormat="1" ht="12.75">
      <c r="A59" s="637" t="s">
        <v>564</v>
      </c>
      <c r="B59" s="638" t="e">
        <f>ROUND($C$50*C59*D59,0)</f>
        <v>#DIV/0!</v>
      </c>
      <c r="C59" s="378">
        <f t="shared" ref="C59:C67" si="16">IF($C$57="北京市系数",I59,J59)</f>
        <v>0</v>
      </c>
      <c r="D59" s="2190">
        <v>0.25</v>
      </c>
      <c r="E59" s="639">
        <v>0</v>
      </c>
      <c r="F59" s="636" t="e">
        <f t="shared" si="15"/>
        <v>#DIV/0!</v>
      </c>
      <c r="G59" s="3777" t="s">
        <v>2258</v>
      </c>
      <c r="H59" s="1924">
        <f>项目基本情况!B43</f>
        <v>0</v>
      </c>
      <c r="I59" s="1533">
        <f>SUMIF(修正!$A$45:$A$56,H59,修正!B45:B56)</f>
        <v>0</v>
      </c>
      <c r="J59" s="1535"/>
      <c r="K59" s="2131"/>
      <c r="L59" s="2131"/>
      <c r="M59" s="2131"/>
      <c r="N59" s="2131"/>
      <c r="O59" s="2131"/>
      <c r="P59" s="2131"/>
      <c r="Q59" s="2131"/>
      <c r="R59" s="2131"/>
      <c r="S59" s="2131"/>
      <c r="T59" s="2131"/>
      <c r="U59" s="2131"/>
      <c r="V59" s="2131"/>
      <c r="W59" s="2131"/>
      <c r="X59" s="2131"/>
      <c r="Y59" s="2131"/>
      <c r="Z59" s="2131"/>
      <c r="AA59" s="2131"/>
      <c r="AB59" s="2131"/>
      <c r="AC59" s="2131"/>
    </row>
    <row r="60" spans="1:29" s="1332" customFormat="1" ht="12.75">
      <c r="A60" s="637" t="s">
        <v>565</v>
      </c>
      <c r="B60" s="638" t="e">
        <f t="shared" ref="B60:B67" si="17">ROUND($C$50*C60*D60,0)</f>
        <v>#DIV/0!</v>
      </c>
      <c r="C60" s="378">
        <f t="shared" si="16"/>
        <v>0</v>
      </c>
      <c r="D60" s="2190">
        <v>0.25</v>
      </c>
      <c r="E60" s="639">
        <v>0</v>
      </c>
      <c r="F60" s="636" t="e">
        <f t="shared" si="15"/>
        <v>#DIV/0!</v>
      </c>
      <c r="G60" s="3777"/>
      <c r="H60" s="1924">
        <f>项目基本情况!B43</f>
        <v>0</v>
      </c>
      <c r="I60" s="1533">
        <f>SUMIF(修正!$A$45:$A$56,H60,修正!C45:C56)</f>
        <v>0</v>
      </c>
      <c r="J60" s="1535"/>
      <c r="K60" s="2131"/>
      <c r="L60" s="2131"/>
      <c r="M60" s="2131"/>
      <c r="N60" s="2131"/>
      <c r="O60" s="2131"/>
      <c r="P60" s="2131"/>
      <c r="Q60" s="2131"/>
      <c r="R60" s="2131"/>
      <c r="S60" s="2131"/>
      <c r="T60" s="2131"/>
      <c r="U60" s="2131"/>
      <c r="V60" s="2131"/>
      <c r="W60" s="2131"/>
      <c r="X60" s="2131"/>
      <c r="Y60" s="2131"/>
      <c r="Z60" s="2131"/>
      <c r="AA60" s="2131"/>
      <c r="AB60" s="2131"/>
      <c r="AC60" s="2131"/>
    </row>
    <row r="61" spans="1:29" s="1332" customFormat="1" ht="12.75">
      <c r="A61" s="637" t="s">
        <v>566</v>
      </c>
      <c r="B61" s="638" t="e">
        <f t="shared" si="17"/>
        <v>#DIV/0!</v>
      </c>
      <c r="C61" s="378">
        <f t="shared" si="16"/>
        <v>0</v>
      </c>
      <c r="D61" s="2190">
        <v>0.25</v>
      </c>
      <c r="E61" s="639">
        <v>0</v>
      </c>
      <c r="F61" s="636" t="e">
        <f t="shared" si="15"/>
        <v>#DIV/0!</v>
      </c>
      <c r="G61" s="3777"/>
      <c r="H61" s="1924">
        <f>项目基本情况!B43</f>
        <v>0</v>
      </c>
      <c r="I61" s="1533">
        <f>SUMIF(修正!$A$45:$A$56,H61,修正!D45:D56)</f>
        <v>0</v>
      </c>
      <c r="J61" s="1535"/>
      <c r="K61" s="2131"/>
      <c r="L61" s="2131"/>
      <c r="M61" s="2131"/>
      <c r="N61" s="2131"/>
      <c r="O61" s="2131"/>
      <c r="P61" s="2131"/>
      <c r="Q61" s="2131"/>
      <c r="R61" s="2131"/>
      <c r="S61" s="2131"/>
      <c r="T61" s="2131"/>
      <c r="U61" s="2131"/>
      <c r="V61" s="2131"/>
      <c r="W61" s="2131"/>
      <c r="X61" s="2131"/>
      <c r="Y61" s="2131"/>
      <c r="Z61" s="2131"/>
      <c r="AA61" s="2131"/>
      <c r="AB61" s="2131"/>
      <c r="AC61" s="2131"/>
    </row>
    <row r="62" spans="1:29" s="1332" customFormat="1" ht="12.75">
      <c r="A62" s="637" t="s">
        <v>567</v>
      </c>
      <c r="B62" s="638" t="e">
        <f t="shared" si="17"/>
        <v>#DIV/0!</v>
      </c>
      <c r="C62" s="378">
        <f t="shared" si="16"/>
        <v>0</v>
      </c>
      <c r="D62" s="2190">
        <v>0.25</v>
      </c>
      <c r="E62" s="639">
        <v>0</v>
      </c>
      <c r="F62" s="636" t="e">
        <f t="shared" si="15"/>
        <v>#DIV/0!</v>
      </c>
      <c r="G62" s="3777"/>
      <c r="H62" s="1924">
        <f>项目基本情况!B43</f>
        <v>0</v>
      </c>
      <c r="I62" s="1533">
        <f>SUMIF(修正!$A$45:$A$56,H62,修正!E45:E56)</f>
        <v>0</v>
      </c>
      <c r="J62" s="1535"/>
      <c r="K62" s="2131"/>
      <c r="L62" s="2131"/>
      <c r="M62" s="2131"/>
      <c r="N62" s="2131"/>
      <c r="O62" s="2131"/>
      <c r="P62" s="2131"/>
      <c r="Q62" s="2131"/>
      <c r="R62" s="2131"/>
      <c r="S62" s="2131"/>
      <c r="T62" s="2131"/>
      <c r="U62" s="2131"/>
      <c r="V62" s="2131"/>
      <c r="W62" s="2131"/>
      <c r="X62" s="2131"/>
      <c r="Y62" s="2131"/>
      <c r="Z62" s="2131"/>
      <c r="AA62" s="2131"/>
      <c r="AB62" s="2131"/>
      <c r="AC62" s="2131"/>
    </row>
    <row r="63" spans="1:29" s="1332" customFormat="1" ht="12.75">
      <c r="A63" s="2292" t="s">
        <v>2303</v>
      </c>
      <c r="B63" s="638" t="e">
        <f t="shared" si="17"/>
        <v>#DIV/0!</v>
      </c>
      <c r="C63" s="378">
        <f t="shared" si="16"/>
        <v>0</v>
      </c>
      <c r="D63" s="2190">
        <v>0.25</v>
      </c>
      <c r="E63" s="641">
        <f>'数据-汇总表'!E11</f>
        <v>0</v>
      </c>
      <c r="F63" s="636" t="e">
        <f t="shared" si="15"/>
        <v>#DIV/0!</v>
      </c>
      <c r="G63" s="1921" t="s">
        <v>2259</v>
      </c>
      <c r="H63" s="1924">
        <f>项目基本情况!C43</f>
        <v>0</v>
      </c>
      <c r="I63" s="1533">
        <f>SUMIF(修正!$A$45:$A$56,H63,修正!F45:F56)</f>
        <v>0</v>
      </c>
      <c r="J63" s="1535"/>
      <c r="K63" s="2131"/>
      <c r="L63" s="2131"/>
      <c r="M63" s="2131"/>
      <c r="N63" s="2131"/>
      <c r="O63" s="2131"/>
      <c r="P63" s="2131"/>
      <c r="Q63" s="2131"/>
      <c r="R63" s="2131"/>
      <c r="S63" s="2131"/>
      <c r="T63" s="2131"/>
      <c r="U63" s="2131"/>
      <c r="V63" s="2131"/>
      <c r="W63" s="2131"/>
      <c r="X63" s="2131"/>
      <c r="Y63" s="2131"/>
      <c r="Z63" s="2131"/>
      <c r="AA63" s="2131"/>
      <c r="AB63" s="2131"/>
      <c r="AC63" s="2131"/>
    </row>
    <row r="64" spans="1:29" s="1332" customFormat="1" ht="12.75">
      <c r="A64" s="637" t="s">
        <v>568</v>
      </c>
      <c r="B64" s="638" t="e">
        <f t="shared" si="17"/>
        <v>#DIV/0!</v>
      </c>
      <c r="C64" s="378">
        <f t="shared" si="16"/>
        <v>0</v>
      </c>
      <c r="D64" s="2190">
        <v>0.25</v>
      </c>
      <c r="E64" s="641">
        <f>'数据-汇总表'!E12</f>
        <v>0</v>
      </c>
      <c r="F64" s="636" t="e">
        <f t="shared" si="15"/>
        <v>#DIV/0!</v>
      </c>
      <c r="G64" s="1922" t="s">
        <v>1655</v>
      </c>
      <c r="H64" s="1920">
        <f>IF(G64="商业",项目基本情况!B43,IF(G64="办公",项目基本情况!C43,IF(G64="住宅",项目基本情况!D43,项目基本情况!E43)))</f>
        <v>0</v>
      </c>
      <c r="I64" s="1533">
        <f>SUMIF(修正!$A$45:$A$56,H64,修正!G45:G56)</f>
        <v>0</v>
      </c>
      <c r="J64" s="1535"/>
      <c r="K64" s="2131"/>
      <c r="L64" s="2131"/>
      <c r="M64" s="2131"/>
      <c r="N64" s="2131"/>
      <c r="O64" s="2131"/>
      <c r="P64" s="2131"/>
      <c r="Q64" s="2131"/>
      <c r="R64" s="2131"/>
      <c r="S64" s="2131"/>
      <c r="T64" s="2131"/>
      <c r="U64" s="2131"/>
      <c r="V64" s="2131"/>
      <c r="W64" s="2131"/>
      <c r="X64" s="2131"/>
      <c r="Y64" s="2131"/>
      <c r="Z64" s="2131"/>
      <c r="AA64" s="2131"/>
      <c r="AB64" s="2131"/>
      <c r="AC64" s="2131"/>
    </row>
    <row r="65" spans="1:29" s="1332" customFormat="1" ht="12.75">
      <c r="A65" s="637" t="s">
        <v>569</v>
      </c>
      <c r="B65" s="638" t="e">
        <f t="shared" si="17"/>
        <v>#DIV/0!</v>
      </c>
      <c r="C65" s="378">
        <f t="shared" si="16"/>
        <v>0</v>
      </c>
      <c r="D65" s="2190">
        <v>0.25</v>
      </c>
      <c r="E65" s="641">
        <f>'数据-汇总表'!E13</f>
        <v>0</v>
      </c>
      <c r="F65" s="636" t="e">
        <f t="shared" si="15"/>
        <v>#DIV/0!</v>
      </c>
      <c r="G65" s="1922" t="s">
        <v>901</v>
      </c>
      <c r="H65" s="1920">
        <f>IF(G65="商业",项目基本情况!B43,IF(G65="办公",项目基本情况!C43,IF(G65="住宅",项目基本情况!D43,项目基本情况!E43)))</f>
        <v>0</v>
      </c>
      <c r="I65" s="1533">
        <f>SUMIF(修正!$A$45:$A$56,H65,修正!H45:H56)</f>
        <v>0</v>
      </c>
      <c r="J65" s="1535"/>
      <c r="K65" s="2131"/>
      <c r="L65" s="2131"/>
      <c r="M65" s="2131"/>
      <c r="N65" s="2131"/>
      <c r="O65" s="2131"/>
      <c r="P65" s="2131"/>
      <c r="Q65" s="2131"/>
      <c r="R65" s="2131"/>
      <c r="S65" s="2131"/>
      <c r="T65" s="2131"/>
      <c r="U65" s="2131"/>
      <c r="V65" s="2131"/>
      <c r="W65" s="2131"/>
      <c r="X65" s="2131"/>
      <c r="Y65" s="2131"/>
      <c r="Z65" s="2131"/>
      <c r="AA65" s="2131"/>
      <c r="AB65" s="2131"/>
      <c r="AC65" s="2131"/>
    </row>
    <row r="66" spans="1:29" s="1332" customFormat="1" ht="12.75">
      <c r="A66" s="637" t="s">
        <v>570</v>
      </c>
      <c r="B66" s="638" t="e">
        <f t="shared" si="17"/>
        <v>#DIV/0!</v>
      </c>
      <c r="C66" s="378">
        <f t="shared" si="16"/>
        <v>0</v>
      </c>
      <c r="D66" s="2190">
        <v>0.25</v>
      </c>
      <c r="E66" s="641">
        <f>'数据-汇总表'!E14</f>
        <v>0</v>
      </c>
      <c r="F66" s="636" t="e">
        <f t="shared" si="15"/>
        <v>#DIV/0!</v>
      </c>
      <c r="G66" s="1921" t="s">
        <v>2258</v>
      </c>
      <c r="H66" s="1924">
        <f>项目基本情况!B43</f>
        <v>0</v>
      </c>
      <c r="I66" s="1533">
        <f>SUMIF(修正!$A$45:$A$56,H66,修正!H45:H56)</f>
        <v>0</v>
      </c>
      <c r="J66" s="1535"/>
      <c r="K66" s="2131"/>
      <c r="L66" s="2131"/>
      <c r="M66" s="2131"/>
      <c r="N66" s="2131"/>
      <c r="O66" s="2131"/>
      <c r="P66" s="2131"/>
      <c r="Q66" s="2131"/>
      <c r="R66" s="2131"/>
      <c r="S66" s="2131"/>
      <c r="T66" s="2131"/>
      <c r="U66" s="2131"/>
      <c r="V66" s="2131"/>
      <c r="W66" s="2131"/>
      <c r="X66" s="2131"/>
      <c r="Y66" s="2131"/>
      <c r="Z66" s="2131"/>
      <c r="AA66" s="2131"/>
      <c r="AB66" s="2131"/>
      <c r="AC66" s="2131"/>
    </row>
    <row r="67" spans="1:29" s="1332" customFormat="1" ht="13.5" thickBot="1">
      <c r="A67" s="637" t="s">
        <v>571</v>
      </c>
      <c r="B67" s="638" t="e">
        <f t="shared" si="17"/>
        <v>#DIV/0!</v>
      </c>
      <c r="C67" s="378">
        <f t="shared" si="16"/>
        <v>0</v>
      </c>
      <c r="D67" s="2190">
        <v>0.25</v>
      </c>
      <c r="E67" s="641">
        <f>'数据-汇总表'!E15</f>
        <v>0</v>
      </c>
      <c r="F67" s="636" t="e">
        <f t="shared" si="15"/>
        <v>#DIV/0!</v>
      </c>
      <c r="G67" s="1923" t="s">
        <v>2259</v>
      </c>
      <c r="H67" s="1925">
        <f>项目基本情况!C43</f>
        <v>0</v>
      </c>
      <c r="I67" s="1533">
        <f>SUMIF(修正!$A$45:$A$56,H67,修正!H45:H56)</f>
        <v>0</v>
      </c>
      <c r="J67" s="1535"/>
      <c r="K67" s="2131"/>
      <c r="L67" s="2131"/>
      <c r="M67" s="2131"/>
      <c r="N67" s="2131"/>
      <c r="O67" s="2131"/>
      <c r="P67" s="2131"/>
      <c r="Q67" s="2131"/>
      <c r="R67" s="2131"/>
      <c r="S67" s="2131"/>
      <c r="T67" s="2131"/>
      <c r="U67" s="2131"/>
      <c r="V67" s="2131"/>
      <c r="W67" s="2131"/>
      <c r="X67" s="2131"/>
      <c r="Y67" s="2131"/>
      <c r="Z67" s="2131"/>
      <c r="AA67" s="2131"/>
      <c r="AB67" s="2131"/>
      <c r="AC67" s="2131"/>
    </row>
    <row r="68" spans="1:29" s="1332" customFormat="1" ht="13.5" thickBot="1">
      <c r="A68" s="642" t="s">
        <v>572</v>
      </c>
      <c r="B68" s="643" t="s">
        <v>16</v>
      </c>
      <c r="C68" s="643" t="s">
        <v>17</v>
      </c>
      <c r="D68" s="643" t="s">
        <v>2269</v>
      </c>
      <c r="E68" s="643">
        <f>IF(B48="楼面地价",SUM(E58:E67),'数据-汇总表'!D3)</f>
        <v>370783.53</v>
      </c>
      <c r="F68" s="644" t="e">
        <f>IF(B48="楼面地价",SUM(F58:F67),ROUND(C50*E68/10000,0))</f>
        <v>#DIV/0!</v>
      </c>
      <c r="G68" s="2132"/>
      <c r="H68" s="2132"/>
      <c r="I68" s="2132"/>
      <c r="J68" s="2132"/>
      <c r="K68" s="2132"/>
      <c r="L68" s="2131"/>
      <c r="M68" s="2131"/>
      <c r="N68" s="2131"/>
      <c r="O68" s="2131"/>
      <c r="P68" s="2131"/>
      <c r="Q68" s="2131"/>
      <c r="R68" s="2131"/>
      <c r="S68" s="2131"/>
      <c r="T68" s="2131"/>
      <c r="U68" s="2131"/>
      <c r="V68" s="2131"/>
      <c r="W68" s="2131"/>
      <c r="X68" s="2131"/>
      <c r="Y68" s="2131"/>
      <c r="Z68" s="2131"/>
      <c r="AA68" s="2131"/>
      <c r="AB68" s="2131"/>
      <c r="AC68" s="2131"/>
    </row>
    <row r="69" spans="1:29">
      <c r="A69" s="2121"/>
      <c r="B69" s="2123"/>
      <c r="C69" s="2127"/>
      <c r="D69" s="2121"/>
      <c r="E69" s="2121"/>
      <c r="F69" s="2121"/>
      <c r="G69" s="2121"/>
      <c r="H69" s="2121"/>
      <c r="I69" s="2121"/>
      <c r="J69" s="2121"/>
      <c r="K69" s="2125"/>
      <c r="L69" s="2126"/>
      <c r="M69" s="2121"/>
      <c r="N69" s="2121"/>
      <c r="O69" s="2121"/>
      <c r="P69" s="2121"/>
      <c r="Q69" s="2121"/>
      <c r="R69" s="2121"/>
      <c r="S69" s="2121"/>
      <c r="T69" s="2121"/>
      <c r="U69" s="2121"/>
      <c r="V69" s="2121"/>
      <c r="W69" s="2121"/>
      <c r="X69" s="2121"/>
      <c r="Y69" s="2121"/>
      <c r="Z69" s="2121"/>
      <c r="AA69" s="2121"/>
      <c r="AB69" s="2121"/>
      <c r="AC69" s="2121"/>
    </row>
    <row r="70" spans="1:29">
      <c r="A70" s="2121"/>
      <c r="B70" s="2123"/>
      <c r="C70" s="2729" t="str">
        <f>YEAR(C9)&amp;"-"&amp;MONTH(C9)&amp;"-1"</f>
        <v>2020-4-1</v>
      </c>
      <c r="D70" s="2729">
        <f>EDATE(C70,-3)</f>
        <v>43831</v>
      </c>
      <c r="E70" s="2729">
        <f t="shared" ref="E70:N70" si="18">EDATE(D70,-3)</f>
        <v>43739</v>
      </c>
      <c r="F70" s="2729">
        <f t="shared" si="18"/>
        <v>43647</v>
      </c>
      <c r="G70" s="2729">
        <f t="shared" si="18"/>
        <v>43556</v>
      </c>
      <c r="H70" s="2729">
        <f t="shared" si="18"/>
        <v>43466</v>
      </c>
      <c r="I70" s="2729">
        <f t="shared" si="18"/>
        <v>43374</v>
      </c>
      <c r="J70" s="2729">
        <f t="shared" si="18"/>
        <v>43282</v>
      </c>
      <c r="K70" s="2729">
        <f t="shared" si="18"/>
        <v>43191</v>
      </c>
      <c r="L70" s="2729">
        <f t="shared" si="18"/>
        <v>43101</v>
      </c>
      <c r="M70" s="2729">
        <f t="shared" si="18"/>
        <v>43009</v>
      </c>
      <c r="N70" s="2729">
        <f t="shared" si="18"/>
        <v>42917</v>
      </c>
      <c r="O70" s="2121"/>
      <c r="P70" s="2121"/>
      <c r="Q70" s="2121"/>
      <c r="R70" s="2121"/>
      <c r="S70" s="2121"/>
      <c r="T70" s="2121"/>
      <c r="U70" s="2121"/>
      <c r="V70" s="2121"/>
      <c r="W70" s="2121"/>
      <c r="X70" s="2121"/>
      <c r="Y70" s="2121"/>
      <c r="Z70" s="2121"/>
      <c r="AA70" s="2121"/>
      <c r="AB70" s="2121"/>
      <c r="AC70" s="2121"/>
    </row>
    <row r="71" spans="1:29" ht="21.75" thickBot="1">
      <c r="A71" s="1561" t="s">
        <v>573</v>
      </c>
      <c r="B71" s="1536"/>
      <c r="C71" s="1560"/>
      <c r="D71" s="1560"/>
      <c r="E71" s="1560"/>
      <c r="F71" s="1562"/>
      <c r="G71" s="1562"/>
      <c r="H71" s="1560"/>
      <c r="I71" s="1560"/>
      <c r="J71" s="1560"/>
      <c r="K71" s="1563"/>
      <c r="L71" s="1559"/>
      <c r="M71" s="1560"/>
      <c r="N71" s="1560"/>
      <c r="O71" s="2133"/>
      <c r="P71" s="2133"/>
      <c r="Q71" s="2134"/>
      <c r="R71" s="2121"/>
      <c r="S71" s="2121"/>
      <c r="T71" s="2121"/>
      <c r="U71" s="2121"/>
      <c r="V71" s="2121"/>
      <c r="W71" s="2121"/>
      <c r="X71" s="2121"/>
      <c r="Y71" s="2121"/>
      <c r="Z71" s="2121"/>
      <c r="AA71" s="2121"/>
      <c r="AB71" s="2121"/>
      <c r="AC71" s="2121"/>
    </row>
    <row r="72" spans="1:29" s="1333" customFormat="1" ht="15">
      <c r="A72" s="2507" t="s">
        <v>2507</v>
      </c>
      <c r="B72" s="2508"/>
      <c r="C72" s="2725" t="str">
        <f>YEAR(C70)&amp;"-"&amp;ROUNDUP(MONTH(C70)/3,0)</f>
        <v>2020-2</v>
      </c>
      <c r="D72" s="2731" t="str">
        <f>YEAR(D70)&amp;"-"&amp;ROUNDUP(MONTH(D70)/3,0)</f>
        <v>2020-1</v>
      </c>
      <c r="E72" s="2731" t="str">
        <f t="shared" ref="E72:N72" si="19">YEAR(E70)&amp;"-"&amp;ROUNDUP(MONTH(E70)/3,0)</f>
        <v>2019-4</v>
      </c>
      <c r="F72" s="2731" t="str">
        <f t="shared" si="19"/>
        <v>2019-3</v>
      </c>
      <c r="G72" s="2731" t="str">
        <f t="shared" si="19"/>
        <v>2019-2</v>
      </c>
      <c r="H72" s="2731" t="str">
        <f t="shared" si="19"/>
        <v>2019-1</v>
      </c>
      <c r="I72" s="2731" t="str">
        <f t="shared" si="19"/>
        <v>2018-4</v>
      </c>
      <c r="J72" s="2731" t="str">
        <f t="shared" si="19"/>
        <v>2018-3</v>
      </c>
      <c r="K72" s="2731" t="str">
        <f t="shared" si="19"/>
        <v>2018-2</v>
      </c>
      <c r="L72" s="2731" t="str">
        <f t="shared" si="19"/>
        <v>2018-1</v>
      </c>
      <c r="M72" s="2731" t="str">
        <f t="shared" si="19"/>
        <v>2017-4</v>
      </c>
      <c r="N72" s="2731" t="str">
        <f t="shared" si="19"/>
        <v>2017-3</v>
      </c>
      <c r="O72" s="2135"/>
      <c r="P72" s="2136"/>
      <c r="Q72" s="2137"/>
      <c r="R72" s="2137"/>
      <c r="S72" s="2137"/>
      <c r="T72" s="2137"/>
      <c r="U72" s="2137"/>
      <c r="V72" s="2137"/>
      <c r="W72" s="2137"/>
      <c r="X72" s="2137"/>
      <c r="Y72" s="2137"/>
      <c r="Z72" s="2137"/>
      <c r="AA72" s="2137"/>
      <c r="AB72" s="2137"/>
      <c r="AC72" s="2137"/>
    </row>
    <row r="73" spans="1:29" s="1206" customFormat="1" ht="27" customHeight="1">
      <c r="A73" s="2736" t="s">
        <v>2621</v>
      </c>
      <c r="B73" s="479" t="str">
        <f>"北京市平均增长率"&amp;TEXT(SUMIF(基准地价!N21:N25,A73,基准地价!P21:P25),"0.00%")</f>
        <v>北京市平均增长率1.85%</v>
      </c>
      <c r="C73" s="894">
        <v>100</v>
      </c>
      <c r="D73" s="730"/>
      <c r="E73" s="730"/>
      <c r="F73" s="730"/>
      <c r="G73" s="730"/>
      <c r="H73" s="730"/>
      <c r="I73" s="730"/>
      <c r="J73" s="730"/>
      <c r="K73" s="730"/>
      <c r="L73" s="730"/>
      <c r="M73" s="2723"/>
      <c r="N73" s="2724"/>
      <c r="O73" s="2138"/>
      <c r="P73" s="2134"/>
      <c r="Q73" s="1969"/>
      <c r="R73" s="1969"/>
      <c r="S73" s="1969"/>
      <c r="T73" s="1969"/>
      <c r="U73" s="1969"/>
      <c r="V73" s="1969"/>
      <c r="W73" s="1969"/>
      <c r="X73" s="1969"/>
      <c r="Y73" s="1969"/>
      <c r="Z73" s="1969"/>
      <c r="AA73" s="1969"/>
      <c r="AB73" s="1969"/>
      <c r="AC73" s="1969"/>
    </row>
    <row r="74" spans="1:29" s="1206" customFormat="1" ht="15" customHeight="1" thickBot="1">
      <c r="A74" s="2727" t="s">
        <v>2620</v>
      </c>
      <c r="B74" s="2735"/>
      <c r="C74" s="2721"/>
      <c r="D74" s="2722"/>
      <c r="E74" s="2722"/>
      <c r="F74" s="2722"/>
      <c r="G74" s="2722"/>
      <c r="H74" s="2722"/>
      <c r="I74" s="2722"/>
      <c r="J74" s="2722"/>
      <c r="K74" s="2722"/>
      <c r="L74" s="2722"/>
      <c r="M74" s="2722"/>
      <c r="N74" s="2722"/>
      <c r="O74" s="2138"/>
      <c r="P74" s="2134"/>
      <c r="Q74" s="2134"/>
      <c r="R74" s="1969"/>
      <c r="S74" s="1969"/>
      <c r="T74" s="1969"/>
      <c r="U74" s="1969"/>
      <c r="V74" s="1969"/>
      <c r="W74" s="1969"/>
      <c r="X74" s="1969"/>
      <c r="Y74" s="1969"/>
      <c r="Z74" s="1969"/>
      <c r="AA74" s="1969"/>
      <c r="AB74" s="1969"/>
      <c r="AC74" s="1969"/>
    </row>
    <row r="75" spans="1:29" s="1206" customFormat="1" ht="15">
      <c r="A75" s="659" t="s">
        <v>530</v>
      </c>
      <c r="B75" s="648"/>
      <c r="C75" s="660" t="s">
        <v>575</v>
      </c>
      <c r="D75" s="661"/>
      <c r="E75" s="661"/>
      <c r="F75" s="661"/>
      <c r="G75" s="661"/>
      <c r="H75" s="661"/>
      <c r="I75" s="661"/>
      <c r="J75" s="661"/>
      <c r="K75" s="661"/>
      <c r="L75" s="662"/>
      <c r="M75" s="663"/>
      <c r="N75" s="2138"/>
      <c r="O75" s="2138"/>
      <c r="P75" s="2139"/>
      <c r="Q75" s="2134"/>
      <c r="R75" s="1969"/>
      <c r="S75" s="1969"/>
      <c r="T75" s="1969"/>
      <c r="U75" s="1969"/>
      <c r="V75" s="1969"/>
      <c r="W75" s="1969"/>
      <c r="X75" s="1969"/>
      <c r="Y75" s="1969"/>
      <c r="Z75" s="1969"/>
      <c r="AA75" s="1969"/>
      <c r="AB75" s="1969"/>
      <c r="AC75" s="1969"/>
    </row>
    <row r="76" spans="1:29" s="1206" customFormat="1" ht="15.75" thickBot="1">
      <c r="A76" s="659"/>
      <c r="B76" s="648"/>
      <c r="C76" s="649">
        <v>100</v>
      </c>
      <c r="D76" s="650"/>
      <c r="E76" s="650"/>
      <c r="F76" s="650"/>
      <c r="G76" s="650"/>
      <c r="H76" s="650"/>
      <c r="I76" s="650"/>
      <c r="J76" s="650"/>
      <c r="K76" s="650"/>
      <c r="L76" s="650"/>
      <c r="M76" s="652"/>
      <c r="N76" s="2138"/>
      <c r="O76" s="2138"/>
      <c r="P76" s="2134"/>
      <c r="Q76" s="2134"/>
      <c r="R76" s="1969"/>
      <c r="S76" s="1969"/>
      <c r="T76" s="1969"/>
      <c r="U76" s="1969"/>
      <c r="V76" s="1969"/>
      <c r="W76" s="1969"/>
      <c r="X76" s="1969"/>
      <c r="Y76" s="1969"/>
      <c r="Z76" s="1969"/>
      <c r="AA76" s="1969"/>
      <c r="AB76" s="1969"/>
      <c r="AC76" s="1969"/>
    </row>
    <row r="77" spans="1:29">
      <c r="A77" s="664" t="s">
        <v>576</v>
      </c>
      <c r="B77" s="665" t="s">
        <v>533</v>
      </c>
      <c r="C77" s="598"/>
      <c r="D77" s="598"/>
      <c r="E77" s="598"/>
      <c r="F77" s="598"/>
      <c r="G77" s="598"/>
      <c r="H77" s="598"/>
      <c r="I77" s="598"/>
      <c r="J77" s="598"/>
      <c r="K77" s="666"/>
      <c r="L77" s="667"/>
      <c r="M77" s="668"/>
      <c r="N77" s="2140"/>
      <c r="O77" s="2140"/>
      <c r="P77" s="2141"/>
      <c r="Q77" s="2134"/>
      <c r="R77" s="2121"/>
      <c r="S77" s="2121"/>
      <c r="T77" s="2121"/>
      <c r="U77" s="2121"/>
      <c r="V77" s="2121"/>
      <c r="W77" s="2121"/>
      <c r="X77" s="2121"/>
      <c r="Y77" s="2121"/>
      <c r="Z77" s="2121"/>
      <c r="AA77" s="2121"/>
      <c r="AB77" s="2121"/>
      <c r="AC77" s="2121"/>
    </row>
    <row r="78" spans="1:29" ht="15.75" thickBot="1">
      <c r="A78" s="669"/>
      <c r="B78" s="670"/>
      <c r="C78" s="671"/>
      <c r="D78" s="671"/>
      <c r="E78" s="671"/>
      <c r="F78" s="671"/>
      <c r="G78" s="671"/>
      <c r="H78" s="671"/>
      <c r="I78" s="671"/>
      <c r="J78" s="671"/>
      <c r="K78" s="671"/>
      <c r="L78" s="671"/>
      <c r="M78" s="672"/>
      <c r="N78" s="2142"/>
      <c r="O78" s="2142"/>
      <c r="P78" s="2141"/>
      <c r="Q78" s="2134"/>
      <c r="R78" s="2121"/>
      <c r="S78" s="2121"/>
      <c r="T78" s="2121"/>
      <c r="U78" s="2121"/>
      <c r="V78" s="2121"/>
      <c r="W78" s="2121"/>
      <c r="X78" s="2121"/>
      <c r="Y78" s="2121"/>
      <c r="Z78" s="2121"/>
      <c r="AA78" s="2121"/>
      <c r="AB78" s="2121"/>
      <c r="AC78" s="2121"/>
    </row>
    <row r="79" spans="1:29" ht="27.75" thickTop="1">
      <c r="A79" s="669"/>
      <c r="B79" s="673" t="s">
        <v>536</v>
      </c>
      <c r="C79" s="674"/>
      <c r="D79" s="674"/>
      <c r="E79" s="674"/>
      <c r="F79" s="674"/>
      <c r="G79" s="674"/>
      <c r="H79" s="674"/>
      <c r="I79" s="674"/>
      <c r="J79" s="674"/>
      <c r="K79" s="675"/>
      <c r="L79" s="676"/>
      <c r="M79" s="677"/>
      <c r="N79" s="2140"/>
      <c r="O79" s="2140"/>
      <c r="P79" s="2141"/>
      <c r="Q79" s="2134"/>
      <c r="R79" s="2121"/>
      <c r="S79" s="2121"/>
      <c r="T79" s="2121"/>
      <c r="U79" s="2121"/>
      <c r="V79" s="2121"/>
      <c r="W79" s="2121"/>
      <c r="X79" s="2121"/>
      <c r="Y79" s="2121"/>
      <c r="Z79" s="2121"/>
      <c r="AA79" s="2121"/>
      <c r="AB79" s="2121"/>
      <c r="AC79" s="2121"/>
    </row>
    <row r="80" spans="1:29" ht="15.75" thickBot="1">
      <c r="A80" s="669"/>
      <c r="B80" s="678"/>
      <c r="C80" s="679"/>
      <c r="D80" s="679"/>
      <c r="E80" s="679"/>
      <c r="F80" s="679"/>
      <c r="G80" s="679"/>
      <c r="H80" s="679"/>
      <c r="I80" s="679"/>
      <c r="J80" s="679"/>
      <c r="K80" s="679"/>
      <c r="L80" s="679"/>
      <c r="M80" s="680"/>
      <c r="N80" s="2142"/>
      <c r="O80" s="2142"/>
      <c r="P80" s="2141"/>
      <c r="Q80" s="2134"/>
      <c r="R80" s="2121"/>
      <c r="S80" s="2121"/>
      <c r="T80" s="2121"/>
      <c r="U80" s="2121"/>
      <c r="V80" s="2121"/>
      <c r="W80" s="2121"/>
      <c r="X80" s="2121"/>
      <c r="Y80" s="2121"/>
      <c r="Z80" s="2121"/>
      <c r="AA80" s="2121"/>
      <c r="AB80" s="2121"/>
      <c r="AC80" s="2121"/>
    </row>
    <row r="81" spans="1:29" ht="15.75" thickTop="1">
      <c r="A81" s="669"/>
      <c r="B81" s="681" t="s">
        <v>537</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42"/>
      <c r="O81" s="2142"/>
      <c r="P81" s="2141"/>
      <c r="Q81" s="2134"/>
      <c r="R81" s="2121"/>
      <c r="S81" s="2121"/>
      <c r="T81" s="2121"/>
      <c r="U81" s="2121"/>
      <c r="V81" s="2121"/>
      <c r="W81" s="2121"/>
      <c r="X81" s="2121"/>
      <c r="Y81" s="2121"/>
      <c r="Z81" s="2121"/>
      <c r="AA81" s="2121"/>
      <c r="AB81" s="2121"/>
      <c r="AC81" s="2121"/>
    </row>
    <row r="82" spans="1:29" ht="15">
      <c r="A82" s="669"/>
      <c r="B82" s="683"/>
      <c r="C82" s="541"/>
      <c r="D82" s="541"/>
      <c r="E82" s="541"/>
      <c r="F82" s="541"/>
      <c r="G82" s="541"/>
      <c r="H82" s="541"/>
      <c r="I82" s="541"/>
      <c r="J82" s="541"/>
      <c r="K82" s="684"/>
      <c r="L82" s="685"/>
      <c r="M82" s="686"/>
      <c r="N82" s="2140"/>
      <c r="O82" s="2140"/>
      <c r="P82" s="2141"/>
      <c r="Q82" s="2134"/>
      <c r="R82" s="2121"/>
      <c r="S82" s="2121"/>
      <c r="T82" s="2121"/>
      <c r="U82" s="2121"/>
      <c r="V82" s="2121"/>
      <c r="W82" s="2121"/>
      <c r="X82" s="2121"/>
      <c r="Y82" s="2121"/>
      <c r="Z82" s="2121"/>
      <c r="AA82" s="2121"/>
      <c r="AB82" s="2121"/>
      <c r="AC82" s="212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42"/>
      <c r="O83" s="2142"/>
      <c r="P83" s="2141"/>
      <c r="Q83" s="2134"/>
      <c r="R83" s="2121"/>
      <c r="S83" s="2121"/>
      <c r="T83" s="2121"/>
      <c r="U83" s="2121"/>
      <c r="V83" s="2121"/>
      <c r="W83" s="2121"/>
      <c r="X83" s="2121"/>
      <c r="Y83" s="2121"/>
      <c r="Z83" s="2121"/>
      <c r="AA83" s="2121"/>
      <c r="AB83" s="2121"/>
      <c r="AC83" s="2121"/>
    </row>
    <row r="84" spans="1:29" s="1325" customFormat="1" ht="15.75" thickTop="1">
      <c r="A84" s="687"/>
      <c r="B84" s="673" t="str">
        <f>B14</f>
        <v>配建</v>
      </c>
      <c r="C84" s="688"/>
      <c r="D84" s="1362"/>
      <c r="E84" s="1363"/>
      <c r="F84" s="688"/>
      <c r="G84" s="688"/>
      <c r="H84" s="689"/>
      <c r="I84" s="689"/>
      <c r="J84" s="689"/>
      <c r="K84" s="689"/>
      <c r="L84" s="690"/>
      <c r="M84" s="691"/>
      <c r="N84" s="2143"/>
      <c r="O84" s="2143"/>
      <c r="P84" s="2144"/>
      <c r="Q84" s="2145"/>
      <c r="R84" s="2146"/>
      <c r="S84" s="2146"/>
      <c r="T84" s="2146"/>
      <c r="U84" s="2146"/>
      <c r="V84" s="2146"/>
      <c r="W84" s="2146"/>
      <c r="X84" s="2146"/>
      <c r="Y84" s="2146"/>
      <c r="Z84" s="2146"/>
      <c r="AA84" s="2146"/>
      <c r="AB84" s="2146"/>
      <c r="AC84" s="2146"/>
    </row>
    <row r="85" spans="1:29" s="1325" customFormat="1" ht="15.75" thickBot="1">
      <c r="A85" s="687"/>
      <c r="B85" s="678"/>
      <c r="C85" s="692"/>
      <c r="D85" s="671"/>
      <c r="E85" s="671"/>
      <c r="F85" s="671"/>
      <c r="G85" s="671"/>
      <c r="H85" s="671"/>
      <c r="I85" s="671"/>
      <c r="J85" s="671"/>
      <c r="K85" s="671"/>
      <c r="L85" s="671"/>
      <c r="M85" s="672"/>
      <c r="N85" s="2142"/>
      <c r="O85" s="2142"/>
      <c r="P85" s="2144"/>
      <c r="Q85" s="2145"/>
      <c r="R85" s="2146"/>
      <c r="S85" s="2146"/>
      <c r="T85" s="2146"/>
      <c r="U85" s="2146"/>
      <c r="V85" s="2146"/>
      <c r="W85" s="2146"/>
      <c r="X85" s="2146"/>
      <c r="Y85" s="2146"/>
      <c r="Z85" s="2146"/>
      <c r="AA85" s="2146"/>
      <c r="AB85" s="2146"/>
      <c r="AC85" s="2146"/>
    </row>
    <row r="86" spans="1:29" s="1325" customFormat="1" ht="15.75" thickTop="1">
      <c r="A86" s="687"/>
      <c r="B86" s="673">
        <f>B15</f>
        <v>111</v>
      </c>
      <c r="C86" s="688"/>
      <c r="D86" s="688"/>
      <c r="E86" s="688"/>
      <c r="F86" s="688"/>
      <c r="G86" s="688"/>
      <c r="H86" s="689"/>
      <c r="I86" s="689"/>
      <c r="J86" s="689"/>
      <c r="K86" s="689"/>
      <c r="L86" s="690"/>
      <c r="M86" s="691"/>
      <c r="N86" s="2143"/>
      <c r="O86" s="2143"/>
      <c r="P86" s="2147"/>
      <c r="Q86" s="2148"/>
      <c r="R86" s="2146"/>
      <c r="S86" s="2146"/>
      <c r="T86" s="2146"/>
      <c r="U86" s="2146"/>
      <c r="V86" s="2146"/>
      <c r="W86" s="2146"/>
      <c r="X86" s="2146"/>
      <c r="Y86" s="2146"/>
      <c r="Z86" s="2146"/>
      <c r="AA86" s="2146"/>
      <c r="AB86" s="2146"/>
      <c r="AC86" s="2146"/>
    </row>
    <row r="87" spans="1:29" s="1325" customFormat="1" ht="15.75" thickBot="1">
      <c r="A87" s="687"/>
      <c r="B87" s="678"/>
      <c r="C87" s="692"/>
      <c r="D87" s="692"/>
      <c r="E87" s="692"/>
      <c r="F87" s="692"/>
      <c r="G87" s="692"/>
      <c r="H87" s="693"/>
      <c r="I87" s="693"/>
      <c r="J87" s="693"/>
      <c r="K87" s="693"/>
      <c r="L87" s="693"/>
      <c r="M87" s="694"/>
      <c r="N87" s="2143"/>
      <c r="O87" s="2143"/>
      <c r="P87" s="2144"/>
      <c r="Q87" s="2145"/>
      <c r="R87" s="2146"/>
      <c r="S87" s="2146"/>
      <c r="T87" s="2146"/>
      <c r="U87" s="2146"/>
      <c r="V87" s="2146"/>
      <c r="W87" s="2146"/>
      <c r="X87" s="2146"/>
      <c r="Y87" s="2146"/>
      <c r="Z87" s="2146"/>
      <c r="AA87" s="2146"/>
      <c r="AB87" s="2146"/>
      <c r="AC87" s="2146"/>
    </row>
    <row r="88" spans="1:29" s="1325" customFormat="1" ht="15.75" thickTop="1">
      <c r="A88" s="687"/>
      <c r="B88" s="681">
        <f>B16</f>
        <v>111</v>
      </c>
      <c r="C88" s="661"/>
      <c r="D88" s="661"/>
      <c r="E88" s="661"/>
      <c r="F88" s="661"/>
      <c r="G88" s="661"/>
      <c r="H88" s="695"/>
      <c r="I88" s="695"/>
      <c r="J88" s="695"/>
      <c r="K88" s="695"/>
      <c r="L88" s="696"/>
      <c r="M88" s="697"/>
      <c r="N88" s="2143"/>
      <c r="O88" s="2143"/>
      <c r="P88" s="2149"/>
      <c r="Q88" s="2145"/>
      <c r="R88" s="2146"/>
      <c r="S88" s="2146"/>
      <c r="T88" s="2146"/>
      <c r="U88" s="2146"/>
      <c r="V88" s="2146"/>
      <c r="W88" s="2146"/>
      <c r="X88" s="2146"/>
      <c r="Y88" s="2146"/>
      <c r="Z88" s="2146"/>
      <c r="AA88" s="2146"/>
      <c r="AB88" s="2146"/>
      <c r="AC88" s="2146"/>
    </row>
    <row r="89" spans="1:29" s="1325" customFormat="1" ht="15.75" thickBot="1">
      <c r="A89" s="698"/>
      <c r="B89" s="699"/>
      <c r="C89" s="700"/>
      <c r="D89" s="700"/>
      <c r="E89" s="700"/>
      <c r="F89" s="700"/>
      <c r="G89" s="700"/>
      <c r="H89" s="701"/>
      <c r="I89" s="701"/>
      <c r="J89" s="701"/>
      <c r="K89" s="701"/>
      <c r="L89" s="701"/>
      <c r="M89" s="702"/>
      <c r="N89" s="2143"/>
      <c r="O89" s="2143"/>
      <c r="P89" s="2144"/>
      <c r="Q89" s="2145"/>
      <c r="R89" s="2146"/>
      <c r="S89" s="2146"/>
      <c r="T89" s="2146"/>
      <c r="U89" s="2146"/>
      <c r="V89" s="2146"/>
      <c r="W89" s="2146"/>
      <c r="X89" s="2146"/>
      <c r="Y89" s="2146"/>
      <c r="Z89" s="2146"/>
      <c r="AA89" s="2146"/>
      <c r="AB89" s="2146"/>
      <c r="AC89" s="2146"/>
    </row>
    <row r="90" spans="1:29">
      <c r="A90" s="664" t="s">
        <v>538</v>
      </c>
      <c r="B90" s="665" t="s">
        <v>577</v>
      </c>
      <c r="C90" s="703" t="s">
        <v>578</v>
      </c>
      <c r="D90" s="703" t="s">
        <v>579</v>
      </c>
      <c r="E90" s="703" t="s">
        <v>580</v>
      </c>
      <c r="F90" s="703" t="s">
        <v>581</v>
      </c>
      <c r="G90" s="703" t="s">
        <v>582</v>
      </c>
      <c r="H90" s="704"/>
      <c r="I90" s="704"/>
      <c r="J90" s="704"/>
      <c r="K90" s="705"/>
      <c r="L90" s="706"/>
      <c r="M90" s="707"/>
      <c r="N90" s="2140"/>
      <c r="O90" s="2140"/>
      <c r="P90" s="2150"/>
      <c r="Q90" s="2134"/>
      <c r="R90" s="2121"/>
      <c r="S90" s="2121"/>
      <c r="T90" s="2121"/>
      <c r="U90" s="2121"/>
      <c r="V90" s="2121"/>
      <c r="W90" s="2121"/>
      <c r="X90" s="2121"/>
      <c r="Y90" s="2121"/>
      <c r="Z90" s="2121"/>
      <c r="AA90" s="2121"/>
      <c r="AB90" s="2121"/>
      <c r="AC90" s="212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42"/>
      <c r="O91" s="2142"/>
      <c r="P91" s="2141"/>
      <c r="Q91" s="2134"/>
      <c r="R91" s="2121"/>
      <c r="S91" s="2121"/>
      <c r="T91" s="2121"/>
      <c r="U91" s="2121"/>
      <c r="V91" s="2121"/>
      <c r="W91" s="2121"/>
      <c r="X91" s="2121"/>
      <c r="Y91" s="2121"/>
      <c r="Z91" s="2121"/>
      <c r="AA91" s="2121"/>
      <c r="AB91" s="2121"/>
      <c r="AC91" s="2121"/>
    </row>
    <row r="92" spans="1:29" ht="15.75" thickTop="1">
      <c r="A92" s="669"/>
      <c r="B92" s="673" t="s">
        <v>583</v>
      </c>
      <c r="C92" s="708" t="s">
        <v>578</v>
      </c>
      <c r="D92" s="708" t="s">
        <v>579</v>
      </c>
      <c r="E92" s="708" t="s">
        <v>580</v>
      </c>
      <c r="F92" s="708" t="s">
        <v>581</v>
      </c>
      <c r="G92" s="708" t="s">
        <v>582</v>
      </c>
      <c r="H92" s="674"/>
      <c r="I92" s="674"/>
      <c r="J92" s="674"/>
      <c r="K92" s="675"/>
      <c r="L92" s="676"/>
      <c r="M92" s="677"/>
      <c r="N92" s="2140"/>
      <c r="O92" s="2140"/>
      <c r="P92" s="2141"/>
      <c r="Q92" s="2134"/>
      <c r="R92" s="2121"/>
      <c r="S92" s="2121"/>
      <c r="T92" s="2121"/>
      <c r="U92" s="2121"/>
      <c r="V92" s="2121"/>
      <c r="W92" s="2121"/>
      <c r="X92" s="2121"/>
      <c r="Y92" s="2121"/>
      <c r="Z92" s="2121"/>
      <c r="AA92" s="2121"/>
      <c r="AB92" s="2121"/>
      <c r="AC92" s="212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42"/>
      <c r="O93" s="2142"/>
      <c r="P93" s="2141"/>
      <c r="Q93" s="2134"/>
      <c r="R93" s="2121"/>
      <c r="S93" s="2121"/>
      <c r="T93" s="2121"/>
      <c r="U93" s="2121"/>
      <c r="V93" s="2121"/>
      <c r="W93" s="2121"/>
      <c r="X93" s="2121"/>
      <c r="Y93" s="2121"/>
      <c r="Z93" s="2121"/>
      <c r="AA93" s="2121"/>
      <c r="AB93" s="2121"/>
      <c r="AC93" s="2121"/>
    </row>
    <row r="94" spans="1:29" ht="15.75" thickTop="1">
      <c r="A94" s="669"/>
      <c r="B94" s="673" t="s">
        <v>584</v>
      </c>
      <c r="C94" s="708" t="s">
        <v>578</v>
      </c>
      <c r="D94" s="708" t="s">
        <v>579</v>
      </c>
      <c r="E94" s="708" t="s">
        <v>580</v>
      </c>
      <c r="F94" s="708" t="s">
        <v>581</v>
      </c>
      <c r="G94" s="708" t="s">
        <v>582</v>
      </c>
      <c r="H94" s="674"/>
      <c r="I94" s="674"/>
      <c r="J94" s="674"/>
      <c r="K94" s="675"/>
      <c r="L94" s="676"/>
      <c r="M94" s="677"/>
      <c r="N94" s="2140"/>
      <c r="O94" s="2140"/>
      <c r="P94" s="2141"/>
      <c r="Q94" s="2134"/>
      <c r="R94" s="2121"/>
      <c r="S94" s="2121"/>
      <c r="T94" s="2121"/>
      <c r="U94" s="2121"/>
      <c r="V94" s="2121"/>
      <c r="W94" s="2121"/>
      <c r="X94" s="2121"/>
      <c r="Y94" s="2121"/>
      <c r="Z94" s="2121"/>
      <c r="AA94" s="2121"/>
      <c r="AB94" s="2121"/>
      <c r="AC94" s="212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2"/>
      <c r="O95" s="2142"/>
      <c r="P95" s="2141"/>
      <c r="Q95" s="2134"/>
      <c r="R95" s="2121"/>
      <c r="S95" s="2121"/>
      <c r="T95" s="2121"/>
      <c r="U95" s="2121"/>
      <c r="V95" s="2121"/>
      <c r="W95" s="2121"/>
      <c r="X95" s="2121"/>
      <c r="Y95" s="2121"/>
      <c r="Z95" s="2121"/>
      <c r="AA95" s="2121"/>
      <c r="AB95" s="2121"/>
      <c r="AC95" s="2121"/>
    </row>
    <row r="96" spans="1:29" ht="15.75" thickTop="1">
      <c r="A96" s="669"/>
      <c r="B96" s="673" t="s">
        <v>585</v>
      </c>
      <c r="C96" s="708" t="s">
        <v>578</v>
      </c>
      <c r="D96" s="708" t="s">
        <v>579</v>
      </c>
      <c r="E96" s="708" t="s">
        <v>580</v>
      </c>
      <c r="F96" s="708" t="s">
        <v>581</v>
      </c>
      <c r="G96" s="708" t="s">
        <v>582</v>
      </c>
      <c r="H96" s="674"/>
      <c r="I96" s="674"/>
      <c r="J96" s="674"/>
      <c r="K96" s="675"/>
      <c r="L96" s="676"/>
      <c r="M96" s="677"/>
      <c r="N96" s="2140"/>
      <c r="O96" s="2140"/>
      <c r="P96" s="2141"/>
      <c r="Q96" s="2134"/>
      <c r="R96" s="2121"/>
      <c r="S96" s="2121"/>
      <c r="T96" s="2121"/>
      <c r="U96" s="2121"/>
      <c r="V96" s="2121"/>
      <c r="W96" s="2121"/>
      <c r="X96" s="2121"/>
      <c r="Y96" s="2121"/>
      <c r="Z96" s="2121"/>
      <c r="AA96" s="2121"/>
      <c r="AB96" s="2121"/>
      <c r="AC96" s="212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42"/>
      <c r="O97" s="2142"/>
      <c r="P97" s="2141"/>
      <c r="Q97" s="2134"/>
      <c r="R97" s="2121"/>
      <c r="S97" s="2121"/>
      <c r="T97" s="2121"/>
      <c r="U97" s="2121"/>
      <c r="V97" s="2121"/>
      <c r="W97" s="2121"/>
      <c r="X97" s="2121"/>
      <c r="Y97" s="2121"/>
      <c r="Z97" s="2121"/>
      <c r="AA97" s="2121"/>
      <c r="AB97" s="2121"/>
      <c r="AC97" s="2121"/>
    </row>
    <row r="98" spans="1:29" s="1206" customFormat="1" ht="27.75" thickTop="1">
      <c r="A98" s="709"/>
      <c r="B98" s="673" t="s">
        <v>586</v>
      </c>
      <c r="C98" s="708" t="s">
        <v>578</v>
      </c>
      <c r="D98" s="708" t="s">
        <v>579</v>
      </c>
      <c r="E98" s="708" t="s">
        <v>580</v>
      </c>
      <c r="F98" s="708" t="s">
        <v>581</v>
      </c>
      <c r="G98" s="708" t="s">
        <v>582</v>
      </c>
      <c r="H98" s="708"/>
      <c r="I98" s="708"/>
      <c r="J98" s="708"/>
      <c r="K98" s="708"/>
      <c r="L98" s="710"/>
      <c r="M98" s="711"/>
      <c r="N98" s="2138"/>
      <c r="O98" s="2138"/>
      <c r="P98" s="2141"/>
      <c r="Q98" s="2134"/>
      <c r="R98" s="1969"/>
      <c r="S98" s="1969"/>
      <c r="T98" s="1969"/>
      <c r="U98" s="1969"/>
      <c r="V98" s="1969"/>
      <c r="W98" s="1969"/>
      <c r="X98" s="1969"/>
      <c r="Y98" s="1969"/>
      <c r="Z98" s="1969"/>
      <c r="AA98" s="1969"/>
      <c r="AB98" s="1969"/>
      <c r="AC98" s="1969"/>
    </row>
    <row r="99" spans="1:29" s="1206" customFormat="1" ht="15.75" thickBot="1">
      <c r="A99" s="709"/>
      <c r="B99" s="678"/>
      <c r="C99" s="712">
        <v>100</v>
      </c>
      <c r="D99" s="679">
        <f>C99-$K25</f>
        <v>100</v>
      </c>
      <c r="E99" s="679">
        <f>D99-$K25</f>
        <v>100</v>
      </c>
      <c r="F99" s="679">
        <f>E99-$K25</f>
        <v>100</v>
      </c>
      <c r="G99" s="679">
        <f>F99-$K25</f>
        <v>100</v>
      </c>
      <c r="H99" s="679"/>
      <c r="I99" s="679"/>
      <c r="J99" s="679"/>
      <c r="K99" s="679"/>
      <c r="L99" s="679"/>
      <c r="M99" s="680"/>
      <c r="N99" s="2142"/>
      <c r="O99" s="2142"/>
      <c r="P99" s="2141"/>
      <c r="Q99" s="2134"/>
      <c r="R99" s="1969"/>
      <c r="S99" s="1969"/>
      <c r="T99" s="1969"/>
      <c r="U99" s="1969"/>
      <c r="V99" s="1969"/>
      <c r="W99" s="1969"/>
      <c r="X99" s="1969"/>
      <c r="Y99" s="1969"/>
      <c r="Z99" s="1969"/>
      <c r="AA99" s="1969"/>
      <c r="AB99" s="1969"/>
      <c r="AC99" s="1969"/>
    </row>
    <row r="100" spans="1:29" s="1206" customFormat="1" ht="27.75" thickTop="1">
      <c r="A100" s="709"/>
      <c r="B100" s="673" t="s">
        <v>587</v>
      </c>
      <c r="C100" s="703" t="s">
        <v>578</v>
      </c>
      <c r="D100" s="703" t="s">
        <v>579</v>
      </c>
      <c r="E100" s="703" t="s">
        <v>580</v>
      </c>
      <c r="F100" s="703" t="s">
        <v>581</v>
      </c>
      <c r="G100" s="703" t="s">
        <v>582</v>
      </c>
      <c r="H100" s="708"/>
      <c r="I100" s="708"/>
      <c r="J100" s="708"/>
      <c r="K100" s="708"/>
      <c r="L100" s="708"/>
      <c r="M100" s="711"/>
      <c r="N100" s="2138"/>
      <c r="O100" s="2138"/>
      <c r="P100" s="2141"/>
      <c r="Q100" s="2134"/>
      <c r="R100" s="1969"/>
      <c r="S100" s="1969"/>
      <c r="T100" s="1969"/>
      <c r="U100" s="1969"/>
      <c r="V100" s="1969"/>
      <c r="W100" s="1969"/>
      <c r="X100" s="1969"/>
      <c r="Y100" s="1969"/>
      <c r="Z100" s="1969"/>
      <c r="AA100" s="1969"/>
      <c r="AB100" s="1969"/>
      <c r="AC100" s="1969"/>
    </row>
    <row r="101" spans="1:29" s="120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42"/>
      <c r="O101" s="2142"/>
      <c r="P101" s="2141"/>
      <c r="Q101" s="2134"/>
      <c r="R101" s="1969"/>
      <c r="S101" s="1969"/>
      <c r="T101" s="1969"/>
      <c r="U101" s="1969"/>
      <c r="V101" s="1969"/>
      <c r="W101" s="1969"/>
      <c r="X101" s="1969"/>
      <c r="Y101" s="1969"/>
      <c r="Z101" s="1969"/>
      <c r="AA101" s="1969"/>
      <c r="AB101" s="1969"/>
      <c r="AC101" s="1969"/>
    </row>
    <row r="102" spans="1:29" s="1325" customFormat="1" ht="15.75" thickTop="1">
      <c r="A102" s="687"/>
      <c r="B102" s="1872" t="s">
        <v>2523</v>
      </c>
      <c r="C102" s="703" t="s">
        <v>578</v>
      </c>
      <c r="D102" s="703" t="s">
        <v>579</v>
      </c>
      <c r="E102" s="703" t="s">
        <v>580</v>
      </c>
      <c r="F102" s="703" t="s">
        <v>581</v>
      </c>
      <c r="G102" s="703" t="s">
        <v>582</v>
      </c>
      <c r="H102" s="713"/>
      <c r="I102" s="713"/>
      <c r="J102" s="713"/>
      <c r="K102" s="713"/>
      <c r="L102" s="714"/>
      <c r="M102" s="715"/>
      <c r="N102" s="2143"/>
      <c r="O102" s="2143"/>
      <c r="P102" s="2144"/>
      <c r="Q102" s="2145"/>
      <c r="R102" s="2146"/>
      <c r="S102" s="2146"/>
      <c r="T102" s="2146"/>
      <c r="U102" s="2146"/>
      <c r="V102" s="2146"/>
      <c r="W102" s="2146"/>
      <c r="X102" s="2146"/>
      <c r="Y102" s="2146"/>
      <c r="Z102" s="2146"/>
      <c r="AA102" s="2146"/>
      <c r="AB102" s="2146"/>
      <c r="AC102" s="2146"/>
    </row>
    <row r="103" spans="1:29" s="132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43"/>
      <c r="O103" s="2143"/>
      <c r="P103" s="2144"/>
      <c r="Q103" s="2145"/>
      <c r="R103" s="2146"/>
      <c r="S103" s="2146"/>
      <c r="T103" s="2146"/>
      <c r="U103" s="2146"/>
      <c r="V103" s="2146"/>
      <c r="W103" s="2146"/>
      <c r="X103" s="2146"/>
      <c r="Y103" s="2146"/>
      <c r="Z103" s="2146"/>
      <c r="AA103" s="2146"/>
      <c r="AB103" s="2146"/>
      <c r="AC103" s="2146"/>
    </row>
    <row r="104" spans="1:29" s="1325" customFormat="1" ht="15.75" thickTop="1">
      <c r="A104" s="687"/>
      <c r="B104" s="2536" t="s">
        <v>2525</v>
      </c>
      <c r="C104" s="2537" t="s">
        <v>2526</v>
      </c>
      <c r="D104" s="2537" t="s">
        <v>2527</v>
      </c>
      <c r="E104" s="2537" t="s">
        <v>2528</v>
      </c>
      <c r="F104" s="2537" t="s">
        <v>2529</v>
      </c>
      <c r="G104" s="2537" t="s">
        <v>2530</v>
      </c>
      <c r="H104" s="713"/>
      <c r="I104" s="713"/>
      <c r="J104" s="713"/>
      <c r="K104" s="713"/>
      <c r="L104" s="713"/>
      <c r="M104" s="715"/>
      <c r="N104" s="2143"/>
      <c r="O104" s="2143"/>
      <c r="P104" s="2144"/>
      <c r="Q104" s="2145"/>
      <c r="R104" s="2146"/>
      <c r="S104" s="2146"/>
      <c r="T104" s="2146"/>
      <c r="U104" s="2146"/>
      <c r="V104" s="2146"/>
      <c r="W104" s="2146"/>
      <c r="X104" s="2146"/>
      <c r="Y104" s="2146"/>
      <c r="Z104" s="2146"/>
      <c r="AA104" s="2146"/>
      <c r="AB104" s="2146"/>
      <c r="AC104" s="2146"/>
    </row>
    <row r="105" spans="1:29" s="132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29"/>
      <c r="N105" s="2143"/>
      <c r="O105" s="2143"/>
      <c r="P105" s="2144"/>
      <c r="Q105" s="2145"/>
      <c r="R105" s="2146"/>
      <c r="S105" s="2146"/>
      <c r="T105" s="2146"/>
      <c r="U105" s="2146"/>
      <c r="V105" s="2146"/>
      <c r="W105" s="2146"/>
      <c r="X105" s="2146"/>
      <c r="Y105" s="2146"/>
      <c r="Z105" s="2146"/>
      <c r="AA105" s="2146"/>
      <c r="AB105" s="2146"/>
      <c r="AC105" s="2146"/>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0"/>
      <c r="O106" s="2140"/>
      <c r="P106" s="2141"/>
      <c r="Q106" s="2134"/>
      <c r="R106" s="2121"/>
      <c r="S106" s="2121"/>
      <c r="T106" s="2121"/>
      <c r="U106" s="2121"/>
      <c r="V106" s="2121"/>
      <c r="W106" s="2121"/>
      <c r="X106" s="2121"/>
      <c r="Y106" s="2121"/>
      <c r="Z106" s="2121"/>
      <c r="AA106" s="2121"/>
      <c r="AB106" s="2121"/>
      <c r="AC106" s="212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2"/>
      <c r="O107" s="2142"/>
      <c r="P107" s="2141"/>
      <c r="Q107" s="2134"/>
      <c r="R107" s="2121"/>
      <c r="S107" s="2121"/>
      <c r="T107" s="2121"/>
      <c r="U107" s="2121"/>
      <c r="V107" s="2121"/>
      <c r="W107" s="2121"/>
      <c r="X107" s="2121"/>
      <c r="Y107" s="2121"/>
      <c r="Z107" s="2121"/>
      <c r="AA107" s="2121"/>
      <c r="AB107" s="2121"/>
      <c r="AC107" s="2121"/>
    </row>
    <row r="108" spans="1:29" ht="27.75" thickTop="1">
      <c r="A108" s="669"/>
      <c r="B108" s="673" t="s">
        <v>547</v>
      </c>
      <c r="C108" s="688"/>
      <c r="D108" s="688"/>
      <c r="E108" s="688"/>
      <c r="F108" s="688"/>
      <c r="G108" s="688"/>
      <c r="H108" s="718"/>
      <c r="I108" s="718"/>
      <c r="J108" s="718"/>
      <c r="K108" s="719"/>
      <c r="L108" s="720"/>
      <c r="M108" s="721"/>
      <c r="N108" s="2140"/>
      <c r="O108" s="2140"/>
      <c r="P108" s="2141"/>
      <c r="Q108" s="2134"/>
      <c r="R108" s="2121"/>
      <c r="S108" s="2121"/>
      <c r="T108" s="2121"/>
      <c r="U108" s="2121"/>
      <c r="V108" s="2121"/>
      <c r="W108" s="2121"/>
      <c r="X108" s="2121"/>
      <c r="Y108" s="2121"/>
      <c r="Z108" s="2121"/>
      <c r="AA108" s="2121"/>
      <c r="AB108" s="2121"/>
      <c r="AC108" s="212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2"/>
      <c r="O109" s="2142"/>
      <c r="P109" s="2141"/>
      <c r="Q109" s="2134"/>
      <c r="R109" s="2121"/>
      <c r="S109" s="2121"/>
      <c r="T109" s="2121"/>
      <c r="U109" s="2121"/>
      <c r="V109" s="2121"/>
      <c r="W109" s="2121"/>
      <c r="X109" s="2121"/>
      <c r="Y109" s="2121"/>
      <c r="Z109" s="2121"/>
      <c r="AA109" s="2121"/>
      <c r="AB109" s="2121"/>
      <c r="AC109" s="2121"/>
    </row>
    <row r="110" spans="1:29" ht="15.75" thickTop="1">
      <c r="A110" s="669"/>
      <c r="B110" s="673" t="s">
        <v>548</v>
      </c>
      <c r="C110" s="718"/>
      <c r="D110" s="718"/>
      <c r="E110" s="718"/>
      <c r="F110" s="718"/>
      <c r="G110" s="718"/>
      <c r="H110" s="718"/>
      <c r="I110" s="718"/>
      <c r="J110" s="718"/>
      <c r="K110" s="719"/>
      <c r="L110" s="720"/>
      <c r="M110" s="721"/>
      <c r="N110" s="2140"/>
      <c r="O110" s="2140"/>
      <c r="P110" s="2141"/>
      <c r="Q110" s="2134"/>
      <c r="R110" s="2121"/>
      <c r="S110" s="2121"/>
      <c r="T110" s="2121"/>
      <c r="U110" s="2121"/>
      <c r="V110" s="2121"/>
      <c r="W110" s="2121"/>
      <c r="X110" s="2121"/>
      <c r="Y110" s="2121"/>
      <c r="Z110" s="2121"/>
      <c r="AA110" s="2121"/>
      <c r="AB110" s="2121"/>
      <c r="AC110" s="212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2"/>
      <c r="O111" s="2142"/>
      <c r="P111" s="2141"/>
      <c r="Q111" s="2134"/>
      <c r="R111" s="2121"/>
      <c r="S111" s="2121"/>
      <c r="T111" s="2121"/>
      <c r="U111" s="2121"/>
      <c r="V111" s="2121"/>
      <c r="W111" s="2121"/>
      <c r="X111" s="2121"/>
      <c r="Y111" s="2121"/>
      <c r="Z111" s="2121"/>
      <c r="AA111" s="2121"/>
      <c r="AB111" s="2121"/>
      <c r="AC111" s="2121"/>
    </row>
    <row r="112" spans="1:29" ht="15.75" thickTop="1">
      <c r="A112" s="669"/>
      <c r="B112" s="681">
        <f>B37</f>
        <v>111</v>
      </c>
      <c r="C112" s="688"/>
      <c r="D112" s="688"/>
      <c r="E112" s="688"/>
      <c r="F112" s="688"/>
      <c r="G112" s="722"/>
      <c r="H112" s="722"/>
      <c r="I112" s="722"/>
      <c r="J112" s="722"/>
      <c r="K112" s="723"/>
      <c r="L112" s="724"/>
      <c r="M112" s="725"/>
      <c r="N112" s="2140"/>
      <c r="O112" s="2140"/>
      <c r="P112" s="2141"/>
      <c r="Q112" s="2134"/>
      <c r="R112" s="2121"/>
      <c r="S112" s="2121"/>
      <c r="T112" s="2121"/>
      <c r="U112" s="2121"/>
      <c r="V112" s="2121"/>
      <c r="W112" s="2121"/>
      <c r="X112" s="2121"/>
      <c r="Y112" s="2121"/>
      <c r="Z112" s="2121"/>
      <c r="AA112" s="2121"/>
      <c r="AB112" s="2121"/>
      <c r="AC112" s="2121"/>
    </row>
    <row r="113" spans="1:29" ht="15.75" thickBot="1">
      <c r="A113" s="669"/>
      <c r="B113" s="699"/>
      <c r="C113" s="692"/>
      <c r="D113" s="692"/>
      <c r="E113" s="692"/>
      <c r="F113" s="692"/>
      <c r="G113" s="726"/>
      <c r="H113" s="726"/>
      <c r="I113" s="726"/>
      <c r="J113" s="726"/>
      <c r="K113" s="726"/>
      <c r="L113" s="726"/>
      <c r="M113" s="727"/>
      <c r="N113" s="2142"/>
      <c r="O113" s="2142"/>
      <c r="P113" s="2141"/>
      <c r="Q113" s="2134"/>
      <c r="R113" s="2121"/>
      <c r="S113" s="2121"/>
      <c r="T113" s="2121"/>
      <c r="U113" s="2121"/>
      <c r="V113" s="2121"/>
      <c r="W113" s="2121"/>
      <c r="X113" s="2121"/>
      <c r="Y113" s="2121"/>
      <c r="Z113" s="2121"/>
      <c r="AA113" s="2121"/>
      <c r="AB113" s="2121"/>
      <c r="AC113" s="2121"/>
    </row>
    <row r="114" spans="1:29" ht="15" thickTop="1">
      <c r="A114" s="587"/>
      <c r="B114" s="673">
        <f>B38</f>
        <v>111</v>
      </c>
      <c r="C114" s="661"/>
      <c r="D114" s="661"/>
      <c r="E114" s="661"/>
      <c r="F114" s="661"/>
      <c r="G114" s="718"/>
      <c r="H114" s="718"/>
      <c r="I114" s="718"/>
      <c r="J114" s="718"/>
      <c r="K114" s="719"/>
      <c r="L114" s="720"/>
      <c r="M114" s="721"/>
      <c r="N114" s="2140"/>
      <c r="O114" s="2140"/>
      <c r="P114" s="2141"/>
      <c r="Q114" s="2134"/>
      <c r="R114" s="2121"/>
      <c r="S114" s="2121"/>
      <c r="T114" s="2121"/>
      <c r="U114" s="2121"/>
      <c r="V114" s="2121"/>
      <c r="W114" s="2121"/>
      <c r="X114" s="2121"/>
      <c r="Y114" s="2121"/>
      <c r="Z114" s="2121"/>
      <c r="AA114" s="2121"/>
      <c r="AB114" s="2121"/>
      <c r="AC114" s="2121"/>
    </row>
    <row r="115" spans="1:29" ht="15.75" thickBot="1">
      <c r="A115" s="669"/>
      <c r="B115" s="678"/>
      <c r="C115" s="700"/>
      <c r="D115" s="700"/>
      <c r="E115" s="700"/>
      <c r="F115" s="700"/>
      <c r="G115" s="671"/>
      <c r="H115" s="671"/>
      <c r="I115" s="671"/>
      <c r="J115" s="671"/>
      <c r="K115" s="671"/>
      <c r="L115" s="671"/>
      <c r="M115" s="672"/>
      <c r="N115" s="2142"/>
      <c r="O115" s="2142"/>
      <c r="P115" s="2141"/>
      <c r="Q115" s="2134"/>
      <c r="R115" s="2121"/>
      <c r="S115" s="2121"/>
      <c r="T115" s="2121"/>
      <c r="U115" s="2121"/>
      <c r="V115" s="2121"/>
      <c r="W115" s="2121"/>
      <c r="X115" s="2121"/>
      <c r="Y115" s="2121"/>
      <c r="Z115" s="2121"/>
      <c r="AA115" s="2121"/>
      <c r="AB115" s="2121"/>
      <c r="AC115" s="2121"/>
    </row>
    <row r="116" spans="1:29" s="1325" customFormat="1" ht="15" thickTop="1">
      <c r="A116" s="728"/>
      <c r="B116" s="729">
        <f>B39</f>
        <v>111</v>
      </c>
      <c r="C116" s="730"/>
      <c r="D116" s="730"/>
      <c r="E116" s="730"/>
      <c r="F116" s="730"/>
      <c r="G116" s="730"/>
      <c r="H116" s="730"/>
      <c r="I116" s="730"/>
      <c r="J116" s="731"/>
      <c r="K116" s="731"/>
      <c r="L116" s="732"/>
      <c r="M116" s="733"/>
      <c r="N116" s="2143"/>
      <c r="O116" s="2143"/>
      <c r="P116" s="2144"/>
      <c r="Q116" s="2145"/>
      <c r="R116" s="2146"/>
      <c r="S116" s="2146"/>
      <c r="T116" s="2146"/>
      <c r="U116" s="2146"/>
      <c r="V116" s="2146"/>
      <c r="W116" s="2146"/>
      <c r="X116" s="2146"/>
      <c r="Y116" s="2146"/>
      <c r="Z116" s="2146"/>
      <c r="AA116" s="2146"/>
      <c r="AB116" s="2146"/>
      <c r="AC116" s="2146"/>
    </row>
    <row r="117" spans="1:29" s="1325" customFormat="1" ht="15.75" thickBot="1">
      <c r="A117" s="687"/>
      <c r="B117" s="681"/>
      <c r="C117" s="650"/>
      <c r="D117" s="592"/>
      <c r="E117" s="592"/>
      <c r="F117" s="592"/>
      <c r="G117" s="592"/>
      <c r="H117" s="592"/>
      <c r="I117" s="592"/>
      <c r="J117" s="592"/>
      <c r="K117" s="592"/>
      <c r="L117" s="592"/>
      <c r="M117" s="734"/>
      <c r="N117" s="2142"/>
      <c r="O117" s="2142"/>
      <c r="P117" s="2144"/>
      <c r="Q117" s="2145"/>
      <c r="R117" s="2146"/>
      <c r="S117" s="2146"/>
      <c r="T117" s="2146"/>
      <c r="U117" s="2146"/>
      <c r="V117" s="2146"/>
      <c r="W117" s="2146"/>
      <c r="X117" s="2146"/>
      <c r="Y117" s="2146"/>
      <c r="Z117" s="2146"/>
      <c r="AA117" s="2146"/>
      <c r="AB117" s="2146"/>
      <c r="AC117" s="2146"/>
    </row>
    <row r="118" spans="1:29">
      <c r="A118" s="664" t="s">
        <v>550</v>
      </c>
      <c r="B118" s="665" t="s">
        <v>592</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19" t="str">
        <f t="shared" si="25"/>
        <v>(含)-</v>
      </c>
      <c r="K118" s="3019" t="str">
        <f t="shared" si="25"/>
        <v>(含)-</v>
      </c>
      <c r="L118" s="3020" t="str">
        <f t="shared" si="25"/>
        <v>(含)-</v>
      </c>
      <c r="M118" s="3021" t="str">
        <f>M119&amp;"(含)"&amp;"-"&amp;P119</f>
        <v>(含)-</v>
      </c>
      <c r="N118" s="2140"/>
      <c r="O118" s="2140"/>
      <c r="P118" s="2141"/>
      <c r="Q118" s="2134"/>
      <c r="R118" s="2121"/>
      <c r="S118" s="2121"/>
      <c r="T118" s="2121"/>
      <c r="U118" s="2121"/>
      <c r="V118" s="2121"/>
      <c r="W118" s="2121"/>
      <c r="X118" s="2121"/>
      <c r="Y118" s="2121"/>
      <c r="Z118" s="2121"/>
      <c r="AA118" s="2121"/>
      <c r="AB118" s="2121"/>
      <c r="AC118" s="2121"/>
    </row>
    <row r="119" spans="1:29" ht="15">
      <c r="A119" s="669"/>
      <c r="B119" s="681"/>
      <c r="C119" s="730"/>
      <c r="D119" s="730"/>
      <c r="E119" s="730"/>
      <c r="F119" s="730"/>
      <c r="G119" s="730"/>
      <c r="H119" s="730"/>
      <c r="I119" s="730"/>
      <c r="J119" s="2307"/>
      <c r="K119" s="2307"/>
      <c r="L119" s="2308"/>
      <c r="M119" s="2309"/>
      <c r="N119" s="2140"/>
      <c r="O119" s="2140"/>
      <c r="P119" s="2141"/>
      <c r="Q119" s="2134"/>
      <c r="R119" s="2121"/>
      <c r="S119" s="2121"/>
      <c r="T119" s="2121"/>
      <c r="U119" s="2121"/>
      <c r="V119" s="2121"/>
      <c r="W119" s="2121"/>
      <c r="X119" s="2121"/>
      <c r="Y119" s="2121"/>
      <c r="Z119" s="2121"/>
      <c r="AA119" s="2121"/>
      <c r="AB119" s="2121"/>
      <c r="AC119" s="2121"/>
    </row>
    <row r="120" spans="1:29" ht="15.75" thickBot="1">
      <c r="A120" s="669"/>
      <c r="B120" s="678"/>
      <c r="C120" s="700"/>
      <c r="D120" s="726"/>
      <c r="E120" s="726"/>
      <c r="F120" s="726"/>
      <c r="G120" s="726"/>
      <c r="H120" s="726"/>
      <c r="I120" s="726"/>
      <c r="J120" s="726"/>
      <c r="K120" s="726"/>
      <c r="L120" s="726"/>
      <c r="M120" s="727"/>
      <c r="N120" s="2142"/>
      <c r="O120" s="2142"/>
      <c r="P120" s="2141"/>
      <c r="Q120" s="2134"/>
      <c r="R120" s="2121"/>
      <c r="S120" s="2121"/>
      <c r="T120" s="2121"/>
      <c r="U120" s="2121"/>
      <c r="V120" s="2121"/>
      <c r="W120" s="2121"/>
      <c r="X120" s="2121"/>
      <c r="Y120" s="2121"/>
      <c r="Z120" s="2121"/>
      <c r="AA120" s="2121"/>
      <c r="AB120" s="2121"/>
      <c r="AC120" s="2121"/>
    </row>
    <row r="121" spans="1:29" ht="15" thickTop="1">
      <c r="A121" s="735"/>
      <c r="B121" s="673" t="s">
        <v>593</v>
      </c>
      <c r="C121" s="718"/>
      <c r="D121" s="718"/>
      <c r="E121" s="718"/>
      <c r="F121" s="718"/>
      <c r="G121" s="718"/>
      <c r="H121" s="718"/>
      <c r="I121" s="718"/>
      <c r="J121" s="718"/>
      <c r="K121" s="719"/>
      <c r="L121" s="720"/>
      <c r="M121" s="721"/>
      <c r="N121" s="2140"/>
      <c r="O121" s="2140"/>
      <c r="P121" s="2141"/>
      <c r="Q121" s="2134"/>
      <c r="R121" s="2121"/>
      <c r="S121" s="2121"/>
      <c r="T121" s="2121"/>
      <c r="U121" s="2121"/>
      <c r="V121" s="2121"/>
      <c r="W121" s="2121"/>
      <c r="X121" s="2121"/>
      <c r="Y121" s="2121"/>
      <c r="Z121" s="2121"/>
      <c r="AA121" s="2121"/>
      <c r="AB121" s="2121"/>
      <c r="AC121" s="212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42"/>
      <c r="O122" s="2142"/>
      <c r="P122" s="2141"/>
      <c r="Q122" s="2134"/>
      <c r="R122" s="2121"/>
      <c r="S122" s="2121"/>
      <c r="T122" s="2121"/>
      <c r="U122" s="2121"/>
      <c r="V122" s="2121"/>
      <c r="W122" s="2121"/>
      <c r="X122" s="2121"/>
      <c r="Y122" s="2121"/>
      <c r="Z122" s="2121"/>
      <c r="AA122" s="2121"/>
      <c r="AB122" s="2121"/>
      <c r="AC122" s="2121"/>
    </row>
    <row r="123" spans="1:29" ht="15" thickTop="1">
      <c r="A123" s="735"/>
      <c r="B123" s="673" t="s">
        <v>594</v>
      </c>
      <c r="C123" s="688"/>
      <c r="D123" s="688"/>
      <c r="E123" s="688"/>
      <c r="F123" s="718"/>
      <c r="G123" s="718"/>
      <c r="H123" s="718"/>
      <c r="I123" s="718"/>
      <c r="J123" s="718"/>
      <c r="K123" s="719"/>
      <c r="L123" s="720"/>
      <c r="M123" s="721"/>
      <c r="N123" s="2140"/>
      <c r="O123" s="2140"/>
      <c r="P123" s="2141"/>
      <c r="Q123" s="2134"/>
      <c r="R123" s="2121"/>
      <c r="S123" s="2121"/>
      <c r="T123" s="2121"/>
      <c r="U123" s="2121"/>
      <c r="V123" s="2121"/>
      <c r="W123" s="2121"/>
      <c r="X123" s="2121"/>
      <c r="Y123" s="2121"/>
      <c r="Z123" s="2121"/>
      <c r="AA123" s="2121"/>
      <c r="AB123" s="2121"/>
      <c r="AC123" s="212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42"/>
      <c r="O124" s="2142"/>
      <c r="P124" s="2141"/>
      <c r="Q124" s="2134"/>
      <c r="R124" s="2121"/>
      <c r="S124" s="2121"/>
      <c r="T124" s="2121"/>
      <c r="U124" s="2121"/>
      <c r="V124" s="2121"/>
      <c r="W124" s="2121"/>
      <c r="X124" s="2121"/>
      <c r="Y124" s="2121"/>
      <c r="Z124" s="2121"/>
      <c r="AA124" s="2121"/>
      <c r="AB124" s="2121"/>
      <c r="AC124" s="2121"/>
    </row>
    <row r="125" spans="1:29" s="1325" customFormat="1" ht="15" thickTop="1">
      <c r="A125" s="728"/>
      <c r="B125" s="1872" t="s">
        <v>2400</v>
      </c>
      <c r="C125" s="1362"/>
      <c r="D125" s="1362"/>
      <c r="E125" s="1362"/>
      <c r="F125" s="1362"/>
      <c r="G125" s="1362"/>
      <c r="H125" s="718"/>
      <c r="I125" s="718"/>
      <c r="J125" s="718"/>
      <c r="K125" s="719"/>
      <c r="L125" s="720"/>
      <c r="M125" s="721"/>
      <c r="N125" s="2143"/>
      <c r="O125" s="2143"/>
      <c r="P125" s="2144"/>
      <c r="Q125" s="2145"/>
      <c r="R125" s="2146"/>
      <c r="S125" s="2146"/>
      <c r="T125" s="2146"/>
      <c r="U125" s="2146"/>
      <c r="V125" s="2146"/>
      <c r="W125" s="2146"/>
      <c r="X125" s="2146"/>
      <c r="Y125" s="2146"/>
      <c r="Z125" s="2146"/>
      <c r="AA125" s="2146"/>
      <c r="AB125" s="2146"/>
      <c r="AC125" s="2146"/>
    </row>
    <row r="126" spans="1:29" s="132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43"/>
      <c r="O126" s="2143"/>
      <c r="P126" s="2144"/>
      <c r="Q126" s="2145"/>
      <c r="R126" s="2146"/>
      <c r="S126" s="2146"/>
      <c r="T126" s="2146"/>
      <c r="U126" s="2146"/>
      <c r="V126" s="2146"/>
      <c r="W126" s="2146"/>
      <c r="X126" s="2146"/>
      <c r="Y126" s="2146"/>
      <c r="Z126" s="2146"/>
      <c r="AA126" s="2146"/>
      <c r="AB126" s="2146"/>
      <c r="AC126" s="2146"/>
    </row>
    <row r="127" spans="1:29" ht="15" thickTop="1">
      <c r="A127" s="735"/>
      <c r="B127" s="673" t="s">
        <v>595</v>
      </c>
      <c r="C127" s="688"/>
      <c r="D127" s="688"/>
      <c r="E127" s="718"/>
      <c r="F127" s="718"/>
      <c r="G127" s="718"/>
      <c r="H127" s="718"/>
      <c r="I127" s="718"/>
      <c r="J127" s="718"/>
      <c r="K127" s="719"/>
      <c r="L127" s="720"/>
      <c r="M127" s="721"/>
      <c r="N127" s="2140"/>
      <c r="O127" s="2140"/>
      <c r="P127" s="2141"/>
      <c r="Q127" s="2134"/>
      <c r="R127" s="2121"/>
      <c r="S127" s="2121"/>
      <c r="T127" s="2121"/>
      <c r="U127" s="2121"/>
      <c r="V127" s="2121"/>
      <c r="W127" s="2121"/>
      <c r="X127" s="2121"/>
      <c r="Y127" s="2121"/>
      <c r="Z127" s="2121"/>
      <c r="AA127" s="2121"/>
      <c r="AB127" s="2121"/>
      <c r="AC127" s="212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42"/>
      <c r="O128" s="2142"/>
      <c r="P128" s="2141"/>
      <c r="Q128" s="2134"/>
      <c r="R128" s="2121"/>
      <c r="S128" s="2121"/>
      <c r="T128" s="2121"/>
      <c r="U128" s="2121"/>
      <c r="V128" s="2121"/>
      <c r="W128" s="2121"/>
      <c r="X128" s="2121"/>
      <c r="Y128" s="2121"/>
      <c r="Z128" s="2121"/>
      <c r="AA128" s="2121"/>
      <c r="AB128" s="2121"/>
      <c r="AC128" s="2121"/>
    </row>
    <row r="129" spans="1:29" ht="15" thickTop="1">
      <c r="A129" s="735"/>
      <c r="B129" s="673">
        <f>B45</f>
        <v>111</v>
      </c>
      <c r="C129" s="688"/>
      <c r="D129" s="688"/>
      <c r="E129" s="688"/>
      <c r="F129" s="688"/>
      <c r="G129" s="688"/>
      <c r="H129" s="718"/>
      <c r="I129" s="718"/>
      <c r="J129" s="718"/>
      <c r="K129" s="719"/>
      <c r="L129" s="720"/>
      <c r="M129" s="721"/>
      <c r="N129" s="2140"/>
      <c r="O129" s="2140"/>
      <c r="P129" s="2141"/>
      <c r="Q129" s="2134"/>
      <c r="R129" s="2121"/>
      <c r="S129" s="2121"/>
      <c r="T129" s="2121"/>
      <c r="U129" s="2121"/>
      <c r="V129" s="2121"/>
      <c r="W129" s="2121"/>
      <c r="X129" s="2121"/>
      <c r="Y129" s="2121"/>
      <c r="Z129" s="2121"/>
      <c r="AA129" s="2121"/>
      <c r="AB129" s="2121"/>
      <c r="AC129" s="2121"/>
    </row>
    <row r="130" spans="1:29" ht="15.75" thickBot="1">
      <c r="A130" s="669"/>
      <c r="B130" s="678"/>
      <c r="C130" s="692"/>
      <c r="D130" s="692"/>
      <c r="E130" s="692"/>
      <c r="F130" s="692"/>
      <c r="G130" s="671"/>
      <c r="H130" s="671"/>
      <c r="I130" s="671"/>
      <c r="J130" s="671"/>
      <c r="K130" s="671"/>
      <c r="L130" s="671"/>
      <c r="M130" s="672"/>
      <c r="N130" s="2142"/>
      <c r="O130" s="2142"/>
      <c r="P130" s="2141"/>
      <c r="Q130" s="2134"/>
      <c r="R130" s="2121"/>
      <c r="S130" s="2121"/>
      <c r="T130" s="2121"/>
      <c r="U130" s="2121"/>
      <c r="V130" s="2121"/>
      <c r="W130" s="2121"/>
      <c r="X130" s="2121"/>
      <c r="Y130" s="2121"/>
      <c r="Z130" s="2121"/>
      <c r="AA130" s="2121"/>
      <c r="AB130" s="2121"/>
      <c r="AC130" s="2121"/>
    </row>
    <row r="131" spans="1:29" ht="15" thickTop="1">
      <c r="A131" s="735"/>
      <c r="B131" s="673">
        <f>B46</f>
        <v>111</v>
      </c>
      <c r="C131" s="661"/>
      <c r="D131" s="661"/>
      <c r="E131" s="661"/>
      <c r="F131" s="661"/>
      <c r="G131" s="718"/>
      <c r="H131" s="718"/>
      <c r="I131" s="718"/>
      <c r="J131" s="718"/>
      <c r="K131" s="719"/>
      <c r="L131" s="720"/>
      <c r="M131" s="721"/>
      <c r="N131" s="2140"/>
      <c r="O131" s="2140"/>
      <c r="P131" s="2141"/>
      <c r="Q131" s="2134"/>
      <c r="R131" s="2121"/>
      <c r="S131" s="2121"/>
      <c r="T131" s="2121"/>
      <c r="U131" s="2121"/>
      <c r="V131" s="2121"/>
      <c r="W131" s="2121"/>
      <c r="X131" s="2121"/>
      <c r="Y131" s="2121"/>
      <c r="Z131" s="2121"/>
      <c r="AA131" s="2121"/>
      <c r="AB131" s="2121"/>
      <c r="AC131" s="2121"/>
    </row>
    <row r="132" spans="1:29" ht="15.75" thickBot="1">
      <c r="A132" s="669"/>
      <c r="B132" s="678"/>
      <c r="C132" s="700"/>
      <c r="D132" s="700"/>
      <c r="E132" s="700"/>
      <c r="F132" s="700"/>
      <c r="G132" s="671"/>
      <c r="H132" s="671"/>
      <c r="I132" s="671"/>
      <c r="J132" s="671"/>
      <c r="K132" s="671"/>
      <c r="L132" s="671"/>
      <c r="M132" s="672"/>
      <c r="N132" s="2142"/>
      <c r="O132" s="2142"/>
      <c r="P132" s="2141"/>
      <c r="Q132" s="2134"/>
      <c r="R132" s="2121"/>
      <c r="S132" s="2121"/>
      <c r="T132" s="2121"/>
      <c r="U132" s="2121"/>
      <c r="V132" s="2121"/>
      <c r="W132" s="2121"/>
      <c r="X132" s="2121"/>
      <c r="Y132" s="2121"/>
      <c r="Z132" s="2121"/>
      <c r="AA132" s="2121"/>
      <c r="AB132" s="2121"/>
      <c r="AC132" s="2121"/>
    </row>
    <row r="133" spans="1:29" s="1325" customFormat="1" ht="15" thickTop="1">
      <c r="A133" s="728"/>
      <c r="B133" s="673">
        <f>B47</f>
        <v>111</v>
      </c>
      <c r="C133" s="661"/>
      <c r="D133" s="661"/>
      <c r="E133" s="661"/>
      <c r="F133" s="661"/>
      <c r="G133" s="689"/>
      <c r="H133" s="689"/>
      <c r="I133" s="689"/>
      <c r="J133" s="689"/>
      <c r="K133" s="689"/>
      <c r="L133" s="690"/>
      <c r="M133" s="691"/>
      <c r="N133" s="2143"/>
      <c r="O133" s="2143"/>
      <c r="P133" s="2144"/>
      <c r="Q133" s="2145"/>
      <c r="R133" s="2146"/>
      <c r="S133" s="2146"/>
      <c r="T133" s="2146"/>
      <c r="U133" s="2146"/>
      <c r="V133" s="2146"/>
      <c r="W133" s="2146"/>
      <c r="X133" s="2146"/>
      <c r="Y133" s="2146"/>
      <c r="Z133" s="2146"/>
      <c r="AA133" s="2146"/>
      <c r="AB133" s="2146"/>
      <c r="AC133" s="2146"/>
    </row>
    <row r="134" spans="1:29" s="1325" customFormat="1" ht="15.75" thickBot="1">
      <c r="A134" s="698"/>
      <c r="B134" s="736"/>
      <c r="C134" s="700"/>
      <c r="D134" s="700"/>
      <c r="E134" s="700"/>
      <c r="F134" s="700"/>
      <c r="G134" s="726"/>
      <c r="H134" s="726"/>
      <c r="I134" s="726"/>
      <c r="J134" s="726"/>
      <c r="K134" s="726"/>
      <c r="L134" s="726"/>
      <c r="M134" s="727"/>
      <c r="N134" s="2143"/>
      <c r="O134" s="2143"/>
      <c r="P134" s="2144"/>
      <c r="Q134" s="2145"/>
      <c r="R134" s="2146"/>
      <c r="S134" s="2146"/>
      <c r="T134" s="2146"/>
      <c r="U134" s="2146"/>
      <c r="V134" s="2146"/>
      <c r="W134" s="2146"/>
      <c r="X134" s="2146"/>
      <c r="Y134" s="2146"/>
      <c r="Z134" s="2146"/>
      <c r="AA134" s="2146"/>
      <c r="AB134" s="2146"/>
      <c r="AC134" s="2146"/>
    </row>
    <row r="135" spans="1:29" s="1564" customFormat="1">
      <c r="A135" s="2151"/>
      <c r="B135" s="2151"/>
      <c r="C135" s="2151"/>
      <c r="D135" s="2151"/>
      <c r="E135" s="2151"/>
      <c r="F135" s="2151"/>
      <c r="G135" s="2151"/>
      <c r="H135" s="2151"/>
      <c r="I135" s="2151"/>
      <c r="J135" s="2151"/>
      <c r="K135" s="2152"/>
      <c r="L135" s="2153"/>
      <c r="M135" s="2151"/>
      <c r="N135" s="2151"/>
      <c r="O135" s="2151"/>
      <c r="P135" s="2151"/>
      <c r="Q135" s="2151"/>
      <c r="R135" s="2151"/>
      <c r="S135" s="2151"/>
      <c r="T135" s="2151"/>
      <c r="U135" s="2151"/>
      <c r="V135" s="2151"/>
      <c r="W135" s="2151"/>
      <c r="X135" s="2151"/>
      <c r="Y135" s="2151"/>
      <c r="Z135" s="2151"/>
      <c r="AA135" s="2151"/>
      <c r="AB135" s="2151"/>
      <c r="AC135" s="2151"/>
    </row>
    <row r="136" spans="1:29" s="1564" customFormat="1">
      <c r="A136" s="2151"/>
      <c r="B136" s="2151"/>
      <c r="C136" s="2151"/>
      <c r="D136" s="2151"/>
      <c r="E136" s="2151"/>
      <c r="F136" s="2151"/>
      <c r="G136" s="2151"/>
      <c r="H136" s="2151"/>
      <c r="I136" s="2151"/>
      <c r="J136" s="2151"/>
      <c r="K136" s="2152"/>
      <c r="L136" s="2153"/>
      <c r="M136" s="2151"/>
      <c r="N136" s="2151"/>
      <c r="O136" s="2151"/>
      <c r="P136" s="2151"/>
      <c r="Q136" s="2151"/>
      <c r="R136" s="2151"/>
      <c r="S136" s="2151"/>
      <c r="T136" s="2151"/>
      <c r="U136" s="2151"/>
      <c r="V136" s="2151"/>
      <c r="W136" s="2151"/>
      <c r="X136" s="2151"/>
      <c r="Y136" s="2151"/>
      <c r="Z136" s="2151"/>
      <c r="AA136" s="2151"/>
      <c r="AB136" s="2151"/>
      <c r="AC136" s="2151"/>
    </row>
    <row r="137" spans="1:29" s="1564" customFormat="1">
      <c r="A137" s="2151"/>
      <c r="B137" s="2151"/>
      <c r="C137" s="2151"/>
      <c r="D137" s="2151"/>
      <c r="E137" s="2151"/>
      <c r="F137" s="2151"/>
      <c r="G137" s="2151"/>
      <c r="H137" s="2151"/>
      <c r="I137" s="2151"/>
      <c r="J137" s="2151"/>
      <c r="K137" s="2152"/>
      <c r="L137" s="2153"/>
      <c r="M137" s="2151"/>
      <c r="N137" s="2151"/>
      <c r="O137" s="2151"/>
      <c r="P137" s="2151"/>
      <c r="Q137" s="2151"/>
      <c r="R137" s="2151"/>
      <c r="S137" s="2151"/>
      <c r="T137" s="2151"/>
      <c r="U137" s="2151"/>
      <c r="V137" s="2151"/>
      <c r="W137" s="2151"/>
      <c r="X137" s="2151"/>
      <c r="Y137" s="2151"/>
      <c r="Z137" s="2151"/>
      <c r="AA137" s="2151"/>
      <c r="AB137" s="2151"/>
      <c r="AC137" s="2151"/>
    </row>
    <row r="138" spans="1:29" s="1564" customFormat="1">
      <c r="A138" s="2151"/>
      <c r="B138" s="2151"/>
      <c r="C138" s="2151"/>
      <c r="D138" s="2151"/>
      <c r="E138" s="2151"/>
      <c r="F138" s="2151"/>
      <c r="G138" s="2151"/>
      <c r="H138" s="2151"/>
      <c r="I138" s="2151"/>
      <c r="J138" s="2151"/>
      <c r="K138" s="2152"/>
      <c r="L138" s="2153"/>
      <c r="M138" s="2151"/>
      <c r="N138" s="2151"/>
      <c r="O138" s="2151"/>
      <c r="P138" s="2151"/>
      <c r="Q138" s="2151"/>
      <c r="R138" s="2151"/>
      <c r="S138" s="2151"/>
      <c r="T138" s="2151"/>
      <c r="U138" s="2151"/>
      <c r="V138" s="2151"/>
      <c r="W138" s="2151"/>
      <c r="X138" s="2151"/>
      <c r="Y138" s="2151"/>
      <c r="Z138" s="2151"/>
      <c r="AA138" s="2151"/>
      <c r="AB138" s="2151"/>
      <c r="AC138" s="2151"/>
    </row>
    <row r="139" spans="1:29" s="1564" customFormat="1">
      <c r="A139" s="2151"/>
      <c r="B139" s="2151"/>
      <c r="C139" s="2151"/>
      <c r="D139" s="2151"/>
      <c r="E139" s="2151"/>
      <c r="F139" s="2151"/>
      <c r="G139" s="2151"/>
      <c r="H139" s="2151"/>
      <c r="I139" s="2151"/>
      <c r="J139" s="2151"/>
      <c r="K139" s="2152"/>
      <c r="L139" s="2153"/>
      <c r="M139" s="2151"/>
      <c r="N139" s="2151"/>
      <c r="O139" s="2151"/>
      <c r="P139" s="2151"/>
      <c r="Q139" s="2151"/>
      <c r="R139" s="2151"/>
      <c r="S139" s="2151"/>
      <c r="T139" s="2151"/>
      <c r="U139" s="2151"/>
      <c r="V139" s="2151"/>
      <c r="W139" s="2151"/>
      <c r="X139" s="2151"/>
      <c r="Y139" s="2151"/>
      <c r="Z139" s="2151"/>
      <c r="AA139" s="2151"/>
      <c r="AB139" s="2151"/>
      <c r="AC139" s="2151"/>
    </row>
    <row r="140" spans="1:29" s="1564" customFormat="1">
      <c r="A140" s="2151"/>
      <c r="B140" s="2151"/>
      <c r="C140" s="2151"/>
      <c r="D140" s="2151"/>
      <c r="E140" s="2151"/>
      <c r="F140" s="2151"/>
      <c r="G140" s="2151"/>
      <c r="H140" s="2151"/>
      <c r="I140" s="2151"/>
      <c r="J140" s="2151"/>
      <c r="K140" s="2152"/>
      <c r="L140" s="2153"/>
      <c r="M140" s="2151"/>
      <c r="N140" s="2151"/>
      <c r="O140" s="2151"/>
      <c r="P140" s="2151"/>
      <c r="Q140" s="2151"/>
      <c r="R140" s="2151"/>
      <c r="S140" s="2151"/>
      <c r="T140" s="2151"/>
      <c r="U140" s="2151"/>
      <c r="V140" s="2151"/>
      <c r="W140" s="2151"/>
      <c r="X140" s="2151"/>
      <c r="Y140" s="2151"/>
      <c r="Z140" s="2151"/>
      <c r="AA140" s="2151"/>
      <c r="AB140" s="2151"/>
      <c r="AC140" s="2151"/>
    </row>
    <row r="141" spans="1:29" s="1564" customFormat="1">
      <c r="A141" s="2151"/>
      <c r="B141" s="2151"/>
      <c r="C141" s="2151"/>
      <c r="D141" s="2151"/>
      <c r="E141" s="2151"/>
      <c r="F141" s="2151"/>
      <c r="G141" s="2151"/>
      <c r="H141" s="2151"/>
      <c r="I141" s="2151"/>
      <c r="J141" s="2151"/>
      <c r="K141" s="2152"/>
      <c r="L141" s="2153"/>
      <c r="M141" s="2151"/>
      <c r="N141" s="2151"/>
      <c r="O141" s="2151"/>
      <c r="P141" s="2151"/>
      <c r="Q141" s="2151"/>
      <c r="R141" s="2151"/>
      <c r="S141" s="2151"/>
      <c r="T141" s="2151"/>
      <c r="U141" s="2151"/>
      <c r="V141" s="2151"/>
      <c r="W141" s="2151"/>
      <c r="X141" s="2151"/>
      <c r="Y141" s="2151"/>
      <c r="Z141" s="2151"/>
      <c r="AA141" s="2151"/>
      <c r="AB141" s="2151"/>
      <c r="AC141" s="2151"/>
    </row>
    <row r="142" spans="1:29" s="1564" customFormat="1">
      <c r="A142" s="2151"/>
      <c r="B142" s="2151"/>
      <c r="C142" s="2151"/>
      <c r="D142" s="2151"/>
      <c r="E142" s="2151"/>
      <c r="F142" s="2151"/>
      <c r="G142" s="2151"/>
      <c r="H142" s="2151"/>
      <c r="I142" s="2151"/>
      <c r="J142" s="2151"/>
      <c r="K142" s="2152"/>
      <c r="L142" s="2153"/>
      <c r="M142" s="2151"/>
      <c r="N142" s="2151"/>
      <c r="O142" s="2151"/>
      <c r="P142" s="2151"/>
      <c r="Q142" s="2151"/>
      <c r="R142" s="2151"/>
      <c r="S142" s="2151"/>
      <c r="T142" s="2151"/>
      <c r="U142" s="2151"/>
      <c r="V142" s="2151"/>
      <c r="W142" s="2151"/>
      <c r="X142" s="2151"/>
      <c r="Y142" s="2151"/>
      <c r="Z142" s="2151"/>
      <c r="AA142" s="2151"/>
      <c r="AB142" s="2151"/>
      <c r="AC142" s="2151"/>
    </row>
    <row r="143" spans="1:29" s="1564" customFormat="1">
      <c r="A143" s="2151"/>
      <c r="B143" s="2151"/>
      <c r="C143" s="2151"/>
      <c r="D143" s="2151"/>
      <c r="E143" s="2151"/>
      <c r="F143" s="2151"/>
      <c r="G143" s="2151"/>
      <c r="H143" s="2151"/>
      <c r="I143" s="2151"/>
      <c r="J143" s="2151"/>
      <c r="K143" s="2152"/>
      <c r="L143" s="2153"/>
      <c r="M143" s="2151"/>
      <c r="N143" s="2151"/>
      <c r="O143" s="2151"/>
      <c r="P143" s="2151"/>
      <c r="Q143" s="2151"/>
      <c r="R143" s="2151"/>
      <c r="S143" s="2151"/>
      <c r="T143" s="2151"/>
      <c r="U143" s="2151"/>
      <c r="V143" s="2151"/>
      <c r="W143" s="2151"/>
      <c r="X143" s="2151"/>
      <c r="Y143" s="2151"/>
      <c r="Z143" s="2151"/>
      <c r="AA143" s="2151"/>
      <c r="AB143" s="2151"/>
      <c r="AC143" s="2151"/>
    </row>
    <row r="144" spans="1:29" s="1564" customFormat="1">
      <c r="A144" s="2151"/>
      <c r="B144" s="2151"/>
      <c r="C144" s="2151"/>
      <c r="D144" s="2151"/>
      <c r="E144" s="2151"/>
      <c r="F144" s="2151"/>
      <c r="G144" s="2151"/>
      <c r="H144" s="2151"/>
      <c r="I144" s="2151"/>
      <c r="J144" s="2151"/>
      <c r="K144" s="2152"/>
      <c r="L144" s="2153"/>
      <c r="M144" s="2151"/>
      <c r="N144" s="2151"/>
      <c r="O144" s="2151"/>
      <c r="P144" s="2151"/>
      <c r="Q144" s="2151"/>
      <c r="R144" s="2151"/>
      <c r="S144" s="2151"/>
      <c r="T144" s="2151"/>
      <c r="U144" s="2151"/>
      <c r="V144" s="2151"/>
      <c r="W144" s="2151"/>
      <c r="X144" s="2151"/>
      <c r="Y144" s="2151"/>
      <c r="Z144" s="2151"/>
      <c r="AA144" s="2151"/>
      <c r="AB144" s="2151"/>
      <c r="AC144" s="2151"/>
    </row>
    <row r="145" spans="1:29" s="1564" customFormat="1">
      <c r="A145" s="2151"/>
      <c r="B145" s="2151"/>
      <c r="C145" s="2151"/>
      <c r="D145" s="2151"/>
      <c r="E145" s="2151"/>
      <c r="F145" s="2151"/>
      <c r="G145" s="2151"/>
      <c r="H145" s="2151"/>
      <c r="I145" s="2151"/>
      <c r="J145" s="2151"/>
      <c r="K145" s="2152"/>
      <c r="L145" s="2153"/>
      <c r="M145" s="2151"/>
      <c r="N145" s="2151"/>
      <c r="O145" s="2151"/>
      <c r="P145" s="2151"/>
      <c r="Q145" s="2151"/>
      <c r="R145" s="2151"/>
      <c r="S145" s="2151"/>
      <c r="T145" s="2151"/>
      <c r="U145" s="2151"/>
      <c r="V145" s="2151"/>
      <c r="W145" s="2151"/>
      <c r="X145" s="2151"/>
      <c r="Y145" s="2151"/>
      <c r="Z145" s="2151"/>
      <c r="AA145" s="2151"/>
      <c r="AB145" s="2151"/>
      <c r="AC145" s="2151"/>
    </row>
    <row r="146" spans="1:29" s="1564" customFormat="1">
      <c r="A146" s="2151"/>
      <c r="B146" s="2151"/>
      <c r="C146" s="2151"/>
      <c r="D146" s="2151"/>
      <c r="E146" s="2151"/>
      <c r="F146" s="2151"/>
      <c r="G146" s="2151"/>
      <c r="H146" s="2151"/>
      <c r="I146" s="2151"/>
      <c r="J146" s="2151"/>
      <c r="K146" s="2152"/>
      <c r="L146" s="2153"/>
      <c r="M146" s="2151"/>
      <c r="N146" s="2151"/>
      <c r="O146" s="2151"/>
      <c r="P146" s="2151"/>
      <c r="Q146" s="2151"/>
      <c r="R146" s="2151"/>
      <c r="S146" s="2151"/>
      <c r="T146" s="2151"/>
      <c r="U146" s="2151"/>
      <c r="V146" s="2151"/>
      <c r="W146" s="2151"/>
      <c r="X146" s="2151"/>
      <c r="Y146" s="2151"/>
      <c r="Z146" s="2151"/>
      <c r="AA146" s="2151"/>
      <c r="AB146" s="2151"/>
      <c r="AC146" s="2151"/>
    </row>
    <row r="147" spans="1:29" s="1564" customFormat="1">
      <c r="A147" s="2151"/>
      <c r="B147" s="2151"/>
      <c r="C147" s="2151"/>
      <c r="D147" s="2151"/>
      <c r="E147" s="2151"/>
      <c r="F147" s="2151"/>
      <c r="G147" s="2151"/>
      <c r="H147" s="2151"/>
      <c r="I147" s="2151"/>
      <c r="J147" s="2151"/>
      <c r="K147" s="2152"/>
      <c r="L147" s="2153"/>
      <c r="M147" s="2151"/>
      <c r="N147" s="2151"/>
      <c r="O147" s="2151"/>
      <c r="P147" s="2151"/>
      <c r="Q147" s="2151"/>
      <c r="R147" s="2151"/>
      <c r="S147" s="2151"/>
      <c r="T147" s="2151"/>
      <c r="U147" s="2151"/>
      <c r="V147" s="2151"/>
      <c r="W147" s="2151"/>
      <c r="X147" s="2151"/>
      <c r="Y147" s="2151"/>
      <c r="Z147" s="2151"/>
      <c r="AA147" s="2151"/>
      <c r="AB147" s="2151"/>
      <c r="AC147" s="2151"/>
    </row>
    <row r="148" spans="1:29" s="1564" customFormat="1">
      <c r="A148" s="2151"/>
      <c r="B148" s="2151"/>
      <c r="C148" s="2151"/>
      <c r="D148" s="2151"/>
      <c r="E148" s="2151"/>
      <c r="F148" s="2151"/>
      <c r="G148" s="2151"/>
      <c r="H148" s="2151"/>
      <c r="I148" s="2151"/>
      <c r="J148" s="2151"/>
      <c r="K148" s="2152"/>
      <c r="L148" s="2153"/>
      <c r="M148" s="2151"/>
      <c r="N148" s="2151"/>
      <c r="O148" s="2151"/>
      <c r="P148" s="2151"/>
      <c r="Q148" s="2151"/>
      <c r="R148" s="2151"/>
      <c r="S148" s="2151"/>
      <c r="T148" s="2151"/>
      <c r="U148" s="2151"/>
      <c r="V148" s="2151"/>
      <c r="W148" s="2151"/>
      <c r="X148" s="2151"/>
      <c r="Y148" s="2151"/>
      <c r="Z148" s="2151"/>
      <c r="AA148" s="2151"/>
      <c r="AB148" s="2151"/>
      <c r="AC148" s="2151"/>
    </row>
    <row r="149" spans="1:29" s="1564" customFormat="1">
      <c r="A149" s="2151"/>
      <c r="B149" s="2151"/>
      <c r="C149" s="2151"/>
      <c r="D149" s="2151"/>
      <c r="E149" s="2151"/>
      <c r="F149" s="2151"/>
      <c r="G149" s="2151"/>
      <c r="H149" s="2151"/>
      <c r="I149" s="2151"/>
      <c r="J149" s="2151"/>
      <c r="K149" s="2152"/>
      <c r="L149" s="2153"/>
      <c r="M149" s="2151"/>
      <c r="N149" s="2151"/>
      <c r="O149" s="2151"/>
      <c r="P149" s="2151"/>
      <c r="Q149" s="2151"/>
      <c r="R149" s="2151"/>
      <c r="S149" s="2151"/>
      <c r="T149" s="2151"/>
      <c r="U149" s="2151"/>
      <c r="V149" s="2151"/>
      <c r="W149" s="2151"/>
      <c r="X149" s="2151"/>
      <c r="Y149" s="2151"/>
      <c r="Z149" s="2151"/>
      <c r="AA149" s="2151"/>
      <c r="AB149" s="2151"/>
      <c r="AC149" s="2151"/>
    </row>
    <row r="150" spans="1:29" s="1564" customFormat="1">
      <c r="A150" s="2151"/>
      <c r="B150" s="2151"/>
      <c r="C150" s="2151"/>
      <c r="D150" s="2151"/>
      <c r="E150" s="2151"/>
      <c r="F150" s="2151"/>
      <c r="G150" s="2151"/>
      <c r="H150" s="2151"/>
      <c r="I150" s="2151"/>
      <c r="J150" s="2151"/>
      <c r="K150" s="2152"/>
      <c r="L150" s="2153"/>
      <c r="M150" s="2151"/>
      <c r="N150" s="2151"/>
      <c r="O150" s="2151"/>
      <c r="P150" s="2151"/>
      <c r="Q150" s="2151"/>
      <c r="R150" s="2151"/>
      <c r="S150" s="2151"/>
      <c r="T150" s="2151"/>
      <c r="U150" s="2151"/>
      <c r="V150" s="2151"/>
      <c r="W150" s="2151"/>
      <c r="X150" s="2151"/>
      <c r="Y150" s="2151"/>
      <c r="Z150" s="2151"/>
      <c r="AA150" s="2151"/>
      <c r="AB150" s="2151"/>
      <c r="AC150" s="2151"/>
    </row>
    <row r="151" spans="1:29" s="1564" customFormat="1">
      <c r="A151" s="2151"/>
      <c r="B151" s="2151"/>
      <c r="C151" s="2151"/>
      <c r="D151" s="2151"/>
      <c r="E151" s="2151"/>
      <c r="F151" s="2151"/>
      <c r="G151" s="2151"/>
      <c r="H151" s="2151"/>
      <c r="I151" s="2151"/>
      <c r="J151" s="2151"/>
      <c r="K151" s="2152"/>
      <c r="L151" s="2153"/>
      <c r="M151" s="2151"/>
      <c r="N151" s="2151"/>
      <c r="O151" s="2151"/>
      <c r="P151" s="2151"/>
      <c r="Q151" s="2151"/>
      <c r="R151" s="2151"/>
      <c r="S151" s="2151"/>
      <c r="T151" s="2151"/>
      <c r="U151" s="2151"/>
      <c r="V151" s="2151"/>
      <c r="W151" s="2151"/>
      <c r="X151" s="2151"/>
      <c r="Y151" s="2151"/>
      <c r="Z151" s="2151"/>
      <c r="AA151" s="2151"/>
      <c r="AB151" s="2151"/>
      <c r="AC151" s="2151"/>
    </row>
    <row r="152" spans="1:29" s="1564" customFormat="1">
      <c r="A152" s="2151"/>
      <c r="B152" s="2151"/>
      <c r="C152" s="2151"/>
      <c r="D152" s="2151"/>
      <c r="E152" s="2151"/>
      <c r="F152" s="2151"/>
      <c r="G152" s="2151"/>
      <c r="H152" s="2151"/>
      <c r="I152" s="2151"/>
      <c r="J152" s="2151"/>
      <c r="K152" s="2152"/>
      <c r="L152" s="2153"/>
      <c r="M152" s="2151"/>
      <c r="N152" s="2151"/>
      <c r="O152" s="2151"/>
      <c r="P152" s="2151"/>
      <c r="Q152" s="2151"/>
      <c r="R152" s="2151"/>
      <c r="S152" s="2151"/>
      <c r="T152" s="2151"/>
      <c r="U152" s="2151"/>
      <c r="V152" s="2151"/>
      <c r="W152" s="2151"/>
      <c r="X152" s="2151"/>
      <c r="Y152" s="2151"/>
      <c r="Z152" s="2151"/>
      <c r="AA152" s="2151"/>
      <c r="AB152" s="2151"/>
      <c r="AC152" s="2151"/>
    </row>
    <row r="153" spans="1:29" s="1564" customFormat="1">
      <c r="A153" s="2151"/>
      <c r="B153" s="2151"/>
      <c r="C153" s="2151"/>
      <c r="D153" s="2151"/>
      <c r="E153" s="2151"/>
      <c r="F153" s="2151"/>
      <c r="G153" s="2151"/>
      <c r="H153" s="2151"/>
      <c r="I153" s="2151"/>
      <c r="J153" s="2151"/>
      <c r="K153" s="2152"/>
      <c r="L153" s="2153"/>
      <c r="M153" s="2151"/>
      <c r="N153" s="2151"/>
      <c r="O153" s="2151"/>
      <c r="P153" s="2151"/>
      <c r="Q153" s="2151"/>
      <c r="R153" s="2151"/>
      <c r="S153" s="2151"/>
      <c r="T153" s="2151"/>
      <c r="U153" s="2151"/>
      <c r="V153" s="2151"/>
      <c r="W153" s="2151"/>
      <c r="X153" s="2151"/>
      <c r="Y153" s="2151"/>
      <c r="Z153" s="2151"/>
      <c r="AA153" s="2151"/>
      <c r="AB153" s="2151"/>
      <c r="AC153" s="2151"/>
    </row>
    <row r="154" spans="1:29" s="1564" customFormat="1">
      <c r="A154" s="2151"/>
      <c r="B154" s="2151"/>
      <c r="C154" s="2151"/>
      <c r="D154" s="2151"/>
      <c r="E154" s="2151"/>
      <c r="F154" s="2151"/>
      <c r="G154" s="2151"/>
      <c r="H154" s="2151"/>
      <c r="I154" s="2151"/>
      <c r="J154" s="2151"/>
      <c r="K154" s="2152"/>
      <c r="L154" s="2153"/>
      <c r="M154" s="2151"/>
      <c r="N154" s="2151"/>
      <c r="O154" s="2151"/>
      <c r="P154" s="2151"/>
      <c r="Q154" s="2151"/>
      <c r="R154" s="2151"/>
      <c r="S154" s="2151"/>
      <c r="T154" s="2151"/>
      <c r="U154" s="2151"/>
      <c r="V154" s="2151"/>
      <c r="W154" s="2151"/>
      <c r="X154" s="2151"/>
      <c r="Y154" s="2151"/>
      <c r="Z154" s="2151"/>
      <c r="AA154" s="2151"/>
      <c r="AB154" s="2151"/>
      <c r="AC154" s="2151"/>
    </row>
    <row r="155" spans="1:29" s="1564" customFormat="1">
      <c r="A155" s="2151"/>
      <c r="B155" s="2151"/>
      <c r="C155" s="2151"/>
      <c r="D155" s="2151"/>
      <c r="E155" s="2151"/>
      <c r="F155" s="2151"/>
      <c r="G155" s="2151"/>
      <c r="H155" s="2151"/>
      <c r="I155" s="2151"/>
      <c r="J155" s="2151"/>
      <c r="K155" s="2152"/>
      <c r="L155" s="2153"/>
      <c r="M155" s="2151"/>
      <c r="N155" s="2151"/>
      <c r="O155" s="2151"/>
      <c r="P155" s="2151"/>
      <c r="Q155" s="2151"/>
      <c r="R155" s="2151"/>
      <c r="S155" s="2151"/>
      <c r="T155" s="2151"/>
      <c r="U155" s="2151"/>
      <c r="V155" s="2151"/>
      <c r="W155" s="2151"/>
      <c r="X155" s="2151"/>
      <c r="Y155" s="2151"/>
      <c r="Z155" s="2151"/>
      <c r="AA155" s="2151"/>
      <c r="AB155" s="2151"/>
      <c r="AC155" s="2151"/>
    </row>
    <row r="156" spans="1:29" s="1564" customFormat="1">
      <c r="A156" s="2151"/>
      <c r="B156" s="2151"/>
      <c r="C156" s="2151"/>
      <c r="D156" s="2151"/>
      <c r="E156" s="2151"/>
      <c r="F156" s="2151"/>
      <c r="G156" s="2151"/>
      <c r="H156" s="2151"/>
      <c r="I156" s="2151"/>
      <c r="J156" s="2151"/>
      <c r="K156" s="2152"/>
      <c r="L156" s="2153"/>
      <c r="M156" s="2151"/>
      <c r="N156" s="2151"/>
      <c r="O156" s="2151"/>
      <c r="P156" s="2151"/>
      <c r="Q156" s="2151"/>
      <c r="R156" s="2151"/>
      <c r="S156" s="2151"/>
      <c r="T156" s="2151"/>
      <c r="U156" s="2151"/>
      <c r="V156" s="2151"/>
      <c r="W156" s="2151"/>
      <c r="X156" s="2151"/>
      <c r="Y156" s="2151"/>
      <c r="Z156" s="2151"/>
      <c r="AA156" s="2151"/>
      <c r="AB156" s="2151"/>
      <c r="AC156" s="2151"/>
    </row>
    <row r="157" spans="1:29" s="1564" customFormat="1">
      <c r="A157" s="2151"/>
      <c r="B157" s="2151"/>
      <c r="C157" s="2151"/>
      <c r="D157" s="2151"/>
      <c r="E157" s="2151"/>
      <c r="F157" s="2151"/>
      <c r="G157" s="2151"/>
      <c r="H157" s="2151"/>
      <c r="I157" s="2151"/>
      <c r="J157" s="2151"/>
      <c r="K157" s="2152"/>
      <c r="L157" s="2153"/>
      <c r="M157" s="2151"/>
      <c r="N157" s="2151"/>
      <c r="O157" s="2151"/>
      <c r="P157" s="2151"/>
      <c r="Q157" s="2151"/>
      <c r="R157" s="2151"/>
      <c r="S157" s="2151"/>
      <c r="T157" s="2151"/>
      <c r="U157" s="2151"/>
      <c r="V157" s="2151"/>
      <c r="W157" s="2151"/>
      <c r="X157" s="2151"/>
      <c r="Y157" s="2151"/>
      <c r="Z157" s="2151"/>
      <c r="AA157" s="2151"/>
      <c r="AB157" s="2151"/>
      <c r="AC157" s="2151"/>
    </row>
    <row r="158" spans="1:29" s="1564" customFormat="1">
      <c r="A158" s="2151"/>
      <c r="B158" s="2151"/>
      <c r="C158" s="2151"/>
      <c r="D158" s="2151"/>
      <c r="E158" s="2151"/>
      <c r="F158" s="2151"/>
      <c r="G158" s="2151"/>
      <c r="H158" s="2151"/>
      <c r="I158" s="2151"/>
      <c r="J158" s="2151"/>
      <c r="K158" s="2152"/>
      <c r="L158" s="2153"/>
      <c r="M158" s="2151"/>
      <c r="N158" s="2151"/>
      <c r="O158" s="2151"/>
      <c r="P158" s="2151"/>
      <c r="Q158" s="2151"/>
      <c r="R158" s="2151"/>
      <c r="S158" s="2151"/>
      <c r="T158" s="2151"/>
      <c r="U158" s="2151"/>
      <c r="V158" s="2151"/>
      <c r="W158" s="2151"/>
      <c r="X158" s="2151"/>
      <c r="Y158" s="2151"/>
      <c r="Z158" s="2151"/>
      <c r="AA158" s="2151"/>
      <c r="AB158" s="2151"/>
      <c r="AC158" s="2151"/>
    </row>
    <row r="159" spans="1:29" s="1564" customFormat="1">
      <c r="A159" s="2151"/>
      <c r="B159" s="2151"/>
      <c r="C159" s="2151"/>
      <c r="D159" s="2151"/>
      <c r="E159" s="2151"/>
      <c r="F159" s="2151"/>
      <c r="G159" s="2151"/>
      <c r="H159" s="2151"/>
      <c r="I159" s="2151"/>
      <c r="J159" s="2151"/>
      <c r="K159" s="2152"/>
      <c r="L159" s="2153"/>
      <c r="M159" s="2151"/>
      <c r="N159" s="2151"/>
      <c r="O159" s="2151"/>
      <c r="P159" s="2151"/>
      <c r="Q159" s="2151"/>
      <c r="R159" s="2151"/>
      <c r="S159" s="2151"/>
      <c r="T159" s="2151"/>
      <c r="U159" s="2151"/>
      <c r="V159" s="2151"/>
      <c r="W159" s="2151"/>
      <c r="X159" s="2151"/>
      <c r="Y159" s="2151"/>
      <c r="Z159" s="2151"/>
      <c r="AA159" s="2151"/>
      <c r="AB159" s="2151"/>
      <c r="AC159" s="2151"/>
    </row>
    <row r="160" spans="1:29" s="1564" customFormat="1">
      <c r="A160" s="2151"/>
      <c r="B160" s="2151"/>
      <c r="C160" s="2151"/>
      <c r="D160" s="2151"/>
      <c r="E160" s="2151"/>
      <c r="F160" s="2151"/>
      <c r="G160" s="2151"/>
      <c r="H160" s="2151"/>
      <c r="I160" s="2151"/>
      <c r="J160" s="2151"/>
      <c r="K160" s="2152"/>
      <c r="L160" s="2153"/>
      <c r="M160" s="2151"/>
      <c r="N160" s="2151"/>
      <c r="O160" s="2151"/>
      <c r="P160" s="2151"/>
      <c r="Q160" s="2151"/>
      <c r="R160" s="2151"/>
      <c r="S160" s="2151"/>
      <c r="T160" s="2151"/>
      <c r="U160" s="2151"/>
      <c r="V160" s="2151"/>
      <c r="W160" s="2151"/>
      <c r="X160" s="2151"/>
      <c r="Y160" s="2151"/>
      <c r="Z160" s="2151"/>
      <c r="AA160" s="2151"/>
      <c r="AB160" s="2151"/>
      <c r="AC160" s="2151"/>
    </row>
    <row r="161" spans="1:29" s="1564" customFormat="1">
      <c r="A161" s="2151"/>
      <c r="B161" s="2151"/>
      <c r="C161" s="2151"/>
      <c r="D161" s="2151"/>
      <c r="E161" s="2151"/>
      <c r="F161" s="2151"/>
      <c r="G161" s="2151"/>
      <c r="H161" s="2151"/>
      <c r="I161" s="2151"/>
      <c r="J161" s="2151"/>
      <c r="K161" s="2152"/>
      <c r="L161" s="2153"/>
      <c r="M161" s="2151"/>
      <c r="N161" s="2151"/>
      <c r="O161" s="2151"/>
      <c r="P161" s="2151"/>
      <c r="Q161" s="2151"/>
      <c r="R161" s="2151"/>
      <c r="S161" s="2151"/>
      <c r="T161" s="2151"/>
      <c r="U161" s="2151"/>
      <c r="V161" s="2151"/>
      <c r="W161" s="2151"/>
      <c r="X161" s="2151"/>
      <c r="Y161" s="2151"/>
      <c r="Z161" s="2151"/>
      <c r="AA161" s="2151"/>
      <c r="AB161" s="2151"/>
      <c r="AC161" s="2151"/>
    </row>
    <row r="162" spans="1:29" s="1564" customFormat="1">
      <c r="A162" s="2151"/>
      <c r="B162" s="2151"/>
      <c r="C162" s="2151"/>
      <c r="D162" s="2151"/>
      <c r="E162" s="2151"/>
      <c r="F162" s="2151"/>
      <c r="G162" s="2151"/>
      <c r="H162" s="2151"/>
      <c r="I162" s="2151"/>
      <c r="J162" s="2151"/>
      <c r="K162" s="2152"/>
      <c r="L162" s="2153"/>
      <c r="M162" s="2151"/>
      <c r="N162" s="2151"/>
      <c r="O162" s="2151"/>
      <c r="P162" s="2151"/>
      <c r="Q162" s="2151"/>
      <c r="R162" s="2151"/>
      <c r="S162" s="2151"/>
      <c r="T162" s="2151"/>
      <c r="U162" s="2151"/>
      <c r="V162" s="2151"/>
      <c r="W162" s="2151"/>
      <c r="X162" s="2151"/>
      <c r="Y162" s="2151"/>
      <c r="Z162" s="2151"/>
      <c r="AA162" s="2151"/>
      <c r="AB162" s="2151"/>
      <c r="AC162" s="2151"/>
    </row>
    <row r="163" spans="1:29" s="1564" customFormat="1">
      <c r="A163" s="2151"/>
      <c r="B163" s="2151"/>
      <c r="C163" s="2151"/>
      <c r="D163" s="2151"/>
      <c r="E163" s="2151"/>
      <c r="F163" s="2151"/>
      <c r="G163" s="2151"/>
      <c r="H163" s="2151"/>
      <c r="I163" s="2151"/>
      <c r="J163" s="2151"/>
      <c r="K163" s="2152"/>
      <c r="L163" s="2153"/>
      <c r="M163" s="2151"/>
      <c r="N163" s="2151"/>
      <c r="O163" s="2151"/>
      <c r="P163" s="2151"/>
      <c r="Q163" s="2151"/>
      <c r="R163" s="2151"/>
      <c r="S163" s="2151"/>
      <c r="T163" s="2151"/>
      <c r="U163" s="2151"/>
      <c r="V163" s="2151"/>
      <c r="W163" s="2151"/>
      <c r="X163" s="2151"/>
      <c r="Y163" s="2151"/>
      <c r="Z163" s="2151"/>
      <c r="AA163" s="2151"/>
      <c r="AB163" s="2151"/>
      <c r="AC163" s="2151"/>
    </row>
    <row r="164" spans="1:29" s="1564" customFormat="1">
      <c r="A164" s="2151"/>
      <c r="B164" s="2151"/>
      <c r="C164" s="2151"/>
      <c r="D164" s="2151"/>
      <c r="E164" s="2151"/>
      <c r="F164" s="2151"/>
      <c r="G164" s="2151"/>
      <c r="H164" s="2151"/>
      <c r="I164" s="2151"/>
      <c r="J164" s="2151"/>
      <c r="K164" s="2152"/>
      <c r="L164" s="2153"/>
      <c r="M164" s="2151"/>
      <c r="N164" s="2151"/>
      <c r="O164" s="2151"/>
      <c r="P164" s="2151"/>
      <c r="Q164" s="2151"/>
      <c r="R164" s="2151"/>
      <c r="S164" s="2151"/>
      <c r="T164" s="2151"/>
      <c r="U164" s="2151"/>
      <c r="V164" s="2151"/>
      <c r="W164" s="2151"/>
      <c r="X164" s="2151"/>
      <c r="Y164" s="2151"/>
      <c r="Z164" s="2151"/>
      <c r="AA164" s="2151"/>
      <c r="AB164" s="2151"/>
      <c r="AC164" s="2151"/>
    </row>
    <row r="165" spans="1:29" s="1564" customFormat="1">
      <c r="A165" s="2151"/>
      <c r="B165" s="2151"/>
      <c r="C165" s="2151"/>
      <c r="D165" s="2151"/>
      <c r="E165" s="2151"/>
      <c r="F165" s="2151"/>
      <c r="G165" s="2151"/>
      <c r="H165" s="2151"/>
      <c r="I165" s="2151"/>
      <c r="J165" s="2151"/>
      <c r="K165" s="2152"/>
      <c r="L165" s="2153"/>
      <c r="M165" s="2151"/>
      <c r="N165" s="2151"/>
      <c r="O165" s="2151"/>
      <c r="P165" s="2151"/>
      <c r="Q165" s="2151"/>
      <c r="R165" s="2151"/>
      <c r="S165" s="2151"/>
      <c r="T165" s="2151"/>
      <c r="U165" s="2151"/>
      <c r="V165" s="2151"/>
      <c r="W165" s="2151"/>
      <c r="X165" s="2151"/>
      <c r="Y165" s="2151"/>
      <c r="Z165" s="2151"/>
      <c r="AA165" s="2151"/>
      <c r="AB165" s="2151"/>
      <c r="AC165" s="2151"/>
    </row>
    <row r="166" spans="1:29" s="1564" customFormat="1">
      <c r="A166" s="2151"/>
      <c r="B166" s="2151"/>
      <c r="C166" s="2151"/>
      <c r="D166" s="2151"/>
      <c r="E166" s="2151"/>
      <c r="F166" s="2151"/>
      <c r="G166" s="2151"/>
      <c r="H166" s="2151"/>
      <c r="I166" s="2151"/>
      <c r="J166" s="2151"/>
      <c r="K166" s="2152"/>
      <c r="L166" s="2153"/>
      <c r="M166" s="2151"/>
      <c r="N166" s="2151"/>
      <c r="O166" s="2151"/>
      <c r="P166" s="2151"/>
      <c r="Q166" s="2151"/>
      <c r="R166" s="2151"/>
      <c r="S166" s="2151"/>
      <c r="T166" s="2151"/>
      <c r="U166" s="2151"/>
      <c r="V166" s="2151"/>
      <c r="W166" s="2151"/>
      <c r="X166" s="2151"/>
      <c r="Y166" s="2151"/>
      <c r="Z166" s="2151"/>
      <c r="AA166" s="2151"/>
      <c r="AB166" s="2151"/>
      <c r="AC166" s="2151"/>
    </row>
    <row r="167" spans="1:29" s="1564" customFormat="1">
      <c r="A167" s="2151"/>
      <c r="B167" s="2151"/>
      <c r="C167" s="2151"/>
      <c r="D167" s="2151"/>
      <c r="E167" s="2151"/>
      <c r="F167" s="2151"/>
      <c r="G167" s="2151"/>
      <c r="H167" s="2151"/>
      <c r="I167" s="2151"/>
      <c r="J167" s="2151"/>
      <c r="K167" s="2152"/>
      <c r="L167" s="2153"/>
      <c r="M167" s="2151"/>
      <c r="N167" s="2151"/>
      <c r="O167" s="2151"/>
      <c r="P167" s="2151"/>
      <c r="Q167" s="2151"/>
      <c r="R167" s="2151"/>
      <c r="S167" s="2151"/>
      <c r="T167" s="2151"/>
      <c r="U167" s="2151"/>
      <c r="V167" s="2151"/>
      <c r="W167" s="2151"/>
      <c r="X167" s="2151"/>
      <c r="Y167" s="2151"/>
      <c r="Z167" s="2151"/>
      <c r="AA167" s="2151"/>
      <c r="AB167" s="2151"/>
      <c r="AC167" s="2151"/>
    </row>
    <row r="168" spans="1:29" s="1564" customFormat="1">
      <c r="A168" s="2151"/>
      <c r="B168" s="2151"/>
      <c r="C168" s="2151"/>
      <c r="D168" s="2151"/>
      <c r="E168" s="2151"/>
      <c r="F168" s="2151"/>
      <c r="G168" s="2151"/>
      <c r="H168" s="2151"/>
      <c r="I168" s="2151"/>
      <c r="J168" s="2151"/>
      <c r="K168" s="2152"/>
      <c r="L168" s="2153"/>
      <c r="M168" s="2151"/>
      <c r="N168" s="2151"/>
      <c r="O168" s="2151"/>
      <c r="P168" s="2151"/>
      <c r="Q168" s="2151"/>
      <c r="R168" s="2151"/>
      <c r="S168" s="2151"/>
      <c r="T168" s="2151"/>
      <c r="U168" s="2151"/>
      <c r="V168" s="2151"/>
      <c r="W168" s="2151"/>
      <c r="X168" s="2151"/>
      <c r="Y168" s="2151"/>
      <c r="Z168" s="2151"/>
      <c r="AA168" s="2151"/>
      <c r="AB168" s="2151"/>
      <c r="AC168" s="2151"/>
    </row>
    <row r="169" spans="1:29" s="1564" customFormat="1">
      <c r="A169" s="2151"/>
      <c r="B169" s="2151"/>
      <c r="C169" s="2151"/>
      <c r="D169" s="2151"/>
      <c r="E169" s="2151"/>
      <c r="F169" s="2151"/>
      <c r="G169" s="2151"/>
      <c r="H169" s="2151"/>
      <c r="I169" s="2151"/>
      <c r="J169" s="2151"/>
      <c r="K169" s="2152"/>
      <c r="L169" s="2153"/>
      <c r="M169" s="2151"/>
      <c r="N169" s="2151"/>
      <c r="O169" s="2151"/>
      <c r="P169" s="2151"/>
      <c r="Q169" s="2151"/>
      <c r="R169" s="2151"/>
      <c r="S169" s="2151"/>
      <c r="T169" s="2151"/>
      <c r="U169" s="2151"/>
      <c r="V169" s="2151"/>
      <c r="W169" s="2151"/>
      <c r="X169" s="2151"/>
      <c r="Y169" s="2151"/>
      <c r="Z169" s="2151"/>
      <c r="AA169" s="2151"/>
      <c r="AB169" s="2151"/>
      <c r="AC169" s="2151"/>
    </row>
    <row r="170" spans="1:29" s="1564" customFormat="1">
      <c r="A170" s="2151"/>
      <c r="B170" s="2151"/>
      <c r="C170" s="2151"/>
      <c r="D170" s="2151"/>
      <c r="E170" s="2151"/>
      <c r="F170" s="2151"/>
      <c r="G170" s="2151"/>
      <c r="H170" s="2151"/>
      <c r="I170" s="2151"/>
      <c r="J170" s="2151"/>
      <c r="K170" s="2152"/>
      <c r="L170" s="2153"/>
      <c r="M170" s="2151"/>
      <c r="N170" s="2151"/>
      <c r="O170" s="2151"/>
      <c r="P170" s="2151"/>
      <c r="Q170" s="2151"/>
      <c r="R170" s="2151"/>
      <c r="S170" s="2151"/>
      <c r="T170" s="2151"/>
      <c r="U170" s="2151"/>
      <c r="V170" s="2151"/>
      <c r="W170" s="2151"/>
      <c r="X170" s="2151"/>
      <c r="Y170" s="2151"/>
      <c r="Z170" s="2151"/>
      <c r="AA170" s="2151"/>
      <c r="AB170" s="2151"/>
      <c r="AC170" s="2151"/>
    </row>
    <row r="171" spans="1:29" s="1564" customFormat="1">
      <c r="A171" s="2151"/>
      <c r="B171" s="2151"/>
      <c r="C171" s="2151"/>
      <c r="D171" s="2151"/>
      <c r="E171" s="2151"/>
      <c r="F171" s="2151"/>
      <c r="G171" s="2151"/>
      <c r="H171" s="2151"/>
      <c r="I171" s="2151"/>
      <c r="J171" s="2151"/>
      <c r="K171" s="2152"/>
      <c r="L171" s="2153"/>
      <c r="M171" s="2151"/>
      <c r="N171" s="2151"/>
      <c r="O171" s="2151"/>
      <c r="P171" s="2151"/>
      <c r="Q171" s="2151"/>
      <c r="R171" s="2151"/>
      <c r="S171" s="2151"/>
      <c r="T171" s="2151"/>
      <c r="U171" s="2151"/>
      <c r="V171" s="2151"/>
      <c r="W171" s="2151"/>
      <c r="X171" s="2151"/>
      <c r="Y171" s="2151"/>
      <c r="Z171" s="2151"/>
      <c r="AA171" s="2151"/>
      <c r="AB171" s="2151"/>
      <c r="AC171" s="2151"/>
    </row>
    <row r="172" spans="1:29" s="1564" customFormat="1">
      <c r="A172" s="2151"/>
      <c r="B172" s="2151"/>
      <c r="C172" s="2151"/>
      <c r="D172" s="2151"/>
      <c r="E172" s="2151"/>
      <c r="F172" s="2151"/>
      <c r="G172" s="2151"/>
      <c r="H172" s="2151"/>
      <c r="I172" s="2151"/>
      <c r="J172" s="2151"/>
      <c r="K172" s="2152"/>
      <c r="L172" s="2153"/>
      <c r="M172" s="2151"/>
      <c r="N172" s="2151"/>
      <c r="O172" s="2151"/>
      <c r="P172" s="2151"/>
      <c r="Q172" s="2151"/>
      <c r="R172" s="2151"/>
      <c r="S172" s="2151"/>
      <c r="T172" s="2151"/>
      <c r="U172" s="2151"/>
      <c r="V172" s="2151"/>
      <c r="W172" s="2151"/>
      <c r="X172" s="2151"/>
      <c r="Y172" s="2151"/>
      <c r="Z172" s="2151"/>
      <c r="AA172" s="2151"/>
      <c r="AB172" s="2151"/>
      <c r="AC172" s="2151"/>
    </row>
    <row r="173" spans="1:29" s="1564" customFormat="1">
      <c r="A173" s="2151"/>
      <c r="B173" s="2151"/>
      <c r="C173" s="2151"/>
      <c r="D173" s="2151"/>
      <c r="E173" s="2151"/>
      <c r="F173" s="2151"/>
      <c r="G173" s="2151"/>
      <c r="H173" s="2151"/>
      <c r="I173" s="2151"/>
      <c r="J173" s="2151"/>
      <c r="K173" s="2152"/>
      <c r="L173" s="2153"/>
      <c r="M173" s="2151"/>
      <c r="N173" s="2151"/>
      <c r="O173" s="2151"/>
      <c r="P173" s="2151"/>
      <c r="Q173" s="2151"/>
      <c r="R173" s="2151"/>
      <c r="S173" s="2151"/>
      <c r="T173" s="2151"/>
      <c r="U173" s="2151"/>
      <c r="V173" s="2151"/>
      <c r="W173" s="2151"/>
      <c r="X173" s="2151"/>
      <c r="Y173" s="2151"/>
      <c r="Z173" s="2151"/>
      <c r="AA173" s="2151"/>
      <c r="AB173" s="2151"/>
      <c r="AC173" s="2151"/>
    </row>
    <row r="174" spans="1:29" s="1564" customFormat="1">
      <c r="A174" s="2151"/>
      <c r="B174" s="2151"/>
      <c r="C174" s="2151"/>
      <c r="D174" s="2151"/>
      <c r="E174" s="2151"/>
      <c r="F174" s="2151"/>
      <c r="G174" s="2151"/>
      <c r="H174" s="2151"/>
      <c r="I174" s="2151"/>
      <c r="J174" s="2151"/>
      <c r="K174" s="2152"/>
      <c r="L174" s="2153"/>
      <c r="M174" s="2151"/>
      <c r="N174" s="2151"/>
      <c r="O174" s="2151"/>
      <c r="P174" s="2151"/>
      <c r="Q174" s="2151"/>
      <c r="R174" s="2151"/>
      <c r="S174" s="2151"/>
      <c r="T174" s="2151"/>
      <c r="U174" s="2151"/>
      <c r="V174" s="2151"/>
      <c r="W174" s="2151"/>
      <c r="X174" s="2151"/>
      <c r="Y174" s="2151"/>
      <c r="Z174" s="2151"/>
      <c r="AA174" s="2151"/>
      <c r="AB174" s="2151"/>
      <c r="AC174" s="2151"/>
    </row>
    <row r="175" spans="1:29" s="1564" customFormat="1">
      <c r="A175" s="2151"/>
      <c r="B175" s="2151"/>
      <c r="C175" s="2151"/>
      <c r="D175" s="2151"/>
      <c r="E175" s="2151"/>
      <c r="F175" s="2151"/>
      <c r="G175" s="2151"/>
      <c r="H175" s="2151"/>
      <c r="I175" s="2151"/>
      <c r="J175" s="2151"/>
      <c r="K175" s="2152"/>
      <c r="L175" s="2153"/>
      <c r="M175" s="2151"/>
      <c r="N175" s="2151"/>
      <c r="O175" s="2151"/>
      <c r="P175" s="2151"/>
      <c r="Q175" s="2151"/>
      <c r="R175" s="2151"/>
      <c r="S175" s="2151"/>
      <c r="T175" s="2151"/>
      <c r="U175" s="2151"/>
      <c r="V175" s="2151"/>
      <c r="W175" s="2151"/>
      <c r="X175" s="2151"/>
      <c r="Y175" s="2151"/>
      <c r="Z175" s="2151"/>
      <c r="AA175" s="2151"/>
      <c r="AB175" s="2151"/>
      <c r="AC175" s="2151"/>
    </row>
    <row r="176" spans="1:29" s="1564" customFormat="1">
      <c r="A176" s="2151"/>
      <c r="B176" s="2151"/>
      <c r="C176" s="2151"/>
      <c r="D176" s="2151"/>
      <c r="E176" s="2151"/>
      <c r="F176" s="2151"/>
      <c r="G176" s="2151"/>
      <c r="H176" s="2151"/>
      <c r="I176" s="2151"/>
      <c r="J176" s="2151"/>
      <c r="K176" s="2152"/>
      <c r="L176" s="2153"/>
      <c r="M176" s="2151"/>
      <c r="N176" s="2151"/>
      <c r="O176" s="2151"/>
      <c r="P176" s="2151"/>
      <c r="Q176" s="2151"/>
      <c r="R176" s="2151"/>
      <c r="S176" s="2151"/>
      <c r="T176" s="2151"/>
      <c r="U176" s="2151"/>
      <c r="V176" s="2151"/>
      <c r="W176" s="2151"/>
      <c r="X176" s="2151"/>
      <c r="Y176" s="2151"/>
      <c r="Z176" s="2151"/>
      <c r="AA176" s="2151"/>
      <c r="AB176" s="2151"/>
      <c r="AC176" s="2151"/>
    </row>
    <row r="177" spans="1:29" s="1564" customFormat="1">
      <c r="A177" s="2151"/>
      <c r="B177" s="2151"/>
      <c r="C177" s="2151"/>
      <c r="D177" s="2151"/>
      <c r="E177" s="2151"/>
      <c r="F177" s="2151"/>
      <c r="G177" s="2151"/>
      <c r="H177" s="2151"/>
      <c r="I177" s="2151"/>
      <c r="J177" s="2151"/>
      <c r="K177" s="2152"/>
      <c r="L177" s="2153"/>
      <c r="M177" s="2151"/>
      <c r="N177" s="2151"/>
      <c r="O177" s="2151"/>
      <c r="P177" s="2151"/>
      <c r="Q177" s="2151"/>
      <c r="R177" s="2151"/>
      <c r="S177" s="2151"/>
      <c r="T177" s="2151"/>
      <c r="U177" s="2151"/>
      <c r="V177" s="2151"/>
      <c r="W177" s="2151"/>
      <c r="X177" s="2151"/>
      <c r="Y177" s="2151"/>
      <c r="Z177" s="2151"/>
      <c r="AA177" s="2151"/>
      <c r="AB177" s="2151"/>
      <c r="AC177" s="2151"/>
    </row>
    <row r="178" spans="1:29" s="1564" customFormat="1">
      <c r="A178" s="2151"/>
      <c r="B178" s="2151"/>
      <c r="C178" s="2151"/>
      <c r="D178" s="2151"/>
      <c r="E178" s="2151"/>
      <c r="F178" s="2151"/>
      <c r="G178" s="2151"/>
      <c r="H178" s="2151"/>
      <c r="I178" s="2151"/>
      <c r="J178" s="2151"/>
      <c r="K178" s="2152"/>
      <c r="L178" s="2153"/>
      <c r="M178" s="2151"/>
      <c r="N178" s="2151"/>
      <c r="O178" s="2151"/>
      <c r="P178" s="2151"/>
      <c r="Q178" s="2151"/>
      <c r="R178" s="2151"/>
      <c r="S178" s="2151"/>
      <c r="T178" s="2151"/>
      <c r="U178" s="2151"/>
      <c r="V178" s="2151"/>
      <c r="W178" s="2151"/>
      <c r="X178" s="2151"/>
      <c r="Y178" s="2151"/>
      <c r="Z178" s="2151"/>
      <c r="AA178" s="2151"/>
      <c r="AB178" s="2151"/>
      <c r="AC178" s="2151"/>
    </row>
    <row r="179" spans="1:29" s="1564" customFormat="1">
      <c r="A179" s="2151"/>
      <c r="B179" s="2151"/>
      <c r="C179" s="2151"/>
      <c r="D179" s="2151"/>
      <c r="E179" s="2151"/>
      <c r="F179" s="2151"/>
      <c r="G179" s="2151"/>
      <c r="H179" s="2151"/>
      <c r="I179" s="2151"/>
      <c r="J179" s="2151"/>
      <c r="K179" s="2152"/>
      <c r="L179" s="2153"/>
      <c r="M179" s="2151"/>
      <c r="N179" s="2151"/>
      <c r="O179" s="2151"/>
      <c r="P179" s="2151"/>
      <c r="Q179" s="2151"/>
      <c r="R179" s="2151"/>
      <c r="S179" s="2151"/>
      <c r="T179" s="2151"/>
      <c r="U179" s="2151"/>
      <c r="V179" s="2151"/>
      <c r="W179" s="2151"/>
      <c r="X179" s="2151"/>
      <c r="Y179" s="2151"/>
      <c r="Z179" s="2151"/>
      <c r="AA179" s="2151"/>
      <c r="AB179" s="2151"/>
      <c r="AC179" s="2151"/>
    </row>
    <row r="180" spans="1:29" s="1564" customFormat="1">
      <c r="A180" s="2151"/>
      <c r="B180" s="2151"/>
      <c r="C180" s="2151"/>
      <c r="D180" s="2151"/>
      <c r="E180" s="2151"/>
      <c r="F180" s="2151"/>
      <c r="G180" s="2151"/>
      <c r="H180" s="2151"/>
      <c r="I180" s="2151"/>
      <c r="J180" s="2151"/>
      <c r="K180" s="2152"/>
      <c r="L180" s="2153"/>
      <c r="M180" s="2151"/>
      <c r="N180" s="2151"/>
      <c r="O180" s="2151"/>
      <c r="P180" s="2151"/>
      <c r="Q180" s="2151"/>
      <c r="R180" s="2151"/>
      <c r="S180" s="2151"/>
      <c r="T180" s="2151"/>
      <c r="U180" s="2151"/>
      <c r="V180" s="2151"/>
      <c r="W180" s="2151"/>
      <c r="X180" s="2151"/>
      <c r="Y180" s="2151"/>
      <c r="Z180" s="2151"/>
      <c r="AA180" s="2151"/>
      <c r="AB180" s="2151"/>
      <c r="AC180" s="2151"/>
    </row>
    <row r="181" spans="1:29" s="1564" customFormat="1">
      <c r="A181" s="2151"/>
      <c r="B181" s="2151"/>
      <c r="C181" s="2151"/>
      <c r="D181" s="2151"/>
      <c r="E181" s="2151"/>
      <c r="F181" s="2151"/>
      <c r="G181" s="2151"/>
      <c r="H181" s="2151"/>
      <c r="I181" s="2151"/>
      <c r="J181" s="2151"/>
      <c r="K181" s="2152"/>
      <c r="L181" s="2153"/>
      <c r="M181" s="2151"/>
      <c r="N181" s="2151"/>
      <c r="O181" s="2151"/>
      <c r="P181" s="2151"/>
      <c r="Q181" s="2151"/>
      <c r="R181" s="2151"/>
      <c r="S181" s="2151"/>
      <c r="T181" s="2151"/>
      <c r="U181" s="2151"/>
      <c r="V181" s="2151"/>
      <c r="W181" s="2151"/>
      <c r="X181" s="2151"/>
      <c r="Y181" s="2151"/>
      <c r="Z181" s="2151"/>
      <c r="AA181" s="2151"/>
      <c r="AB181" s="2151"/>
      <c r="AC181" s="2151"/>
    </row>
    <row r="182" spans="1:29" s="1564" customFormat="1">
      <c r="A182" s="2151"/>
      <c r="B182" s="2151"/>
      <c r="C182" s="2151"/>
      <c r="D182" s="2151"/>
      <c r="E182" s="2151"/>
      <c r="F182" s="2151"/>
      <c r="G182" s="2151"/>
      <c r="H182" s="2151"/>
      <c r="I182" s="2151"/>
      <c r="J182" s="2151"/>
      <c r="K182" s="2152"/>
      <c r="L182" s="2153"/>
      <c r="M182" s="2151"/>
      <c r="N182" s="2151"/>
      <c r="O182" s="2151"/>
      <c r="P182" s="2151"/>
      <c r="Q182" s="2151"/>
      <c r="R182" s="2151"/>
      <c r="S182" s="2151"/>
      <c r="T182" s="2151"/>
      <c r="U182" s="2151"/>
      <c r="V182" s="2151"/>
      <c r="W182" s="2151"/>
      <c r="X182" s="2151"/>
      <c r="Y182" s="2151"/>
      <c r="Z182" s="2151"/>
      <c r="AA182" s="2151"/>
      <c r="AB182" s="2151"/>
      <c r="AC182" s="2151"/>
    </row>
    <row r="183" spans="1:29" s="1564" customFormat="1">
      <c r="A183" s="2151"/>
      <c r="B183" s="2151"/>
      <c r="C183" s="2151"/>
      <c r="D183" s="2151"/>
      <c r="E183" s="2151"/>
      <c r="F183" s="2151"/>
      <c r="G183" s="2151"/>
      <c r="H183" s="2151"/>
      <c r="I183" s="2151"/>
      <c r="J183" s="2151"/>
      <c r="K183" s="2152"/>
      <c r="L183" s="2153"/>
      <c r="M183" s="2151"/>
      <c r="N183" s="2151"/>
      <c r="O183" s="2151"/>
      <c r="P183" s="2151"/>
      <c r="Q183" s="2151"/>
      <c r="R183" s="2151"/>
      <c r="S183" s="2151"/>
      <c r="T183" s="2151"/>
      <c r="U183" s="2151"/>
      <c r="V183" s="2151"/>
      <c r="W183" s="2151"/>
      <c r="X183" s="2151"/>
      <c r="Y183" s="2151"/>
      <c r="Z183" s="2151"/>
      <c r="AA183" s="2151"/>
      <c r="AB183" s="2151"/>
      <c r="AC183" s="2151"/>
    </row>
    <row r="184" spans="1:29" s="1564" customFormat="1">
      <c r="A184" s="2151"/>
      <c r="B184" s="2151"/>
      <c r="C184" s="2151"/>
      <c r="D184" s="2151"/>
      <c r="E184" s="2151"/>
      <c r="F184" s="2151"/>
      <c r="G184" s="2151"/>
      <c r="H184" s="2151"/>
      <c r="I184" s="2151"/>
      <c r="J184" s="2151"/>
      <c r="K184" s="2152"/>
      <c r="L184" s="2153"/>
      <c r="M184" s="2151"/>
      <c r="N184" s="2151"/>
      <c r="O184" s="2151"/>
      <c r="P184" s="2151"/>
      <c r="Q184" s="2151"/>
      <c r="R184" s="2151"/>
      <c r="S184" s="2151"/>
      <c r="T184" s="2151"/>
      <c r="U184" s="2151"/>
      <c r="V184" s="2151"/>
      <c r="W184" s="2151"/>
      <c r="X184" s="2151"/>
      <c r="Y184" s="2151"/>
      <c r="Z184" s="2151"/>
      <c r="AA184" s="2151"/>
      <c r="AB184" s="2151"/>
      <c r="AC184" s="2151"/>
    </row>
    <row r="185" spans="1:29" s="1564" customFormat="1">
      <c r="A185" s="2151"/>
      <c r="B185" s="2151"/>
      <c r="C185" s="2151"/>
      <c r="D185" s="2151"/>
      <c r="E185" s="2151"/>
      <c r="F185" s="2151"/>
      <c r="G185" s="2151"/>
      <c r="H185" s="2151"/>
      <c r="I185" s="2151"/>
      <c r="J185" s="2151"/>
      <c r="K185" s="2152"/>
      <c r="L185" s="2153"/>
      <c r="M185" s="2151"/>
      <c r="N185" s="2151"/>
      <c r="O185" s="2151"/>
      <c r="P185" s="2151"/>
      <c r="Q185" s="2151"/>
      <c r="R185" s="2151"/>
      <c r="S185" s="2151"/>
      <c r="T185" s="2151"/>
      <c r="U185" s="2151"/>
      <c r="V185" s="2151"/>
      <c r="W185" s="2151"/>
      <c r="X185" s="2151"/>
      <c r="Y185" s="2151"/>
      <c r="Z185" s="2151"/>
      <c r="AA185" s="2151"/>
      <c r="AB185" s="2151"/>
      <c r="AC185" s="2151"/>
    </row>
    <row r="186" spans="1:29" s="1564" customFormat="1">
      <c r="A186" s="2151"/>
      <c r="B186" s="2151"/>
      <c r="C186" s="2151"/>
      <c r="D186" s="2151"/>
      <c r="E186" s="2151"/>
      <c r="F186" s="2151"/>
      <c r="G186" s="2151"/>
      <c r="H186" s="2151"/>
      <c r="I186" s="2151"/>
      <c r="J186" s="2151"/>
      <c r="K186" s="2152"/>
      <c r="L186" s="2153"/>
      <c r="M186" s="2151"/>
      <c r="N186" s="2151"/>
      <c r="O186" s="2151"/>
      <c r="P186" s="2151"/>
      <c r="Q186" s="2151"/>
      <c r="R186" s="2151"/>
      <c r="S186" s="2151"/>
      <c r="T186" s="2151"/>
      <c r="U186" s="2151"/>
      <c r="V186" s="2151"/>
      <c r="W186" s="2151"/>
      <c r="X186" s="2151"/>
      <c r="Y186" s="2151"/>
      <c r="Z186" s="2151"/>
      <c r="AA186" s="2151"/>
      <c r="AB186" s="2151"/>
      <c r="AC186" s="2151"/>
    </row>
    <row r="187" spans="1:29" s="1564" customFormat="1">
      <c r="A187" s="2151"/>
      <c r="B187" s="2151"/>
      <c r="C187" s="2151"/>
      <c r="D187" s="2151"/>
      <c r="E187" s="2151"/>
      <c r="F187" s="2151"/>
      <c r="G187" s="2151"/>
      <c r="H187" s="2151"/>
      <c r="I187" s="2151"/>
      <c r="J187" s="2151"/>
      <c r="K187" s="2152"/>
      <c r="L187" s="2153"/>
      <c r="M187" s="2151"/>
      <c r="N187" s="2151"/>
      <c r="O187" s="2151"/>
      <c r="P187" s="2151"/>
      <c r="Q187" s="2151"/>
      <c r="R187" s="2151"/>
      <c r="S187" s="2151"/>
      <c r="T187" s="2151"/>
      <c r="U187" s="2151"/>
      <c r="V187" s="2151"/>
      <c r="W187" s="2151"/>
      <c r="X187" s="2151"/>
      <c r="Y187" s="2151"/>
      <c r="Z187" s="2151"/>
      <c r="AA187" s="2151"/>
      <c r="AB187" s="2151"/>
      <c r="AC187" s="2151"/>
    </row>
    <row r="188" spans="1:29" s="1564" customFormat="1">
      <c r="A188" s="2151"/>
      <c r="B188" s="2151"/>
      <c r="C188" s="2151"/>
      <c r="D188" s="2151"/>
      <c r="E188" s="2151"/>
      <c r="F188" s="2151"/>
      <c r="G188" s="2151"/>
      <c r="H188" s="2151"/>
      <c r="I188" s="2151"/>
      <c r="J188" s="2151"/>
      <c r="K188" s="2152"/>
      <c r="L188" s="2153"/>
      <c r="M188" s="2151"/>
      <c r="N188" s="2151"/>
      <c r="O188" s="2151"/>
      <c r="P188" s="2151"/>
      <c r="Q188" s="2151"/>
      <c r="R188" s="2151"/>
      <c r="S188" s="2151"/>
      <c r="T188" s="2151"/>
      <c r="U188" s="2151"/>
      <c r="V188" s="2151"/>
      <c r="W188" s="2151"/>
      <c r="X188" s="2151"/>
      <c r="Y188" s="2151"/>
      <c r="Z188" s="2151"/>
      <c r="AA188" s="2151"/>
      <c r="AB188" s="2151"/>
      <c r="AC188" s="2151"/>
    </row>
    <row r="189" spans="1:29" s="1564" customFormat="1">
      <c r="A189" s="2151"/>
      <c r="B189" s="2151"/>
      <c r="C189" s="2151"/>
      <c r="D189" s="2151"/>
      <c r="E189" s="2151"/>
      <c r="F189" s="2151"/>
      <c r="G189" s="2151"/>
      <c r="H189" s="2151"/>
      <c r="I189" s="2151"/>
      <c r="J189" s="2151"/>
      <c r="K189" s="2152"/>
      <c r="L189" s="2153"/>
      <c r="M189" s="2151"/>
      <c r="N189" s="2151"/>
      <c r="O189" s="2151"/>
      <c r="P189" s="2151"/>
      <c r="Q189" s="2151"/>
      <c r="R189" s="2151"/>
      <c r="S189" s="2151"/>
      <c r="T189" s="2151"/>
      <c r="U189" s="2151"/>
      <c r="V189" s="2151"/>
      <c r="W189" s="2151"/>
      <c r="X189" s="2151"/>
      <c r="Y189" s="2151"/>
      <c r="Z189" s="2151"/>
      <c r="AA189" s="2151"/>
      <c r="AB189" s="2151"/>
      <c r="AC189" s="2151"/>
    </row>
    <row r="190" spans="1:29" s="1564" customFormat="1">
      <c r="A190" s="2151"/>
      <c r="B190" s="2151"/>
      <c r="C190" s="2151"/>
      <c r="D190" s="2151"/>
      <c r="E190" s="2151"/>
      <c r="F190" s="2151"/>
      <c r="G190" s="2151"/>
      <c r="H190" s="2151"/>
      <c r="I190" s="2151"/>
      <c r="J190" s="2151"/>
      <c r="K190" s="2152"/>
      <c r="L190" s="2153"/>
      <c r="M190" s="2151"/>
      <c r="N190" s="2151"/>
      <c r="O190" s="2151"/>
      <c r="P190" s="2151"/>
      <c r="Q190" s="2151"/>
      <c r="R190" s="2151"/>
      <c r="S190" s="2151"/>
      <c r="T190" s="2151"/>
      <c r="U190" s="2151"/>
      <c r="V190" s="2151"/>
      <c r="W190" s="2151"/>
      <c r="X190" s="2151"/>
      <c r="Y190" s="2151"/>
      <c r="Z190" s="2151"/>
      <c r="AA190" s="2151"/>
      <c r="AB190" s="2151"/>
      <c r="AC190" s="2151"/>
    </row>
    <row r="191" spans="1:29" s="1564" customFormat="1">
      <c r="A191" s="2151"/>
      <c r="B191" s="2151"/>
      <c r="C191" s="2151"/>
      <c r="D191" s="2151"/>
      <c r="E191" s="2151"/>
      <c r="F191" s="2151"/>
      <c r="G191" s="2151"/>
      <c r="H191" s="2151"/>
      <c r="I191" s="2151"/>
      <c r="J191" s="2151"/>
      <c r="K191" s="2152"/>
      <c r="L191" s="2153"/>
      <c r="M191" s="2151"/>
      <c r="N191" s="2151"/>
      <c r="O191" s="2151"/>
      <c r="P191" s="2151"/>
      <c r="Q191" s="2151"/>
      <c r="R191" s="2151"/>
      <c r="S191" s="2151"/>
      <c r="T191" s="2151"/>
      <c r="U191" s="2151"/>
      <c r="V191" s="2151"/>
      <c r="W191" s="2151"/>
      <c r="X191" s="2151"/>
      <c r="Y191" s="2151"/>
      <c r="Z191" s="2151"/>
      <c r="AA191" s="2151"/>
      <c r="AB191" s="2151"/>
      <c r="AC191" s="2151"/>
    </row>
    <row r="192" spans="1:29" s="1564" customFormat="1">
      <c r="A192" s="2151"/>
      <c r="B192" s="2151"/>
      <c r="C192" s="2151"/>
      <c r="D192" s="2151"/>
      <c r="E192" s="2151"/>
      <c r="F192" s="2151"/>
      <c r="G192" s="2151"/>
      <c r="H192" s="2151"/>
      <c r="I192" s="2151"/>
      <c r="J192" s="2151"/>
      <c r="K192" s="2152"/>
      <c r="L192" s="2153"/>
      <c r="M192" s="2151"/>
      <c r="N192" s="2151"/>
      <c r="O192" s="2151"/>
      <c r="P192" s="2151"/>
      <c r="Q192" s="2151"/>
      <c r="R192" s="2151"/>
      <c r="S192" s="2151"/>
      <c r="T192" s="2151"/>
      <c r="U192" s="2151"/>
      <c r="V192" s="2151"/>
      <c r="W192" s="2151"/>
      <c r="X192" s="2151"/>
      <c r="Y192" s="2151"/>
      <c r="Z192" s="2151"/>
      <c r="AA192" s="2151"/>
      <c r="AB192" s="2151"/>
      <c r="AC192" s="2151"/>
    </row>
    <row r="193" spans="1:29" s="1564" customFormat="1">
      <c r="A193" s="2151"/>
      <c r="B193" s="2151"/>
      <c r="C193" s="2151"/>
      <c r="D193" s="2151"/>
      <c r="E193" s="2151"/>
      <c r="F193" s="2151"/>
      <c r="G193" s="2151"/>
      <c r="H193" s="2151"/>
      <c r="I193" s="2151"/>
      <c r="J193" s="2151"/>
      <c r="K193" s="2152"/>
      <c r="L193" s="2153"/>
      <c r="M193" s="2151"/>
      <c r="N193" s="2151"/>
      <c r="O193" s="2151"/>
      <c r="P193" s="2151"/>
      <c r="Q193" s="2151"/>
      <c r="R193" s="2151"/>
      <c r="S193" s="2151"/>
      <c r="T193" s="2151"/>
      <c r="U193" s="2151"/>
      <c r="V193" s="2151"/>
      <c r="W193" s="2151"/>
      <c r="X193" s="2151"/>
      <c r="Y193" s="2151"/>
      <c r="Z193" s="2151"/>
      <c r="AA193" s="2151"/>
      <c r="AB193" s="2151"/>
      <c r="AC193" s="2151"/>
    </row>
    <row r="194" spans="1:29" s="1564" customFormat="1">
      <c r="A194" s="2151"/>
      <c r="B194" s="2151"/>
      <c r="C194" s="2151"/>
      <c r="D194" s="2151"/>
      <c r="E194" s="2151"/>
      <c r="F194" s="2151"/>
      <c r="G194" s="2151"/>
      <c r="H194" s="2151"/>
      <c r="I194" s="2151"/>
      <c r="J194" s="2151"/>
      <c r="K194" s="2152"/>
      <c r="L194" s="2153"/>
      <c r="M194" s="2151"/>
      <c r="N194" s="2151"/>
      <c r="O194" s="2151"/>
      <c r="P194" s="2151"/>
      <c r="Q194" s="2151"/>
      <c r="R194" s="2151"/>
      <c r="S194" s="2151"/>
      <c r="T194" s="2151"/>
      <c r="U194" s="2151"/>
      <c r="V194" s="2151"/>
      <c r="W194" s="2151"/>
      <c r="X194" s="2151"/>
      <c r="Y194" s="2151"/>
      <c r="Z194" s="2151"/>
      <c r="AA194" s="2151"/>
      <c r="AB194" s="2151"/>
      <c r="AC194" s="2151"/>
    </row>
    <row r="195" spans="1:29" s="1564" customFormat="1">
      <c r="A195" s="2151"/>
      <c r="B195" s="2151"/>
      <c r="C195" s="2151"/>
      <c r="D195" s="2151"/>
      <c r="E195" s="2151"/>
      <c r="F195" s="2151"/>
      <c r="G195" s="2151"/>
      <c r="H195" s="2151"/>
      <c r="I195" s="2151"/>
      <c r="J195" s="2151"/>
      <c r="K195" s="2152"/>
      <c r="L195" s="2153"/>
      <c r="M195" s="2151"/>
      <c r="N195" s="2151"/>
      <c r="O195" s="2151"/>
      <c r="P195" s="2151"/>
      <c r="Q195" s="2151"/>
      <c r="R195" s="2151"/>
      <c r="S195" s="2151"/>
      <c r="T195" s="2151"/>
      <c r="U195" s="2151"/>
      <c r="V195" s="2151"/>
      <c r="W195" s="2151"/>
      <c r="X195" s="2151"/>
      <c r="Y195" s="2151"/>
      <c r="Z195" s="2151"/>
      <c r="AA195" s="2151"/>
      <c r="AB195" s="2151"/>
      <c r="AC195" s="2151"/>
    </row>
    <row r="196" spans="1:29" s="1564" customFormat="1">
      <c r="A196" s="2151"/>
      <c r="B196" s="2151"/>
      <c r="C196" s="2151"/>
      <c r="D196" s="2151"/>
      <c r="E196" s="2151"/>
      <c r="F196" s="2151"/>
      <c r="G196" s="2151"/>
      <c r="H196" s="2151"/>
      <c r="I196" s="2151"/>
      <c r="J196" s="2151"/>
      <c r="K196" s="2152"/>
      <c r="L196" s="2153"/>
      <c r="M196" s="2151"/>
      <c r="N196" s="2151"/>
      <c r="O196" s="2151"/>
      <c r="P196" s="2151"/>
      <c r="Q196" s="2151"/>
      <c r="R196" s="2151"/>
      <c r="S196" s="2151"/>
      <c r="T196" s="2151"/>
      <c r="U196" s="2151"/>
      <c r="V196" s="2151"/>
      <c r="W196" s="2151"/>
      <c r="X196" s="2151"/>
      <c r="Y196" s="2151"/>
      <c r="Z196" s="2151"/>
      <c r="AA196" s="2151"/>
      <c r="AB196" s="2151"/>
      <c r="AC196" s="2151"/>
    </row>
    <row r="197" spans="1:29" s="1564" customFormat="1">
      <c r="A197" s="2151"/>
      <c r="B197" s="2151"/>
      <c r="C197" s="2151"/>
      <c r="D197" s="2151"/>
      <c r="E197" s="2151"/>
      <c r="F197" s="2151"/>
      <c r="G197" s="2151"/>
      <c r="H197" s="2151"/>
      <c r="I197" s="2151"/>
      <c r="J197" s="2151"/>
      <c r="K197" s="2152"/>
      <c r="L197" s="2153"/>
      <c r="M197" s="2151"/>
      <c r="N197" s="2151"/>
      <c r="O197" s="2151"/>
      <c r="P197" s="2151"/>
      <c r="Q197" s="2151"/>
      <c r="R197" s="2151"/>
      <c r="S197" s="2151"/>
      <c r="T197" s="2151"/>
      <c r="U197" s="2151"/>
      <c r="V197" s="2151"/>
      <c r="W197" s="2151"/>
      <c r="X197" s="2151"/>
      <c r="Y197" s="2151"/>
      <c r="Z197" s="2151"/>
      <c r="AA197" s="2151"/>
      <c r="AB197" s="2151"/>
      <c r="AC197" s="2151"/>
    </row>
    <row r="198" spans="1:29" s="1564" customFormat="1">
      <c r="A198" s="2151"/>
      <c r="B198" s="2151"/>
      <c r="C198" s="2151"/>
      <c r="D198" s="2151"/>
      <c r="E198" s="2151"/>
      <c r="F198" s="2151"/>
      <c r="G198" s="2151"/>
      <c r="H198" s="2151"/>
      <c r="I198" s="2151"/>
      <c r="J198" s="2151"/>
      <c r="K198" s="2152"/>
      <c r="L198" s="2153"/>
      <c r="M198" s="2151"/>
      <c r="N198" s="2151"/>
      <c r="O198" s="2151"/>
      <c r="P198" s="2151"/>
      <c r="Q198" s="2151"/>
      <c r="R198" s="2151"/>
      <c r="S198" s="2151"/>
      <c r="T198" s="2151"/>
      <c r="U198" s="2151"/>
      <c r="V198" s="2151"/>
      <c r="W198" s="2151"/>
      <c r="X198" s="2151"/>
      <c r="Y198" s="2151"/>
      <c r="Z198" s="2151"/>
      <c r="AA198" s="2151"/>
      <c r="AB198" s="2151"/>
      <c r="AC198" s="2151"/>
    </row>
    <row r="199" spans="1:29" s="1564" customFormat="1">
      <c r="A199" s="2151"/>
      <c r="B199" s="2151"/>
      <c r="C199" s="2151"/>
      <c r="D199" s="2151"/>
      <c r="E199" s="2151"/>
      <c r="F199" s="2151"/>
      <c r="G199" s="2151"/>
      <c r="H199" s="2151"/>
      <c r="I199" s="2151"/>
      <c r="J199" s="2151"/>
      <c r="K199" s="2152"/>
      <c r="L199" s="2153"/>
      <c r="M199" s="2151"/>
      <c r="N199" s="2151"/>
      <c r="O199" s="2151"/>
      <c r="P199" s="2151"/>
      <c r="Q199" s="2151"/>
      <c r="R199" s="2151"/>
      <c r="S199" s="2151"/>
      <c r="T199" s="2151"/>
      <c r="U199" s="2151"/>
      <c r="V199" s="2151"/>
      <c r="W199" s="2151"/>
      <c r="X199" s="2151"/>
      <c r="Y199" s="2151"/>
      <c r="Z199" s="2151"/>
      <c r="AA199" s="2151"/>
      <c r="AB199" s="2151"/>
      <c r="AC199" s="2151"/>
    </row>
    <row r="200" spans="1:29" s="1564" customFormat="1">
      <c r="A200" s="2151"/>
      <c r="B200" s="2151"/>
      <c r="C200" s="2151"/>
      <c r="D200" s="2151"/>
      <c r="E200" s="2151"/>
      <c r="F200" s="2151"/>
      <c r="G200" s="2151"/>
      <c r="H200" s="2151"/>
      <c r="I200" s="2151"/>
      <c r="J200" s="2151"/>
      <c r="K200" s="2152"/>
      <c r="L200" s="2153"/>
      <c r="M200" s="2151"/>
      <c r="N200" s="2151"/>
      <c r="O200" s="2151"/>
      <c r="P200" s="2151"/>
      <c r="Q200" s="2151"/>
      <c r="R200" s="2151"/>
      <c r="S200" s="2151"/>
      <c r="T200" s="2151"/>
      <c r="U200" s="2151"/>
      <c r="V200" s="2151"/>
      <c r="W200" s="2151"/>
      <c r="X200" s="2151"/>
      <c r="Y200" s="2151"/>
      <c r="Z200" s="2151"/>
      <c r="AA200" s="2151"/>
      <c r="AB200" s="2151"/>
      <c r="AC200" s="2151"/>
    </row>
    <row r="201" spans="1:29" s="1564" customFormat="1">
      <c r="A201" s="2151"/>
      <c r="B201" s="2151"/>
      <c r="C201" s="2151"/>
      <c r="D201" s="2151"/>
      <c r="E201" s="2151"/>
      <c r="F201" s="2151"/>
      <c r="G201" s="2151"/>
      <c r="H201" s="2151"/>
      <c r="I201" s="2151"/>
      <c r="J201" s="2151"/>
      <c r="K201" s="2152"/>
      <c r="L201" s="2153"/>
      <c r="M201" s="2151"/>
      <c r="N201" s="2151"/>
      <c r="O201" s="2151"/>
      <c r="P201" s="2151"/>
      <c r="Q201" s="2151"/>
      <c r="R201" s="2151"/>
      <c r="S201" s="2151"/>
      <c r="T201" s="2151"/>
      <c r="U201" s="2151"/>
      <c r="V201" s="2151"/>
      <c r="W201" s="2151"/>
      <c r="X201" s="2151"/>
      <c r="Y201" s="2151"/>
      <c r="Z201" s="2151"/>
      <c r="AA201" s="2151"/>
      <c r="AB201" s="2151"/>
      <c r="AC201" s="2151"/>
    </row>
    <row r="202" spans="1:29" s="1564" customFormat="1">
      <c r="A202" s="2151"/>
      <c r="B202" s="2151"/>
      <c r="C202" s="2151"/>
      <c r="D202" s="2151"/>
      <c r="E202" s="2151"/>
      <c r="F202" s="2151"/>
      <c r="G202" s="2151"/>
      <c r="H202" s="2151"/>
      <c r="I202" s="2151"/>
      <c r="J202" s="2151"/>
      <c r="K202" s="2152"/>
      <c r="L202" s="2153"/>
      <c r="M202" s="2151"/>
      <c r="N202" s="2151"/>
      <c r="O202" s="2151"/>
      <c r="P202" s="2151"/>
      <c r="Q202" s="2151"/>
      <c r="R202" s="2151"/>
      <c r="S202" s="2151"/>
      <c r="T202" s="2151"/>
      <c r="U202" s="2151"/>
      <c r="V202" s="2151"/>
      <c r="W202" s="2151"/>
      <c r="X202" s="2151"/>
      <c r="Y202" s="2151"/>
      <c r="Z202" s="2151"/>
      <c r="AA202" s="2151"/>
      <c r="AB202" s="2151"/>
      <c r="AC202" s="2151"/>
    </row>
    <row r="203" spans="1:29" s="1564" customFormat="1">
      <c r="A203" s="2151"/>
      <c r="B203" s="2151"/>
      <c r="C203" s="2151"/>
      <c r="D203" s="2151"/>
      <c r="E203" s="2151"/>
      <c r="F203" s="2151"/>
      <c r="G203" s="2151"/>
      <c r="H203" s="2151"/>
      <c r="I203" s="2151"/>
      <c r="J203" s="2151"/>
      <c r="K203" s="2152"/>
      <c r="L203" s="2153"/>
      <c r="M203" s="2151"/>
      <c r="N203" s="2151"/>
      <c r="O203" s="2151"/>
      <c r="P203" s="2151"/>
      <c r="Q203" s="2151"/>
      <c r="R203" s="2151"/>
      <c r="S203" s="2151"/>
      <c r="T203" s="2151"/>
      <c r="U203" s="2151"/>
      <c r="V203" s="2151"/>
      <c r="W203" s="2151"/>
      <c r="X203" s="2151"/>
      <c r="Y203" s="2151"/>
      <c r="Z203" s="2151"/>
      <c r="AA203" s="2151"/>
      <c r="AB203" s="2151"/>
      <c r="AC203" s="2151"/>
    </row>
    <row r="204" spans="1:29" s="1564" customFormat="1">
      <c r="A204" s="2151"/>
      <c r="B204" s="2151"/>
      <c r="C204" s="2151"/>
      <c r="D204" s="2151"/>
      <c r="E204" s="2151"/>
      <c r="F204" s="2151"/>
      <c r="G204" s="2151"/>
      <c r="H204" s="2151"/>
      <c r="I204" s="2151"/>
      <c r="J204" s="2151"/>
      <c r="K204" s="2152"/>
      <c r="L204" s="2153"/>
      <c r="M204" s="2151"/>
      <c r="N204" s="2151"/>
      <c r="O204" s="2151"/>
      <c r="P204" s="2151"/>
      <c r="Q204" s="2151"/>
      <c r="R204" s="2151"/>
      <c r="S204" s="2151"/>
      <c r="T204" s="2151"/>
      <c r="U204" s="2151"/>
      <c r="V204" s="2151"/>
      <c r="W204" s="2151"/>
      <c r="X204" s="2151"/>
      <c r="Y204" s="2151"/>
      <c r="Z204" s="2151"/>
      <c r="AA204" s="2151"/>
      <c r="AB204" s="2151"/>
      <c r="AC204" s="2151"/>
    </row>
    <row r="205" spans="1:29" s="1564" customFormat="1">
      <c r="A205" s="2151"/>
      <c r="B205" s="2151"/>
      <c r="C205" s="2151"/>
      <c r="D205" s="2151"/>
      <c r="E205" s="2151"/>
      <c r="F205" s="2151"/>
      <c r="G205" s="2151"/>
      <c r="H205" s="2151"/>
      <c r="I205" s="2151"/>
      <c r="J205" s="2151"/>
      <c r="K205" s="2152"/>
      <c r="L205" s="2153"/>
      <c r="M205" s="2151"/>
      <c r="N205" s="2151"/>
      <c r="O205" s="2151"/>
      <c r="P205" s="2151"/>
      <c r="Q205" s="2151"/>
      <c r="R205" s="2151"/>
      <c r="S205" s="2151"/>
      <c r="T205" s="2151"/>
      <c r="U205" s="2151"/>
      <c r="V205" s="2151"/>
      <c r="W205" s="2151"/>
      <c r="X205" s="2151"/>
      <c r="Y205" s="2151"/>
      <c r="Z205" s="2151"/>
      <c r="AA205" s="2151"/>
      <c r="AB205" s="2151"/>
      <c r="AC205" s="2151"/>
    </row>
    <row r="206" spans="1:29" s="1564" customFormat="1">
      <c r="A206" s="2151"/>
      <c r="B206" s="2151"/>
      <c r="C206" s="2151"/>
      <c r="D206" s="2151"/>
      <c r="E206" s="2151"/>
      <c r="F206" s="2151"/>
      <c r="G206" s="2151"/>
      <c r="H206" s="2151"/>
      <c r="I206" s="2151"/>
      <c r="J206" s="2151"/>
      <c r="K206" s="2152"/>
      <c r="L206" s="2153"/>
      <c r="M206" s="2151"/>
      <c r="N206" s="2151"/>
      <c r="O206" s="2151"/>
      <c r="P206" s="2151"/>
      <c r="Q206" s="2151"/>
      <c r="R206" s="2151"/>
      <c r="S206" s="2151"/>
      <c r="T206" s="2151"/>
      <c r="U206" s="2151"/>
      <c r="V206" s="2151"/>
      <c r="W206" s="2151"/>
      <c r="X206" s="2151"/>
      <c r="Y206" s="2151"/>
      <c r="Z206" s="2151"/>
      <c r="AA206" s="2151"/>
      <c r="AB206" s="2151"/>
      <c r="AC206" s="2151"/>
    </row>
    <row r="207" spans="1:29" s="1564" customFormat="1">
      <c r="A207" s="2151"/>
      <c r="B207" s="2151"/>
      <c r="C207" s="2151"/>
      <c r="D207" s="2151"/>
      <c r="E207" s="2151"/>
      <c r="F207" s="2151"/>
      <c r="G207" s="2151"/>
      <c r="H207" s="2151"/>
      <c r="I207" s="2151"/>
      <c r="J207" s="2151"/>
      <c r="K207" s="2152"/>
      <c r="L207" s="2153"/>
      <c r="M207" s="2151"/>
      <c r="N207" s="2151"/>
      <c r="O207" s="2151"/>
      <c r="P207" s="2151"/>
      <c r="Q207" s="2151"/>
      <c r="R207" s="2151"/>
      <c r="S207" s="2151"/>
      <c r="T207" s="2151"/>
      <c r="U207" s="2151"/>
      <c r="V207" s="2151"/>
      <c r="W207" s="2151"/>
      <c r="X207" s="2151"/>
      <c r="Y207" s="2151"/>
      <c r="Z207" s="2151"/>
      <c r="AA207" s="2151"/>
      <c r="AB207" s="2151"/>
      <c r="AC207" s="2151"/>
    </row>
    <row r="208" spans="1:29" s="1564" customFormat="1">
      <c r="A208" s="2151"/>
      <c r="B208" s="2151"/>
      <c r="C208" s="2151"/>
      <c r="D208" s="2151"/>
      <c r="E208" s="2151"/>
      <c r="F208" s="2151"/>
      <c r="G208" s="2151"/>
      <c r="H208" s="2151"/>
      <c r="I208" s="2151"/>
      <c r="J208" s="2151"/>
      <c r="K208" s="2152"/>
      <c r="L208" s="2153"/>
      <c r="M208" s="2151"/>
      <c r="N208" s="2151"/>
      <c r="O208" s="2151"/>
      <c r="P208" s="2151"/>
      <c r="Q208" s="2151"/>
      <c r="R208" s="2151"/>
      <c r="S208" s="2151"/>
      <c r="T208" s="2151"/>
      <c r="U208" s="2151"/>
      <c r="V208" s="2151"/>
      <c r="W208" s="2151"/>
      <c r="X208" s="2151"/>
      <c r="Y208" s="2151"/>
      <c r="Z208" s="2151"/>
      <c r="AA208" s="2151"/>
      <c r="AB208" s="2151"/>
      <c r="AC208" s="2151"/>
    </row>
    <row r="209" spans="1:29" s="1564" customFormat="1">
      <c r="A209" s="2151"/>
      <c r="B209" s="2151"/>
      <c r="C209" s="2151"/>
      <c r="D209" s="2151"/>
      <c r="E209" s="2151"/>
      <c r="F209" s="2151"/>
      <c r="G209" s="2151"/>
      <c r="H209" s="2151"/>
      <c r="I209" s="2151"/>
      <c r="J209" s="2151"/>
      <c r="K209" s="2152"/>
      <c r="L209" s="2153"/>
      <c r="M209" s="2151"/>
      <c r="N209" s="2151"/>
      <c r="O209" s="2151"/>
      <c r="P209" s="2151"/>
      <c r="Q209" s="2151"/>
      <c r="R209" s="2151"/>
      <c r="S209" s="2151"/>
      <c r="T209" s="2151"/>
      <c r="U209" s="2151"/>
      <c r="V209" s="2151"/>
      <c r="W209" s="2151"/>
      <c r="X209" s="2151"/>
      <c r="Y209" s="2151"/>
      <c r="Z209" s="2151"/>
      <c r="AA209" s="2151"/>
      <c r="AB209" s="2151"/>
      <c r="AC209" s="2151"/>
    </row>
    <row r="210" spans="1:29" s="1564" customFormat="1">
      <c r="A210" s="2151"/>
      <c r="B210" s="2151"/>
      <c r="C210" s="2151"/>
      <c r="D210" s="2151"/>
      <c r="E210" s="2151"/>
      <c r="F210" s="2151"/>
      <c r="G210" s="2151"/>
      <c r="H210" s="2151"/>
      <c r="I210" s="2151"/>
      <c r="J210" s="2151"/>
      <c r="K210" s="2152"/>
      <c r="L210" s="2153"/>
      <c r="M210" s="2151"/>
      <c r="N210" s="2151"/>
      <c r="O210" s="2151"/>
      <c r="P210" s="2151"/>
      <c r="Q210" s="2151"/>
      <c r="R210" s="2151"/>
      <c r="S210" s="2151"/>
      <c r="T210" s="2151"/>
      <c r="U210" s="2151"/>
      <c r="V210" s="2151"/>
      <c r="W210" s="2151"/>
      <c r="X210" s="2151"/>
      <c r="Y210" s="2151"/>
      <c r="Z210" s="2151"/>
      <c r="AA210" s="2151"/>
      <c r="AB210" s="2151"/>
      <c r="AC210" s="2151"/>
    </row>
    <row r="211" spans="1:29" s="1564" customFormat="1">
      <c r="A211" s="2151"/>
      <c r="B211" s="2151"/>
      <c r="C211" s="2151"/>
      <c r="D211" s="2151"/>
      <c r="E211" s="2151"/>
      <c r="F211" s="2151"/>
      <c r="G211" s="2151"/>
      <c r="H211" s="2151"/>
      <c r="I211" s="2151"/>
      <c r="J211" s="2151"/>
      <c r="K211" s="2152"/>
      <c r="L211" s="2153"/>
      <c r="M211" s="2151"/>
      <c r="N211" s="2151"/>
      <c r="O211" s="2151"/>
      <c r="P211" s="2151"/>
      <c r="Q211" s="2151"/>
      <c r="R211" s="2151"/>
      <c r="S211" s="2151"/>
      <c r="T211" s="2151"/>
      <c r="U211" s="2151"/>
      <c r="V211" s="2151"/>
      <c r="W211" s="2151"/>
      <c r="X211" s="2151"/>
      <c r="Y211" s="2151"/>
      <c r="Z211" s="2151"/>
      <c r="AA211" s="2151"/>
      <c r="AB211" s="2151"/>
      <c r="AC211" s="2151"/>
    </row>
    <row r="212" spans="1:29" s="1564" customFormat="1">
      <c r="A212" s="2151"/>
      <c r="B212" s="2151"/>
      <c r="C212" s="2151"/>
      <c r="D212" s="2151"/>
      <c r="E212" s="2151"/>
      <c r="F212" s="2151"/>
      <c r="G212" s="2151"/>
      <c r="H212" s="2151"/>
      <c r="I212" s="2151"/>
      <c r="J212" s="2151"/>
      <c r="K212" s="2152"/>
      <c r="L212" s="2153"/>
      <c r="M212" s="2151"/>
      <c r="N212" s="2151"/>
      <c r="O212" s="2151"/>
      <c r="P212" s="2151"/>
      <c r="Q212" s="2151"/>
      <c r="R212" s="2151"/>
      <c r="S212" s="2151"/>
      <c r="T212" s="2151"/>
      <c r="U212" s="2151"/>
      <c r="V212" s="2151"/>
      <c r="W212" s="2151"/>
      <c r="X212" s="2151"/>
      <c r="Y212" s="2151"/>
      <c r="Z212" s="2151"/>
      <c r="AA212" s="2151"/>
      <c r="AB212" s="2151"/>
      <c r="AC212" s="2151"/>
    </row>
    <row r="213" spans="1:29" s="1564" customFormat="1">
      <c r="A213" s="2151"/>
      <c r="B213" s="2151"/>
      <c r="C213" s="2151"/>
      <c r="D213" s="2151"/>
      <c r="E213" s="2151"/>
      <c r="F213" s="2151"/>
      <c r="G213" s="2151"/>
      <c r="H213" s="2151"/>
      <c r="I213" s="2151"/>
      <c r="J213" s="2151"/>
      <c r="K213" s="2152"/>
      <c r="L213" s="2153"/>
      <c r="M213" s="2151"/>
      <c r="N213" s="2151"/>
      <c r="O213" s="2151"/>
      <c r="P213" s="2151"/>
      <c r="Q213" s="2151"/>
      <c r="R213" s="2151"/>
      <c r="S213" s="2151"/>
      <c r="T213" s="2151"/>
      <c r="U213" s="2151"/>
      <c r="V213" s="2151"/>
      <c r="W213" s="2151"/>
      <c r="X213" s="2151"/>
      <c r="Y213" s="2151"/>
      <c r="Z213" s="2151"/>
      <c r="AA213" s="2151"/>
      <c r="AB213" s="2151"/>
      <c r="AC213" s="2151"/>
    </row>
    <row r="214" spans="1:29" s="1564" customFormat="1">
      <c r="A214" s="2151"/>
      <c r="B214" s="2151"/>
      <c r="C214" s="2151"/>
      <c r="D214" s="2151"/>
      <c r="E214" s="2151"/>
      <c r="F214" s="2151"/>
      <c r="G214" s="2151"/>
      <c r="H214" s="2151"/>
      <c r="I214" s="2151"/>
      <c r="J214" s="2151"/>
      <c r="K214" s="2152"/>
      <c r="L214" s="2153"/>
      <c r="M214" s="2151"/>
      <c r="N214" s="2151"/>
      <c r="O214" s="2151"/>
      <c r="P214" s="2151"/>
      <c r="Q214" s="2151"/>
      <c r="R214" s="2151"/>
      <c r="S214" s="2151"/>
      <c r="T214" s="2151"/>
      <c r="U214" s="2151"/>
      <c r="V214" s="2151"/>
      <c r="W214" s="2151"/>
      <c r="X214" s="2151"/>
      <c r="Y214" s="2151"/>
      <c r="Z214" s="2151"/>
      <c r="AA214" s="2151"/>
      <c r="AB214" s="2151"/>
      <c r="AC214" s="2151"/>
    </row>
    <row r="215" spans="1:29" s="1564" customFormat="1">
      <c r="A215" s="2151"/>
      <c r="B215" s="2151"/>
      <c r="C215" s="2151"/>
      <c r="D215" s="2151"/>
      <c r="E215" s="2151"/>
      <c r="F215" s="2151"/>
      <c r="G215" s="2151"/>
      <c r="H215" s="2151"/>
      <c r="I215" s="2151"/>
      <c r="J215" s="2151"/>
      <c r="K215" s="2152"/>
      <c r="L215" s="2153"/>
      <c r="M215" s="2151"/>
      <c r="N215" s="2151"/>
      <c r="O215" s="2151"/>
      <c r="P215" s="2151"/>
      <c r="Q215" s="2151"/>
      <c r="R215" s="2151"/>
      <c r="S215" s="2151"/>
      <c r="T215" s="2151"/>
      <c r="U215" s="2151"/>
      <c r="V215" s="2151"/>
      <c r="W215" s="2151"/>
      <c r="X215" s="2151"/>
      <c r="Y215" s="2151"/>
      <c r="Z215" s="2151"/>
      <c r="AA215" s="2151"/>
      <c r="AB215" s="2151"/>
      <c r="AC215" s="2151"/>
    </row>
    <row r="216" spans="1:29" s="1564" customFormat="1">
      <c r="A216" s="2151"/>
      <c r="B216" s="2151"/>
      <c r="C216" s="2151"/>
      <c r="D216" s="2151"/>
      <c r="E216" s="2151"/>
      <c r="F216" s="2151"/>
      <c r="G216" s="2151"/>
      <c r="H216" s="2151"/>
      <c r="I216" s="2151"/>
      <c r="J216" s="2151"/>
      <c r="K216" s="2152"/>
      <c r="L216" s="2153"/>
      <c r="M216" s="2151"/>
      <c r="N216" s="2151"/>
      <c r="O216" s="2151"/>
      <c r="P216" s="2151"/>
      <c r="Q216" s="2151"/>
      <c r="R216" s="2151"/>
      <c r="S216" s="2151"/>
      <c r="T216" s="2151"/>
      <c r="U216" s="2151"/>
      <c r="V216" s="2151"/>
      <c r="W216" s="2151"/>
      <c r="X216" s="2151"/>
      <c r="Y216" s="2151"/>
      <c r="Z216" s="2151"/>
      <c r="AA216" s="2151"/>
      <c r="AB216" s="2151"/>
      <c r="AC216" s="2151"/>
    </row>
    <row r="217" spans="1:29" s="1564" customFormat="1">
      <c r="A217" s="2151"/>
      <c r="B217" s="2151"/>
      <c r="C217" s="2151"/>
      <c r="D217" s="2151"/>
      <c r="E217" s="2151"/>
      <c r="F217" s="2151"/>
      <c r="G217" s="2151"/>
      <c r="H217" s="2151"/>
      <c r="I217" s="2151"/>
      <c r="J217" s="2151"/>
      <c r="K217" s="2152"/>
      <c r="L217" s="2153"/>
      <c r="M217" s="2151"/>
      <c r="N217" s="2151"/>
      <c r="O217" s="2151"/>
      <c r="P217" s="2151"/>
      <c r="Q217" s="2151"/>
      <c r="R217" s="2151"/>
      <c r="S217" s="2151"/>
      <c r="T217" s="2151"/>
      <c r="U217" s="2151"/>
      <c r="V217" s="2151"/>
      <c r="W217" s="2151"/>
      <c r="X217" s="2151"/>
      <c r="Y217" s="2151"/>
      <c r="Z217" s="2151"/>
      <c r="AA217" s="2151"/>
      <c r="AB217" s="2151"/>
      <c r="AC217" s="2151"/>
    </row>
    <row r="218" spans="1:29" s="1564" customFormat="1">
      <c r="A218" s="2151"/>
      <c r="B218" s="2151"/>
      <c r="C218" s="2151"/>
      <c r="D218" s="2151"/>
      <c r="E218" s="2151"/>
      <c r="F218" s="2151"/>
      <c r="G218" s="2151"/>
      <c r="H218" s="2151"/>
      <c r="I218" s="2151"/>
      <c r="J218" s="2151"/>
      <c r="K218" s="2152"/>
      <c r="L218" s="2153"/>
      <c r="M218" s="2151"/>
      <c r="N218" s="2151"/>
      <c r="O218" s="2151"/>
      <c r="P218" s="2151"/>
      <c r="Q218" s="2151"/>
      <c r="R218" s="2151"/>
      <c r="S218" s="2151"/>
      <c r="T218" s="2151"/>
      <c r="U218" s="2151"/>
      <c r="V218" s="2151"/>
      <c r="W218" s="2151"/>
      <c r="X218" s="2151"/>
      <c r="Y218" s="2151"/>
      <c r="Z218" s="2151"/>
      <c r="AA218" s="2151"/>
      <c r="AB218" s="2151"/>
      <c r="AC218" s="2151"/>
    </row>
    <row r="219" spans="1:29" s="1564" customFormat="1">
      <c r="A219" s="2151"/>
      <c r="B219" s="2151"/>
      <c r="C219" s="2151"/>
      <c r="D219" s="2151"/>
      <c r="E219" s="2151"/>
      <c r="F219" s="2151"/>
      <c r="G219" s="2151"/>
      <c r="H219" s="2151"/>
      <c r="I219" s="2151"/>
      <c r="J219" s="2151"/>
      <c r="K219" s="2152"/>
      <c r="L219" s="2153"/>
      <c r="M219" s="2151"/>
      <c r="N219" s="2151"/>
      <c r="O219" s="2151"/>
      <c r="P219" s="2151"/>
      <c r="Q219" s="2151"/>
      <c r="R219" s="2151"/>
      <c r="S219" s="2151"/>
      <c r="T219" s="2151"/>
      <c r="U219" s="2151"/>
      <c r="V219" s="2151"/>
      <c r="W219" s="2151"/>
      <c r="X219" s="2151"/>
      <c r="Y219" s="2151"/>
      <c r="Z219" s="2151"/>
      <c r="AA219" s="2151"/>
      <c r="AB219" s="2151"/>
      <c r="AC219" s="2151"/>
    </row>
    <row r="220" spans="1:29" s="1564" customFormat="1">
      <c r="A220" s="2151"/>
      <c r="B220" s="2151"/>
      <c r="C220" s="2151"/>
      <c r="D220" s="2151"/>
      <c r="E220" s="2151"/>
      <c r="F220" s="2151"/>
      <c r="G220" s="2151"/>
      <c r="H220" s="2151"/>
      <c r="I220" s="2151"/>
      <c r="J220" s="2151"/>
      <c r="K220" s="2152"/>
      <c r="L220" s="2153"/>
      <c r="M220" s="2151"/>
      <c r="N220" s="2151"/>
      <c r="O220" s="2151"/>
      <c r="P220" s="2151"/>
      <c r="Q220" s="2151"/>
      <c r="R220" s="2151"/>
      <c r="S220" s="2151"/>
      <c r="T220" s="2151"/>
      <c r="U220" s="2151"/>
      <c r="V220" s="2151"/>
      <c r="W220" s="2151"/>
      <c r="X220" s="2151"/>
      <c r="Y220" s="2151"/>
      <c r="Z220" s="2151"/>
      <c r="AA220" s="2151"/>
      <c r="AB220" s="2151"/>
      <c r="AC220" s="2151"/>
    </row>
    <row r="221" spans="1:29" s="1564" customFormat="1">
      <c r="A221" s="2151"/>
      <c r="B221" s="2151"/>
      <c r="C221" s="2151"/>
      <c r="D221" s="2151"/>
      <c r="E221" s="2151"/>
      <c r="F221" s="2151"/>
      <c r="G221" s="2151"/>
      <c r="H221" s="2151"/>
      <c r="I221" s="2151"/>
      <c r="J221" s="2151"/>
      <c r="K221" s="2152"/>
      <c r="L221" s="2153"/>
      <c r="M221" s="2151"/>
      <c r="N221" s="2151"/>
      <c r="O221" s="2151"/>
      <c r="P221" s="2151"/>
      <c r="Q221" s="2151"/>
      <c r="R221" s="2151"/>
      <c r="S221" s="2151"/>
      <c r="T221" s="2151"/>
      <c r="U221" s="2151"/>
      <c r="V221" s="2151"/>
      <c r="W221" s="2151"/>
      <c r="X221" s="2151"/>
      <c r="Y221" s="2151"/>
      <c r="Z221" s="2151"/>
      <c r="AA221" s="2151"/>
      <c r="AB221" s="2151"/>
      <c r="AC221" s="2151"/>
    </row>
    <row r="222" spans="1:29" s="1564" customFormat="1">
      <c r="A222" s="2151"/>
      <c r="B222" s="2151"/>
      <c r="C222" s="2151"/>
      <c r="D222" s="2151"/>
      <c r="E222" s="2151"/>
      <c r="F222" s="2151"/>
      <c r="G222" s="2151"/>
      <c r="H222" s="2151"/>
      <c r="I222" s="2151"/>
      <c r="J222" s="2151"/>
      <c r="K222" s="2152"/>
      <c r="L222" s="2153"/>
      <c r="M222" s="2151"/>
      <c r="N222" s="2151"/>
      <c r="O222" s="2151"/>
      <c r="P222" s="2151"/>
      <c r="Q222" s="2151"/>
      <c r="R222" s="2151"/>
      <c r="S222" s="2151"/>
      <c r="T222" s="2151"/>
      <c r="U222" s="2151"/>
      <c r="V222" s="2151"/>
      <c r="W222" s="2151"/>
      <c r="X222" s="2151"/>
      <c r="Y222" s="2151"/>
      <c r="Z222" s="2151"/>
      <c r="AA222" s="2151"/>
      <c r="AB222" s="2151"/>
      <c r="AC222" s="2151"/>
    </row>
    <row r="223" spans="1:29" s="1564" customFormat="1">
      <c r="A223" s="2151"/>
      <c r="B223" s="2151"/>
      <c r="C223" s="2151"/>
      <c r="D223" s="2151"/>
      <c r="E223" s="2151"/>
      <c r="F223" s="2151"/>
      <c r="G223" s="2151"/>
      <c r="H223" s="2151"/>
      <c r="I223" s="2151"/>
      <c r="J223" s="2151"/>
      <c r="K223" s="2152"/>
      <c r="L223" s="2153"/>
      <c r="M223" s="2151"/>
      <c r="N223" s="2151"/>
      <c r="O223" s="2151"/>
      <c r="P223" s="2151"/>
      <c r="Q223" s="2151"/>
      <c r="R223" s="2151"/>
      <c r="S223" s="2151"/>
      <c r="T223" s="2151"/>
      <c r="U223" s="2151"/>
      <c r="V223" s="2151"/>
      <c r="W223" s="2151"/>
      <c r="X223" s="2151"/>
      <c r="Y223" s="2151"/>
      <c r="Z223" s="2151"/>
      <c r="AA223" s="2151"/>
      <c r="AB223" s="2151"/>
      <c r="AC223" s="2151"/>
    </row>
    <row r="224" spans="1:29" s="1564" customFormat="1">
      <c r="A224" s="2151"/>
      <c r="B224" s="2151"/>
      <c r="C224" s="2151"/>
      <c r="D224" s="2151"/>
      <c r="E224" s="2151"/>
      <c r="F224" s="2151"/>
      <c r="G224" s="2151"/>
      <c r="H224" s="2151"/>
      <c r="I224" s="2151"/>
      <c r="J224" s="2151"/>
      <c r="K224" s="2152"/>
      <c r="L224" s="2153"/>
      <c r="M224" s="2151"/>
      <c r="N224" s="2151"/>
      <c r="O224" s="2151"/>
      <c r="P224" s="2151"/>
      <c r="Q224" s="2151"/>
      <c r="R224" s="2151"/>
      <c r="S224" s="2151"/>
      <c r="T224" s="2151"/>
      <c r="U224" s="2151"/>
      <c r="V224" s="2151"/>
      <c r="W224" s="2151"/>
      <c r="X224" s="2151"/>
      <c r="Y224" s="2151"/>
      <c r="Z224" s="2151"/>
      <c r="AA224" s="2151"/>
      <c r="AB224" s="2151"/>
      <c r="AC224" s="2151"/>
    </row>
    <row r="225" spans="1:29" s="1564" customFormat="1">
      <c r="A225" s="2151"/>
      <c r="B225" s="2151"/>
      <c r="C225" s="2151"/>
      <c r="D225" s="2151"/>
      <c r="E225" s="2151"/>
      <c r="F225" s="2151"/>
      <c r="G225" s="2151"/>
      <c r="H225" s="2151"/>
      <c r="I225" s="2151"/>
      <c r="J225" s="2151"/>
      <c r="K225" s="2152"/>
      <c r="L225" s="2153"/>
      <c r="M225" s="2151"/>
      <c r="N225" s="2151"/>
      <c r="O225" s="2151"/>
      <c r="P225" s="2151"/>
      <c r="Q225" s="2151"/>
      <c r="R225" s="2151"/>
      <c r="S225" s="2151"/>
      <c r="T225" s="2151"/>
      <c r="U225" s="2151"/>
      <c r="V225" s="2151"/>
      <c r="W225" s="2151"/>
      <c r="X225" s="2151"/>
      <c r="Y225" s="2151"/>
      <c r="Z225" s="2151"/>
      <c r="AA225" s="2151"/>
      <c r="AB225" s="2151"/>
      <c r="AC225" s="2151"/>
    </row>
    <row r="226" spans="1:29" s="1564" customFormat="1">
      <c r="A226" s="2151"/>
      <c r="B226" s="2151"/>
      <c r="C226" s="2151"/>
      <c r="D226" s="2151"/>
      <c r="E226" s="2151"/>
      <c r="F226" s="2151"/>
      <c r="G226" s="2151"/>
      <c r="H226" s="2151"/>
      <c r="I226" s="2151"/>
      <c r="J226" s="2151"/>
      <c r="K226" s="2152"/>
      <c r="L226" s="2153"/>
      <c r="M226" s="2151"/>
      <c r="N226" s="2151"/>
      <c r="O226" s="2151"/>
      <c r="P226" s="2151"/>
      <c r="Q226" s="2151"/>
      <c r="R226" s="2151"/>
      <c r="S226" s="2151"/>
      <c r="T226" s="2151"/>
      <c r="U226" s="2151"/>
      <c r="V226" s="2151"/>
      <c r="W226" s="2151"/>
      <c r="X226" s="2151"/>
      <c r="Y226" s="2151"/>
      <c r="Z226" s="2151"/>
      <c r="AA226" s="2151"/>
      <c r="AB226" s="2151"/>
      <c r="AC226" s="2151"/>
    </row>
    <row r="227" spans="1:29" s="1564" customFormat="1">
      <c r="A227" s="2151"/>
      <c r="B227" s="2151"/>
      <c r="C227" s="2151"/>
      <c r="D227" s="2151"/>
      <c r="E227" s="2151"/>
      <c r="F227" s="2151"/>
      <c r="G227" s="2151"/>
      <c r="H227" s="2151"/>
      <c r="I227" s="2151"/>
      <c r="J227" s="2151"/>
      <c r="K227" s="2152"/>
      <c r="L227" s="2153"/>
      <c r="M227" s="2151"/>
      <c r="N227" s="2151"/>
      <c r="O227" s="2151"/>
      <c r="P227" s="2151"/>
      <c r="Q227" s="2151"/>
      <c r="R227" s="2151"/>
      <c r="S227" s="2151"/>
      <c r="T227" s="2151"/>
      <c r="U227" s="2151"/>
      <c r="V227" s="2151"/>
      <c r="W227" s="2151"/>
      <c r="X227" s="2151"/>
      <c r="Y227" s="2151"/>
      <c r="Z227" s="2151"/>
      <c r="AA227" s="2151"/>
      <c r="AB227" s="2151"/>
      <c r="AC227" s="2151"/>
    </row>
    <row r="228" spans="1:29" s="1564" customFormat="1">
      <c r="A228" s="2151"/>
      <c r="B228" s="2151"/>
      <c r="C228" s="2151"/>
      <c r="D228" s="2151"/>
      <c r="E228" s="2151"/>
      <c r="F228" s="2151"/>
      <c r="G228" s="2151"/>
      <c r="H228" s="2151"/>
      <c r="I228" s="2151"/>
      <c r="J228" s="2151"/>
      <c r="K228" s="2152"/>
      <c r="L228" s="2153"/>
      <c r="M228" s="2151"/>
      <c r="N228" s="2151"/>
      <c r="O228" s="2151"/>
      <c r="P228" s="2151"/>
      <c r="Q228" s="2151"/>
      <c r="R228" s="2151"/>
      <c r="S228" s="2151"/>
      <c r="T228" s="2151"/>
      <c r="U228" s="2151"/>
      <c r="V228" s="2151"/>
      <c r="W228" s="2151"/>
      <c r="X228" s="2151"/>
      <c r="Y228" s="2151"/>
      <c r="Z228" s="2151"/>
      <c r="AA228" s="2151"/>
      <c r="AB228" s="2151"/>
      <c r="AC228" s="2151"/>
    </row>
    <row r="229" spans="1:29" s="1564" customFormat="1">
      <c r="A229" s="2151"/>
      <c r="B229" s="2151"/>
      <c r="C229" s="2151"/>
      <c r="D229" s="2151"/>
      <c r="E229" s="2151"/>
      <c r="F229" s="2151"/>
      <c r="G229" s="2151"/>
      <c r="H229" s="2151"/>
      <c r="I229" s="2151"/>
      <c r="J229" s="2151"/>
      <c r="K229" s="2152"/>
      <c r="L229" s="2153"/>
      <c r="M229" s="2151"/>
      <c r="N229" s="2151"/>
      <c r="O229" s="2151"/>
      <c r="P229" s="2151"/>
      <c r="Q229" s="2151"/>
      <c r="R229" s="2151"/>
      <c r="S229" s="2151"/>
      <c r="T229" s="2151"/>
      <c r="U229" s="2151"/>
      <c r="V229" s="2151"/>
      <c r="W229" s="2151"/>
      <c r="X229" s="2151"/>
      <c r="Y229" s="2151"/>
      <c r="Z229" s="2151"/>
      <c r="AA229" s="2151"/>
      <c r="AB229" s="2151"/>
      <c r="AC229" s="2151"/>
    </row>
    <row r="230" spans="1:29" s="1564" customFormat="1">
      <c r="A230" s="2151"/>
      <c r="B230" s="2151"/>
      <c r="C230" s="2151"/>
      <c r="D230" s="2151"/>
      <c r="E230" s="2151"/>
      <c r="F230" s="2151"/>
      <c r="G230" s="2151"/>
      <c r="H230" s="2151"/>
      <c r="I230" s="2151"/>
      <c r="J230" s="2151"/>
      <c r="K230" s="2152"/>
      <c r="L230" s="2153"/>
      <c r="M230" s="2151"/>
      <c r="N230" s="2151"/>
      <c r="O230" s="2151"/>
      <c r="P230" s="2151"/>
      <c r="Q230" s="2151"/>
      <c r="R230" s="2151"/>
      <c r="S230" s="2151"/>
      <c r="T230" s="2151"/>
      <c r="U230" s="2151"/>
      <c r="V230" s="2151"/>
      <c r="W230" s="2151"/>
      <c r="X230" s="2151"/>
      <c r="Y230" s="2151"/>
      <c r="Z230" s="2151"/>
      <c r="AA230" s="2151"/>
      <c r="AB230" s="2151"/>
      <c r="AC230" s="2151"/>
    </row>
    <row r="231" spans="1:29" s="1564" customFormat="1">
      <c r="A231" s="2151"/>
      <c r="B231" s="2151"/>
      <c r="C231" s="2151"/>
      <c r="D231" s="2151"/>
      <c r="E231" s="2151"/>
      <c r="F231" s="2151"/>
      <c r="G231" s="2151"/>
      <c r="H231" s="2151"/>
      <c r="I231" s="2151"/>
      <c r="J231" s="2151"/>
      <c r="K231" s="2152"/>
      <c r="L231" s="2153"/>
      <c r="M231" s="2151"/>
      <c r="N231" s="2151"/>
      <c r="O231" s="2151"/>
      <c r="P231" s="2151"/>
      <c r="Q231" s="2151"/>
      <c r="R231" s="2151"/>
      <c r="S231" s="2151"/>
      <c r="T231" s="2151"/>
      <c r="U231" s="2151"/>
      <c r="V231" s="2151"/>
      <c r="W231" s="2151"/>
      <c r="X231" s="2151"/>
      <c r="Y231" s="2151"/>
      <c r="Z231" s="2151"/>
      <c r="AA231" s="2151"/>
      <c r="AB231" s="2151"/>
      <c r="AC231" s="2151"/>
    </row>
    <row r="232" spans="1:29" s="1564" customFormat="1">
      <c r="A232" s="2151"/>
      <c r="B232" s="2151"/>
      <c r="C232" s="2151"/>
      <c r="D232" s="2151"/>
      <c r="E232" s="2151"/>
      <c r="F232" s="2151"/>
      <c r="G232" s="2151"/>
      <c r="H232" s="2151"/>
      <c r="I232" s="2151"/>
      <c r="J232" s="2151"/>
      <c r="K232" s="2152"/>
      <c r="L232" s="2153"/>
      <c r="M232" s="2151"/>
      <c r="N232" s="2151"/>
      <c r="O232" s="2151"/>
      <c r="P232" s="2151"/>
      <c r="Q232" s="2151"/>
      <c r="R232" s="2151"/>
      <c r="S232" s="2151"/>
      <c r="T232" s="2151"/>
      <c r="U232" s="2151"/>
      <c r="V232" s="2151"/>
      <c r="W232" s="2151"/>
      <c r="X232" s="2151"/>
      <c r="Y232" s="2151"/>
      <c r="Z232" s="2151"/>
      <c r="AA232" s="2151"/>
      <c r="AB232" s="2151"/>
      <c r="AC232" s="2151"/>
    </row>
    <row r="233" spans="1:29" s="1564" customFormat="1">
      <c r="A233" s="2151"/>
      <c r="B233" s="2151"/>
      <c r="C233" s="2151"/>
      <c r="D233" s="2151"/>
      <c r="E233" s="2151"/>
      <c r="F233" s="2151"/>
      <c r="G233" s="2151"/>
      <c r="H233" s="2151"/>
      <c r="I233" s="2151"/>
      <c r="J233" s="2151"/>
      <c r="K233" s="2152"/>
      <c r="L233" s="2153"/>
      <c r="M233" s="2151"/>
      <c r="N233" s="2151"/>
      <c r="O233" s="2151"/>
      <c r="P233" s="2151"/>
      <c r="Q233" s="2151"/>
      <c r="R233" s="2151"/>
      <c r="S233" s="2151"/>
      <c r="T233" s="2151"/>
      <c r="U233" s="2151"/>
      <c r="V233" s="2151"/>
      <c r="W233" s="2151"/>
      <c r="X233" s="2151"/>
      <c r="Y233" s="2151"/>
      <c r="Z233" s="2151"/>
      <c r="AA233" s="2151"/>
      <c r="AB233" s="2151"/>
      <c r="AC233" s="2151"/>
    </row>
    <row r="234" spans="1:29" s="1564" customFormat="1">
      <c r="A234" s="2151"/>
      <c r="B234" s="2151"/>
      <c r="C234" s="2151"/>
      <c r="D234" s="2151"/>
      <c r="E234" s="2151"/>
      <c r="F234" s="2151"/>
      <c r="G234" s="2151"/>
      <c r="H234" s="2151"/>
      <c r="I234" s="2151"/>
      <c r="J234" s="2151"/>
      <c r="K234" s="2152"/>
      <c r="L234" s="2153"/>
      <c r="M234" s="2151"/>
      <c r="N234" s="2151"/>
      <c r="O234" s="2151"/>
      <c r="P234" s="2151"/>
      <c r="Q234" s="2151"/>
      <c r="R234" s="2151"/>
      <c r="S234" s="2151"/>
      <c r="T234" s="2151"/>
      <c r="U234" s="2151"/>
      <c r="V234" s="2151"/>
      <c r="W234" s="2151"/>
      <c r="X234" s="2151"/>
      <c r="Y234" s="2151"/>
      <c r="Z234" s="2151"/>
      <c r="AA234" s="2151"/>
      <c r="AB234" s="2151"/>
      <c r="AC234" s="2151"/>
    </row>
    <row r="235" spans="1:29" s="1564" customFormat="1">
      <c r="A235" s="2151"/>
      <c r="B235" s="2151"/>
      <c r="C235" s="2151"/>
      <c r="D235" s="2151"/>
      <c r="E235" s="2151"/>
      <c r="F235" s="2151"/>
      <c r="G235" s="2151"/>
      <c r="H235" s="2151"/>
      <c r="I235" s="2151"/>
      <c r="J235" s="2151"/>
      <c r="K235" s="2152"/>
      <c r="L235" s="2153"/>
      <c r="M235" s="2151"/>
      <c r="N235" s="2151"/>
      <c r="O235" s="2151"/>
      <c r="P235" s="2151"/>
      <c r="Q235" s="2151"/>
      <c r="R235" s="2151"/>
      <c r="S235" s="2151"/>
      <c r="T235" s="2151"/>
      <c r="U235" s="2151"/>
      <c r="V235" s="2151"/>
      <c r="W235" s="2151"/>
      <c r="X235" s="2151"/>
      <c r="Y235" s="2151"/>
      <c r="Z235" s="2151"/>
      <c r="AA235" s="2151"/>
      <c r="AB235" s="2151"/>
      <c r="AC235" s="2151"/>
    </row>
    <row r="236" spans="1:29" s="1564" customFormat="1">
      <c r="A236" s="2151"/>
      <c r="B236" s="2151"/>
      <c r="C236" s="2151"/>
      <c r="D236" s="2151"/>
      <c r="E236" s="2151"/>
      <c r="F236" s="2151"/>
      <c r="G236" s="2151"/>
      <c r="H236" s="2151"/>
      <c r="I236" s="2151"/>
      <c r="J236" s="2151"/>
      <c r="K236" s="2152"/>
      <c r="L236" s="2153"/>
      <c r="M236" s="2151"/>
      <c r="N236" s="2151"/>
      <c r="O236" s="2151"/>
      <c r="P236" s="2151"/>
      <c r="Q236" s="2151"/>
      <c r="R236" s="2151"/>
      <c r="S236" s="2151"/>
      <c r="T236" s="2151"/>
      <c r="U236" s="2151"/>
      <c r="V236" s="2151"/>
      <c r="W236" s="2151"/>
      <c r="X236" s="2151"/>
      <c r="Y236" s="2151"/>
      <c r="Z236" s="2151"/>
      <c r="AA236" s="2151"/>
      <c r="AB236" s="2151"/>
      <c r="AC236" s="2151"/>
    </row>
    <row r="237" spans="1:29" s="1564" customFormat="1">
      <c r="A237" s="2151"/>
      <c r="B237" s="2151"/>
      <c r="C237" s="2151"/>
      <c r="D237" s="2151"/>
      <c r="E237" s="2151"/>
      <c r="F237" s="2151"/>
      <c r="G237" s="2151"/>
      <c r="H237" s="2151"/>
      <c r="I237" s="2151"/>
      <c r="J237" s="2151"/>
      <c r="K237" s="2152"/>
      <c r="L237" s="2153"/>
      <c r="M237" s="2151"/>
      <c r="N237" s="2151"/>
      <c r="O237" s="2151"/>
      <c r="P237" s="2151"/>
      <c r="Q237" s="2151"/>
      <c r="R237" s="2151"/>
      <c r="S237" s="2151"/>
      <c r="T237" s="2151"/>
      <c r="U237" s="2151"/>
      <c r="V237" s="2151"/>
      <c r="W237" s="2151"/>
      <c r="X237" s="2151"/>
      <c r="Y237" s="2151"/>
      <c r="Z237" s="2151"/>
      <c r="AA237" s="2151"/>
      <c r="AB237" s="2151"/>
      <c r="AC237" s="2151"/>
    </row>
    <row r="238" spans="1:29" s="1564" customFormat="1">
      <c r="A238" s="2151"/>
      <c r="B238" s="2151"/>
      <c r="C238" s="2151"/>
      <c r="D238" s="2151"/>
      <c r="E238" s="2151"/>
      <c r="F238" s="2151"/>
      <c r="G238" s="2151"/>
      <c r="H238" s="2151"/>
      <c r="I238" s="2151"/>
      <c r="J238" s="2151"/>
      <c r="K238" s="2152"/>
      <c r="L238" s="2153"/>
      <c r="M238" s="2151"/>
      <c r="N238" s="2151"/>
      <c r="O238" s="2151"/>
      <c r="P238" s="2151"/>
      <c r="Q238" s="2151"/>
      <c r="R238" s="2151"/>
      <c r="S238" s="2151"/>
      <c r="T238" s="2151"/>
      <c r="U238" s="2151"/>
      <c r="V238" s="2151"/>
      <c r="W238" s="2151"/>
      <c r="X238" s="2151"/>
      <c r="Y238" s="2151"/>
      <c r="Z238" s="2151"/>
      <c r="AA238" s="2151"/>
      <c r="AB238" s="2151"/>
      <c r="AC238" s="2151"/>
    </row>
    <row r="239" spans="1:29" s="1564" customFormat="1">
      <c r="A239" s="2151"/>
      <c r="B239" s="2151"/>
      <c r="C239" s="2151"/>
      <c r="D239" s="2151"/>
      <c r="E239" s="2151"/>
      <c r="F239" s="2151"/>
      <c r="G239" s="2151"/>
      <c r="H239" s="2151"/>
      <c r="I239" s="2151"/>
      <c r="J239" s="2151"/>
      <c r="K239" s="2152"/>
      <c r="L239" s="2153"/>
      <c r="M239" s="2151"/>
      <c r="N239" s="2151"/>
      <c r="O239" s="2151"/>
      <c r="P239" s="2151"/>
      <c r="Q239" s="2151"/>
      <c r="R239" s="2151"/>
      <c r="S239" s="2151"/>
      <c r="T239" s="2151"/>
      <c r="U239" s="2151"/>
      <c r="V239" s="2151"/>
      <c r="W239" s="2151"/>
      <c r="X239" s="2151"/>
      <c r="Y239" s="2151"/>
      <c r="Z239" s="2151"/>
      <c r="AA239" s="2151"/>
      <c r="AB239" s="2151"/>
      <c r="AC239" s="2151"/>
    </row>
    <row r="240" spans="1:29" s="1564" customFormat="1">
      <c r="A240" s="2151"/>
      <c r="B240" s="2151"/>
      <c r="C240" s="2151"/>
      <c r="D240" s="2151"/>
      <c r="E240" s="2151"/>
      <c r="F240" s="2151"/>
      <c r="G240" s="2151"/>
      <c r="H240" s="2151"/>
      <c r="I240" s="2151"/>
      <c r="J240" s="2151"/>
      <c r="K240" s="2152"/>
      <c r="L240" s="2153"/>
      <c r="M240" s="2151"/>
      <c r="N240" s="2151"/>
      <c r="O240" s="2151"/>
      <c r="P240" s="2151"/>
      <c r="Q240" s="2151"/>
      <c r="R240" s="2151"/>
      <c r="S240" s="2151"/>
      <c r="T240" s="2151"/>
      <c r="U240" s="2151"/>
      <c r="V240" s="2151"/>
      <c r="W240" s="2151"/>
      <c r="X240" s="2151"/>
      <c r="Y240" s="2151"/>
      <c r="Z240" s="2151"/>
      <c r="AA240" s="2151"/>
      <c r="AB240" s="2151"/>
      <c r="AC240" s="2151"/>
    </row>
    <row r="241" spans="1:29" s="1564" customFormat="1">
      <c r="A241" s="2151"/>
      <c r="B241" s="2151"/>
      <c r="C241" s="2151"/>
      <c r="D241" s="2151"/>
      <c r="E241" s="2151"/>
      <c r="F241" s="2151"/>
      <c r="G241" s="2151"/>
      <c r="H241" s="2151"/>
      <c r="I241" s="2151"/>
      <c r="J241" s="2151"/>
      <c r="K241" s="2152"/>
      <c r="L241" s="2153"/>
      <c r="M241" s="2151"/>
      <c r="N241" s="2151"/>
      <c r="O241" s="2151"/>
      <c r="P241" s="2151"/>
      <c r="Q241" s="2151"/>
      <c r="R241" s="2151"/>
      <c r="S241" s="2151"/>
      <c r="T241" s="2151"/>
      <c r="U241" s="2151"/>
      <c r="V241" s="2151"/>
      <c r="W241" s="2151"/>
      <c r="X241" s="2151"/>
      <c r="Y241" s="2151"/>
      <c r="Z241" s="2151"/>
      <c r="AA241" s="2151"/>
      <c r="AB241" s="2151"/>
      <c r="AC241" s="2151"/>
    </row>
    <row r="242" spans="1:29" s="1564" customFormat="1">
      <c r="A242" s="2151"/>
      <c r="B242" s="2151"/>
      <c r="C242" s="2151"/>
      <c r="D242" s="2151"/>
      <c r="E242" s="2151"/>
      <c r="F242" s="2151"/>
      <c r="G242" s="2151"/>
      <c r="H242" s="2151"/>
      <c r="I242" s="2151"/>
      <c r="J242" s="2151"/>
      <c r="K242" s="2152"/>
      <c r="L242" s="2153"/>
      <c r="M242" s="2151"/>
      <c r="N242" s="2151"/>
      <c r="O242" s="2151"/>
      <c r="P242" s="2151"/>
      <c r="Q242" s="2151"/>
      <c r="R242" s="2151"/>
      <c r="S242" s="2151"/>
      <c r="T242" s="2151"/>
      <c r="U242" s="2151"/>
      <c r="V242" s="2151"/>
      <c r="W242" s="2151"/>
      <c r="X242" s="2151"/>
      <c r="Y242" s="2151"/>
      <c r="Z242" s="2151"/>
      <c r="AA242" s="2151"/>
      <c r="AB242" s="2151"/>
      <c r="AC242" s="2151"/>
    </row>
    <row r="243" spans="1:29" s="1564" customFormat="1">
      <c r="A243" s="2151"/>
      <c r="B243" s="2151"/>
      <c r="C243" s="2151"/>
      <c r="D243" s="2151"/>
      <c r="E243" s="2151"/>
      <c r="F243" s="2151"/>
      <c r="G243" s="2151"/>
      <c r="H243" s="2151"/>
      <c r="I243" s="2151"/>
      <c r="J243" s="2151"/>
      <c r="K243" s="2152"/>
      <c r="L243" s="2153"/>
      <c r="M243" s="2151"/>
      <c r="N243" s="2151"/>
      <c r="O243" s="2151"/>
      <c r="P243" s="2151"/>
      <c r="Q243" s="2151"/>
      <c r="R243" s="2151"/>
      <c r="S243" s="2151"/>
      <c r="T243" s="2151"/>
      <c r="U243" s="2151"/>
      <c r="V243" s="2151"/>
      <c r="W243" s="2151"/>
      <c r="X243" s="2151"/>
      <c r="Y243" s="2151"/>
      <c r="Z243" s="2151"/>
      <c r="AA243" s="2151"/>
      <c r="AB243" s="2151"/>
      <c r="AC243" s="2151"/>
    </row>
    <row r="244" spans="1:29" s="1564" customFormat="1">
      <c r="A244" s="2151"/>
      <c r="B244" s="2151"/>
      <c r="C244" s="2151"/>
      <c r="D244" s="2151"/>
      <c r="E244" s="2151"/>
      <c r="F244" s="2151"/>
      <c r="G244" s="2151"/>
      <c r="H244" s="2151"/>
      <c r="I244" s="2151"/>
      <c r="J244" s="2151"/>
      <c r="K244" s="2152"/>
      <c r="L244" s="2153"/>
      <c r="M244" s="2151"/>
      <c r="N244" s="2151"/>
      <c r="O244" s="2151"/>
      <c r="P244" s="2151"/>
      <c r="Q244" s="2151"/>
      <c r="R244" s="2151"/>
      <c r="S244" s="2151"/>
      <c r="T244" s="2151"/>
      <c r="U244" s="2151"/>
      <c r="V244" s="2151"/>
      <c r="W244" s="2151"/>
      <c r="X244" s="2151"/>
      <c r="Y244" s="2151"/>
      <c r="Z244" s="2151"/>
      <c r="AA244" s="2151"/>
      <c r="AB244" s="2151"/>
      <c r="AC244" s="2151"/>
    </row>
    <row r="245" spans="1:29" s="1564" customFormat="1">
      <c r="A245" s="2151"/>
      <c r="B245" s="2151"/>
      <c r="C245" s="2151"/>
      <c r="D245" s="2151"/>
      <c r="E245" s="2151"/>
      <c r="F245" s="2151"/>
      <c r="G245" s="2151"/>
      <c r="H245" s="2151"/>
      <c r="I245" s="2151"/>
      <c r="J245" s="2151"/>
      <c r="K245" s="2152"/>
      <c r="L245" s="2153"/>
      <c r="M245" s="2151"/>
      <c r="N245" s="2151"/>
      <c r="O245" s="2151"/>
      <c r="P245" s="2151"/>
      <c r="Q245" s="2151"/>
      <c r="R245" s="2151"/>
      <c r="S245" s="2151"/>
      <c r="T245" s="2151"/>
      <c r="U245" s="2151"/>
      <c r="V245" s="2151"/>
      <c r="W245" s="2151"/>
      <c r="X245" s="2151"/>
      <c r="Y245" s="2151"/>
      <c r="Z245" s="2151"/>
      <c r="AA245" s="2151"/>
      <c r="AB245" s="2151"/>
      <c r="AC245" s="2151"/>
    </row>
    <row r="246" spans="1:29" s="1564" customFormat="1">
      <c r="A246" s="2151"/>
      <c r="B246" s="2151"/>
      <c r="C246" s="2151"/>
      <c r="D246" s="2151"/>
      <c r="E246" s="2151"/>
      <c r="F246" s="2151"/>
      <c r="G246" s="2151"/>
      <c r="H246" s="2151"/>
      <c r="I246" s="2151"/>
      <c r="J246" s="2151"/>
      <c r="K246" s="2152"/>
      <c r="L246" s="2153"/>
      <c r="M246" s="2151"/>
      <c r="N246" s="2151"/>
      <c r="O246" s="2151"/>
      <c r="P246" s="2151"/>
      <c r="Q246" s="2151"/>
      <c r="R246" s="2151"/>
      <c r="S246" s="2151"/>
      <c r="T246" s="2151"/>
      <c r="U246" s="2151"/>
      <c r="V246" s="2151"/>
      <c r="W246" s="2151"/>
      <c r="X246" s="2151"/>
      <c r="Y246" s="2151"/>
      <c r="Z246" s="2151"/>
      <c r="AA246" s="2151"/>
      <c r="AB246" s="2151"/>
      <c r="AC246" s="2151"/>
    </row>
    <row r="247" spans="1:29" s="1564" customFormat="1">
      <c r="A247" s="2151"/>
      <c r="B247" s="2151"/>
      <c r="C247" s="2151"/>
      <c r="D247" s="2151"/>
      <c r="E247" s="2151"/>
      <c r="F247" s="2151"/>
      <c r="G247" s="2151"/>
      <c r="H247" s="2151"/>
      <c r="I247" s="2151"/>
      <c r="J247" s="2151"/>
      <c r="K247" s="2152"/>
      <c r="L247" s="2153"/>
      <c r="M247" s="2151"/>
      <c r="N247" s="2151"/>
      <c r="O247" s="2151"/>
      <c r="P247" s="2151"/>
      <c r="Q247" s="2151"/>
      <c r="R247" s="2151"/>
      <c r="S247" s="2151"/>
      <c r="T247" s="2151"/>
      <c r="U247" s="2151"/>
      <c r="V247" s="2151"/>
      <c r="W247" s="2151"/>
      <c r="X247" s="2151"/>
      <c r="Y247" s="2151"/>
      <c r="Z247" s="2151"/>
      <c r="AA247" s="2151"/>
      <c r="AB247" s="2151"/>
      <c r="AC247" s="2151"/>
    </row>
    <row r="248" spans="1:29" s="1564" customFormat="1">
      <c r="A248" s="2151"/>
      <c r="B248" s="2151"/>
      <c r="C248" s="2151"/>
      <c r="D248" s="2151"/>
      <c r="E248" s="2151"/>
      <c r="F248" s="2151"/>
      <c r="G248" s="2151"/>
      <c r="H248" s="2151"/>
      <c r="I248" s="2151"/>
      <c r="J248" s="2151"/>
      <c r="K248" s="2152"/>
      <c r="L248" s="2153"/>
      <c r="M248" s="2151"/>
      <c r="N248" s="2151"/>
      <c r="O248" s="2151"/>
      <c r="P248" s="2151"/>
      <c r="Q248" s="2151"/>
      <c r="R248" s="2151"/>
      <c r="S248" s="2151"/>
      <c r="T248" s="2151"/>
      <c r="U248" s="2151"/>
      <c r="V248" s="2151"/>
      <c r="W248" s="2151"/>
      <c r="X248" s="2151"/>
      <c r="Y248" s="2151"/>
      <c r="Z248" s="2151"/>
      <c r="AA248" s="2151"/>
      <c r="AB248" s="2151"/>
      <c r="AC248" s="2151"/>
    </row>
    <row r="249" spans="1:29" s="1564" customFormat="1">
      <c r="A249" s="2151"/>
      <c r="B249" s="2151"/>
      <c r="C249" s="2151"/>
      <c r="D249" s="2151"/>
      <c r="E249" s="2151"/>
      <c r="F249" s="2151"/>
      <c r="G249" s="2151"/>
      <c r="H249" s="2151"/>
      <c r="I249" s="2151"/>
      <c r="J249" s="2151"/>
      <c r="K249" s="2152"/>
      <c r="L249" s="2153"/>
      <c r="M249" s="2151"/>
      <c r="N249" s="2151"/>
      <c r="O249" s="2151"/>
      <c r="P249" s="2151"/>
      <c r="Q249" s="2151"/>
      <c r="R249" s="2151"/>
      <c r="S249" s="2151"/>
      <c r="T249" s="2151"/>
      <c r="U249" s="2151"/>
      <c r="V249" s="2151"/>
      <c r="W249" s="2151"/>
      <c r="X249" s="2151"/>
      <c r="Y249" s="2151"/>
      <c r="Z249" s="2151"/>
      <c r="AA249" s="2151"/>
      <c r="AB249" s="2151"/>
      <c r="AC249" s="2151"/>
    </row>
    <row r="250" spans="1:29" s="1564" customFormat="1">
      <c r="A250" s="2151"/>
      <c r="B250" s="2151"/>
      <c r="C250" s="2151"/>
      <c r="D250" s="2151"/>
      <c r="E250" s="2151"/>
      <c r="F250" s="2151"/>
      <c r="G250" s="2151"/>
      <c r="H250" s="2151"/>
      <c r="I250" s="2151"/>
      <c r="J250" s="2151"/>
      <c r="K250" s="2152"/>
      <c r="L250" s="2153"/>
      <c r="M250" s="2151"/>
      <c r="N250" s="2151"/>
      <c r="O250" s="2151"/>
      <c r="P250" s="2151"/>
      <c r="Q250" s="2151"/>
      <c r="R250" s="2151"/>
      <c r="S250" s="2151"/>
      <c r="T250" s="2151"/>
      <c r="U250" s="2151"/>
      <c r="V250" s="2151"/>
      <c r="W250" s="2151"/>
      <c r="X250" s="2151"/>
      <c r="Y250" s="2151"/>
      <c r="Z250" s="2151"/>
      <c r="AA250" s="2151"/>
      <c r="AB250" s="2151"/>
      <c r="AC250" s="2151"/>
    </row>
    <row r="251" spans="1:29" s="1564" customFormat="1">
      <c r="A251" s="2151"/>
      <c r="B251" s="2151"/>
      <c r="C251" s="2151"/>
      <c r="D251" s="2151"/>
      <c r="E251" s="2151"/>
      <c r="F251" s="2151"/>
      <c r="G251" s="2151"/>
      <c r="H251" s="2151"/>
      <c r="I251" s="2151"/>
      <c r="J251" s="2151"/>
      <c r="K251" s="2152"/>
      <c r="L251" s="2153"/>
      <c r="M251" s="2151"/>
      <c r="N251" s="2151"/>
      <c r="O251" s="2151"/>
      <c r="P251" s="2151"/>
      <c r="Q251" s="2151"/>
      <c r="R251" s="2151"/>
      <c r="S251" s="2151"/>
      <c r="T251" s="2151"/>
      <c r="U251" s="2151"/>
      <c r="V251" s="2151"/>
      <c r="W251" s="2151"/>
      <c r="X251" s="2151"/>
      <c r="Y251" s="2151"/>
      <c r="Z251" s="2151"/>
      <c r="AA251" s="2151"/>
      <c r="AB251" s="2151"/>
      <c r="AC251" s="2151"/>
    </row>
    <row r="252" spans="1:29" s="1564" customFormat="1">
      <c r="A252" s="2151"/>
      <c r="B252" s="2151"/>
      <c r="C252" s="2151"/>
      <c r="D252" s="2151"/>
      <c r="E252" s="2151"/>
      <c r="F252" s="2151"/>
      <c r="G252" s="2151"/>
      <c r="H252" s="2151"/>
      <c r="I252" s="2151"/>
      <c r="J252" s="2151"/>
      <c r="K252" s="2152"/>
      <c r="L252" s="2153"/>
      <c r="M252" s="2151"/>
      <c r="N252" s="2151"/>
      <c r="O252" s="2151"/>
      <c r="P252" s="2151"/>
      <c r="Q252" s="2151"/>
      <c r="R252" s="2151"/>
      <c r="S252" s="2151"/>
      <c r="T252" s="2151"/>
      <c r="U252" s="2151"/>
      <c r="V252" s="2151"/>
      <c r="W252" s="2151"/>
      <c r="X252" s="2151"/>
      <c r="Y252" s="2151"/>
      <c r="Z252" s="2151"/>
      <c r="AA252" s="2151"/>
      <c r="AB252" s="2151"/>
      <c r="AC252" s="2151"/>
    </row>
    <row r="253" spans="1:29" s="1564" customFormat="1">
      <c r="A253" s="2151"/>
      <c r="B253" s="2151"/>
      <c r="C253" s="2151"/>
      <c r="D253" s="2151"/>
      <c r="E253" s="2151"/>
      <c r="F253" s="2151"/>
      <c r="G253" s="2151"/>
      <c r="H253" s="2151"/>
      <c r="I253" s="2151"/>
      <c r="J253" s="2151"/>
      <c r="K253" s="2152"/>
      <c r="L253" s="2153"/>
      <c r="M253" s="2151"/>
      <c r="N253" s="2151"/>
      <c r="O253" s="2151"/>
      <c r="P253" s="2151"/>
      <c r="Q253" s="2151"/>
      <c r="R253" s="2151"/>
      <c r="S253" s="2151"/>
      <c r="T253" s="2151"/>
      <c r="U253" s="2151"/>
      <c r="V253" s="2151"/>
      <c r="W253" s="2151"/>
      <c r="X253" s="2151"/>
      <c r="Y253" s="2151"/>
      <c r="Z253" s="2151"/>
      <c r="AA253" s="2151"/>
      <c r="AB253" s="2151"/>
      <c r="AC253" s="2151"/>
    </row>
    <row r="254" spans="1:29" s="1564" customFormat="1">
      <c r="A254" s="2151"/>
      <c r="B254" s="2151"/>
      <c r="C254" s="2151"/>
      <c r="D254" s="2151"/>
      <c r="E254" s="2151"/>
      <c r="F254" s="2151"/>
      <c r="G254" s="2151"/>
      <c r="H254" s="2151"/>
      <c r="I254" s="2151"/>
      <c r="J254" s="2151"/>
      <c r="K254" s="2152"/>
      <c r="L254" s="2153"/>
      <c r="M254" s="2151"/>
      <c r="N254" s="2151"/>
      <c r="O254" s="2151"/>
      <c r="P254" s="2151"/>
      <c r="Q254" s="2151"/>
      <c r="R254" s="2151"/>
      <c r="S254" s="2151"/>
      <c r="T254" s="2151"/>
      <c r="U254" s="2151"/>
      <c r="V254" s="2151"/>
      <c r="W254" s="2151"/>
      <c r="X254" s="2151"/>
      <c r="Y254" s="2151"/>
      <c r="Z254" s="2151"/>
      <c r="AA254" s="2151"/>
      <c r="AB254" s="2151"/>
      <c r="AC254" s="2151"/>
    </row>
    <row r="255" spans="1:29" s="1564" customFormat="1">
      <c r="A255" s="2151"/>
      <c r="B255" s="2151"/>
      <c r="C255" s="2151"/>
      <c r="D255" s="2151"/>
      <c r="E255" s="2151"/>
      <c r="F255" s="2151"/>
      <c r="G255" s="2151"/>
      <c r="H255" s="2151"/>
      <c r="I255" s="2151"/>
      <c r="J255" s="2151"/>
      <c r="K255" s="2152"/>
      <c r="L255" s="2153"/>
      <c r="M255" s="2151"/>
      <c r="N255" s="2151"/>
      <c r="O255" s="2151"/>
      <c r="P255" s="2151"/>
      <c r="Q255" s="2151"/>
      <c r="R255" s="2151"/>
      <c r="S255" s="2151"/>
      <c r="T255" s="2151"/>
      <c r="U255" s="2151"/>
      <c r="V255" s="2151"/>
      <c r="W255" s="2151"/>
      <c r="X255" s="2151"/>
      <c r="Y255" s="2151"/>
      <c r="Z255" s="2151"/>
      <c r="AA255" s="2151"/>
      <c r="AB255" s="2151"/>
      <c r="AC255" s="2151"/>
    </row>
    <row r="256" spans="1:29" s="1564" customFormat="1">
      <c r="K256" s="1565"/>
      <c r="L256" s="1566"/>
    </row>
    <row r="257" spans="11:12" s="1564" customFormat="1">
      <c r="K257" s="1565"/>
      <c r="L257" s="1566"/>
    </row>
    <row r="258" spans="11:12" s="1564" customFormat="1">
      <c r="K258" s="1565"/>
      <c r="L258" s="1566"/>
    </row>
    <row r="259" spans="11:12" s="1564" customFormat="1">
      <c r="K259" s="1565"/>
      <c r="L259" s="156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9"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3" customWidth="1"/>
    <col min="2" max="2" width="15.625" style="1323" customWidth="1"/>
    <col min="3" max="3" width="14.375" style="1323" customWidth="1"/>
    <col min="4" max="4" width="12.125" style="1323" customWidth="1"/>
    <col min="5" max="5" width="14.375" style="1323" customWidth="1"/>
    <col min="6" max="6" width="12.125" style="1323" customWidth="1"/>
    <col min="7" max="7" width="14.5" style="1323" customWidth="1"/>
    <col min="8" max="8" width="12.125" style="1323" customWidth="1"/>
    <col min="9" max="9" width="14.5" style="1323" customWidth="1"/>
    <col min="10" max="10" width="12.125" style="1323" customWidth="1"/>
    <col min="11" max="11" width="12.125" style="1329" customWidth="1"/>
    <col min="12" max="12" width="12.125" style="1330" customWidth="1"/>
    <col min="13" max="15" width="12.125" style="1323" customWidth="1"/>
    <col min="16" max="16" width="4.625" style="1323" customWidth="1"/>
    <col min="17" max="17" width="19.5" style="1323" customWidth="1"/>
    <col min="18" max="22" width="6.125" style="1323" customWidth="1"/>
    <col min="23" max="23" width="5.625" style="1323" customWidth="1"/>
    <col min="24" max="24" width="4.125" style="1323" customWidth="1"/>
    <col min="25" max="25" width="3.5" style="1323" customWidth="1"/>
    <col min="26" max="26" width="19.625" style="1323" customWidth="1"/>
    <col min="27" max="28" width="9.375" style="1323" customWidth="1"/>
    <col min="29" max="16384" width="9" style="1323"/>
  </cols>
  <sheetData>
    <row r="1" spans="1:29" s="1322" customFormat="1" ht="28.5" customHeight="1">
      <c r="A1" s="502" t="s">
        <v>515</v>
      </c>
      <c r="B1" s="503"/>
      <c r="C1" s="504" t="s">
        <v>596</v>
      </c>
      <c r="D1" s="505" t="s">
        <v>517</v>
      </c>
      <c r="E1" s="737"/>
      <c r="F1" s="738"/>
      <c r="G1" s="737"/>
      <c r="H1" s="737"/>
      <c r="I1" s="737"/>
      <c r="J1" s="737"/>
      <c r="K1" s="739"/>
      <c r="L1" s="1539"/>
      <c r="M1" s="1540"/>
      <c r="N1" s="1540"/>
      <c r="O1" s="1540"/>
      <c r="P1" s="1541"/>
      <c r="Q1" s="1541"/>
      <c r="R1" s="1541"/>
      <c r="S1" s="1541"/>
      <c r="T1" s="1541"/>
      <c r="U1" s="1541"/>
      <c r="V1" s="1541"/>
      <c r="W1" s="1541"/>
      <c r="X1" s="1541"/>
      <c r="Y1" s="1541"/>
      <c r="Z1" s="1541"/>
      <c r="AA1" s="1541"/>
      <c r="AB1" s="1541"/>
      <c r="AC1" s="1542"/>
    </row>
    <row r="2" spans="1:29" s="1322" customFormat="1" ht="28.5" customHeight="1">
      <c r="A2" s="423" t="s">
        <v>466</v>
      </c>
      <c r="B2" s="508" t="e">
        <f>F63</f>
        <v>#DIV/0!</v>
      </c>
      <c r="C2" s="2104"/>
      <c r="D2" s="2104"/>
      <c r="E2" s="2104"/>
      <c r="F2" s="2105"/>
      <c r="G2" s="2104"/>
      <c r="H2" s="2104"/>
      <c r="I2" s="2104"/>
      <c r="J2" s="2104"/>
      <c r="K2" s="2106"/>
      <c r="L2" s="2107"/>
      <c r="M2" s="2108"/>
      <c r="N2" s="2108"/>
      <c r="O2" s="2108"/>
      <c r="P2" s="1541"/>
      <c r="Q2" s="1541"/>
      <c r="R2" s="1541"/>
      <c r="S2" s="1541"/>
      <c r="T2" s="1541"/>
      <c r="U2" s="1541"/>
      <c r="V2" s="1541"/>
      <c r="W2" s="1541"/>
      <c r="X2" s="1541"/>
      <c r="Y2" s="1541"/>
      <c r="Z2" s="1541"/>
      <c r="AA2" s="1541"/>
      <c r="AB2" s="1541"/>
      <c r="AC2" s="1542"/>
    </row>
    <row r="3" spans="1:29" s="1322" customFormat="1" ht="28.5" customHeight="1">
      <c r="A3" s="1367" t="s">
        <v>1663</v>
      </c>
      <c r="B3" s="510" t="e">
        <f>ROUND(B2*10000/'数据-汇总表'!E3,0)</f>
        <v>#DIV/0!</v>
      </c>
      <c r="C3" s="2037"/>
      <c r="D3" s="2037"/>
      <c r="E3" s="2037"/>
      <c r="F3" s="2037"/>
      <c r="G3" s="2104"/>
      <c r="H3" s="2104"/>
      <c r="I3" s="2104"/>
      <c r="J3" s="2104"/>
      <c r="K3" s="2106"/>
      <c r="L3" s="2107"/>
      <c r="M3" s="2108"/>
      <c r="N3" s="2108"/>
      <c r="O3" s="2108"/>
      <c r="P3" s="1541"/>
      <c r="Q3" s="1541"/>
      <c r="R3" s="1541"/>
      <c r="S3" s="1541"/>
      <c r="T3" s="1541"/>
      <c r="U3" s="1541"/>
      <c r="V3" s="1541"/>
      <c r="W3" s="1541"/>
      <c r="X3" s="1541"/>
      <c r="Y3" s="1541"/>
      <c r="Z3" s="1541"/>
      <c r="AA3" s="1541"/>
      <c r="AB3" s="428"/>
      <c r="AC3" s="428"/>
    </row>
    <row r="4" spans="1:29" s="1322" customFormat="1" ht="28.5" customHeight="1">
      <c r="A4" s="511" t="s">
        <v>519</v>
      </c>
      <c r="B4" s="427" t="e">
        <f>IF(B43="单位面积地价",C45,ROUND(B2*10000/'数据-汇总表'!D3,0))</f>
        <v>#DIV/0!</v>
      </c>
      <c r="C4" s="2037"/>
      <c r="D4" s="2037"/>
      <c r="E4" s="2037"/>
      <c r="F4" s="2037"/>
      <c r="G4" s="2104"/>
      <c r="H4" s="2104"/>
      <c r="I4" s="2104"/>
      <c r="J4" s="2104"/>
      <c r="K4" s="2106"/>
      <c r="L4" s="2107"/>
      <c r="M4" s="2108"/>
      <c r="N4" s="2108"/>
      <c r="O4" s="2108"/>
      <c r="P4" s="1541"/>
      <c r="Q4" s="1541"/>
      <c r="R4" s="1541"/>
      <c r="S4" s="1541"/>
      <c r="T4" s="1541"/>
      <c r="U4" s="1541"/>
      <c r="V4" s="1541"/>
      <c r="W4" s="1541"/>
      <c r="X4" s="1541"/>
      <c r="Y4" s="1541"/>
      <c r="Z4" s="1541"/>
      <c r="AA4" s="1541"/>
      <c r="AB4" s="1541"/>
      <c r="AC4" s="428"/>
    </row>
    <row r="5" spans="1:29" s="1322" customFormat="1" ht="28.5" customHeight="1" thickBot="1">
      <c r="A5" s="429"/>
      <c r="B5" s="430" t="e">
        <f>ROUND(B2/('数据-汇总表'!D3/666.67),0)</f>
        <v>#DIV/0!</v>
      </c>
      <c r="C5" s="431" t="s">
        <v>468</v>
      </c>
      <c r="D5" s="2037"/>
      <c r="E5" s="2037"/>
      <c r="F5" s="2037"/>
      <c r="G5" s="2104"/>
      <c r="H5" s="2104"/>
      <c r="I5" s="2104"/>
      <c r="J5" s="2104"/>
      <c r="K5" s="2106"/>
      <c r="L5" s="2107"/>
      <c r="M5" s="2108"/>
      <c r="N5" s="2108"/>
      <c r="O5" s="2108"/>
      <c r="P5" s="1541"/>
      <c r="Q5" s="1541"/>
      <c r="R5" s="1541"/>
      <c r="S5" s="1541"/>
      <c r="T5" s="1541"/>
      <c r="U5" s="1541"/>
      <c r="V5" s="1541"/>
      <c r="W5" s="1541"/>
      <c r="X5" s="1541"/>
      <c r="Y5" s="1541"/>
      <c r="Z5" s="1541"/>
      <c r="AA5" s="1541"/>
      <c r="AB5" s="1543"/>
      <c r="AC5" s="428"/>
    </row>
    <row r="6" spans="1:29" ht="15">
      <c r="A6" s="512" t="s">
        <v>520</v>
      </c>
      <c r="B6" s="513"/>
      <c r="C6" s="3795" t="s">
        <v>521</v>
      </c>
      <c r="D6" s="3796"/>
      <c r="E6" s="3819" t="s">
        <v>522</v>
      </c>
      <c r="F6" s="3820"/>
      <c r="G6" s="3795" t="s">
        <v>523</v>
      </c>
      <c r="H6" s="3796"/>
      <c r="I6" s="3795" t="s">
        <v>524</v>
      </c>
      <c r="J6" s="3796"/>
      <c r="K6" s="514" t="s">
        <v>525</v>
      </c>
      <c r="L6" s="2109"/>
      <c r="M6" s="2110"/>
      <c r="N6" s="2110"/>
      <c r="O6" s="2110"/>
      <c r="P6" s="3797" t="s">
        <v>526</v>
      </c>
      <c r="Q6" s="3798"/>
      <c r="R6" s="3783" t="s">
        <v>522</v>
      </c>
      <c r="S6" s="3784"/>
      <c r="T6" s="3783" t="s">
        <v>523</v>
      </c>
      <c r="U6" s="3784"/>
      <c r="V6" s="3803" t="s">
        <v>524</v>
      </c>
      <c r="W6" s="3803"/>
      <c r="X6" s="1544"/>
      <c r="Y6" s="3783" t="s">
        <v>526</v>
      </c>
      <c r="Z6" s="3784"/>
      <c r="AA6" s="3778" t="s">
        <v>522</v>
      </c>
      <c r="AB6" s="3779" t="s">
        <v>523</v>
      </c>
      <c r="AC6" s="3778" t="s">
        <v>524</v>
      </c>
    </row>
    <row r="7" spans="1:29" ht="15">
      <c r="A7" s="515"/>
      <c r="B7" s="516"/>
      <c r="C7" s="3806" t="s">
        <v>2905</v>
      </c>
      <c r="D7" s="3807"/>
      <c r="E7" s="3821" t="s">
        <v>2906</v>
      </c>
      <c r="F7" s="3822"/>
      <c r="G7" s="3806" t="s">
        <v>2907</v>
      </c>
      <c r="H7" s="3807"/>
      <c r="I7" s="3806" t="s">
        <v>2908</v>
      </c>
      <c r="J7" s="3807"/>
      <c r="K7" s="514"/>
      <c r="L7" s="2109"/>
      <c r="M7" s="2110"/>
      <c r="N7" s="2110"/>
      <c r="O7" s="2110"/>
      <c r="P7" s="3799"/>
      <c r="Q7" s="3800"/>
      <c r="R7" s="3785"/>
      <c r="S7" s="3786"/>
      <c r="T7" s="3785"/>
      <c r="U7" s="3786"/>
      <c r="V7" s="3803"/>
      <c r="W7" s="3803"/>
      <c r="X7" s="1544"/>
      <c r="Y7" s="3785"/>
      <c r="Z7" s="3786"/>
      <c r="AA7" s="3779"/>
      <c r="AB7" s="3779"/>
      <c r="AC7" s="3779"/>
    </row>
    <row r="8" spans="1:29" ht="15.75" thickBot="1">
      <c r="A8" s="517"/>
      <c r="B8" s="518"/>
      <c r="C8" s="3804" t="s">
        <v>2909</v>
      </c>
      <c r="D8" s="3805"/>
      <c r="E8" s="3823" t="s">
        <v>2909</v>
      </c>
      <c r="F8" s="3824"/>
      <c r="G8" s="3804" t="s">
        <v>2909</v>
      </c>
      <c r="H8" s="3805"/>
      <c r="I8" s="3804" t="s">
        <v>2909</v>
      </c>
      <c r="J8" s="3805"/>
      <c r="K8" s="514" t="s">
        <v>527</v>
      </c>
      <c r="L8" s="2109"/>
      <c r="M8" s="2110"/>
      <c r="N8" s="2110"/>
      <c r="O8" s="2110"/>
      <c r="P8" s="3801"/>
      <c r="Q8" s="3802"/>
      <c r="R8" s="3785"/>
      <c r="S8" s="3786"/>
      <c r="T8" s="3787"/>
      <c r="U8" s="3788"/>
      <c r="V8" s="3803"/>
      <c r="W8" s="3803"/>
      <c r="X8" s="1544"/>
      <c r="Y8" s="3787"/>
      <c r="Z8" s="3788"/>
      <c r="AA8" s="3780"/>
      <c r="AB8" s="3780"/>
      <c r="AC8" s="3780"/>
    </row>
    <row r="9" spans="1:29" s="1206" customFormat="1" ht="15.75" thickBot="1">
      <c r="A9" s="2842"/>
      <c r="B9" s="2849" t="s">
        <v>528</v>
      </c>
      <c r="C9" s="519">
        <f>'数据-取费表'!B2</f>
        <v>43933</v>
      </c>
      <c r="D9" s="520">
        <v>100</v>
      </c>
      <c r="E9" s="521"/>
      <c r="F9" s="522">
        <f>SUMIF(67:67,YEAR(E9)&amp;"-"&amp;INT((MONTH(E9)+2)/3),68:68)</f>
        <v>0</v>
      </c>
      <c r="G9" s="523"/>
      <c r="H9" s="520">
        <f>SUMIF(67:67,YEAR(G9)&amp;"-"&amp;INT((MONTH(G9)+2)/3),68:68)</f>
        <v>0</v>
      </c>
      <c r="I9" s="523"/>
      <c r="J9" s="520">
        <f>SUMIF(67:67,YEAR(I9)&amp;"-"&amp;INT((MONTH(I9)+2)/3),68:68)</f>
        <v>0</v>
      </c>
      <c r="K9" s="524"/>
      <c r="L9" s="2111"/>
      <c r="M9" s="2112"/>
      <c r="N9" s="2112"/>
      <c r="O9" s="2112"/>
      <c r="P9" s="3781" t="s">
        <v>529</v>
      </c>
      <c r="Q9" s="3790"/>
      <c r="R9" s="1545" t="s">
        <v>8</v>
      </c>
      <c r="S9" s="1546">
        <f t="shared" ref="S9:S17" si="0">F9</f>
        <v>0</v>
      </c>
      <c r="T9" s="1545" t="s">
        <v>8</v>
      </c>
      <c r="U9" s="1546">
        <f t="shared" ref="U9:U17" si="1">H9</f>
        <v>0</v>
      </c>
      <c r="V9" s="1545" t="s">
        <v>8</v>
      </c>
      <c r="W9" s="1546">
        <f t="shared" ref="W9:W17" si="2">J9</f>
        <v>0</v>
      </c>
      <c r="X9" s="1547"/>
      <c r="Y9" s="3781" t="s">
        <v>529</v>
      </c>
      <c r="Z9" s="3782"/>
      <c r="AA9" s="1548" t="e">
        <f>D9/F9</f>
        <v>#DIV/0!</v>
      </c>
      <c r="AB9" s="1548" t="e">
        <f>D9/H9</f>
        <v>#DIV/0!</v>
      </c>
      <c r="AC9" s="1548" t="e">
        <f>D9/J9</f>
        <v>#DIV/0!</v>
      </c>
    </row>
    <row r="10" spans="1:29" s="1206" customFormat="1" ht="15.75" thickBot="1">
      <c r="A10" s="2843"/>
      <c r="B10" s="285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1"/>
      <c r="M10" s="2112"/>
      <c r="N10" s="2112"/>
      <c r="O10" s="2112"/>
      <c r="P10" s="3781" t="s">
        <v>532</v>
      </c>
      <c r="Q10" s="3782"/>
      <c r="R10" s="1545" t="s">
        <v>8</v>
      </c>
      <c r="S10" s="1546">
        <f t="shared" si="0"/>
        <v>0</v>
      </c>
      <c r="T10" s="1545" t="s">
        <v>8</v>
      </c>
      <c r="U10" s="1546">
        <f t="shared" si="1"/>
        <v>0</v>
      </c>
      <c r="V10" s="1545" t="s">
        <v>8</v>
      </c>
      <c r="W10" s="1546">
        <f t="shared" si="2"/>
        <v>0</v>
      </c>
      <c r="X10" s="1547"/>
      <c r="Y10" s="3781" t="s">
        <v>532</v>
      </c>
      <c r="Z10" s="3782"/>
      <c r="AA10" s="1548" t="e">
        <f t="shared" ref="AA10:AA42" si="3">D10/F10</f>
        <v>#DIV/0!</v>
      </c>
      <c r="AB10" s="1548" t="e">
        <f t="shared" ref="AB10:AB42" si="4">D10/H10</f>
        <v>#DIV/0!</v>
      </c>
      <c r="AC10" s="1548" t="e">
        <f t="shared" ref="AC10:AC42" si="5">D10/J10</f>
        <v>#DIV/0!</v>
      </c>
    </row>
    <row r="11" spans="1:29" s="1206" customFormat="1" ht="15">
      <c r="A11" s="2844"/>
      <c r="B11" s="2851" t="s">
        <v>2730</v>
      </c>
      <c r="C11" s="526"/>
      <c r="D11" s="254">
        <v>100</v>
      </c>
      <c r="E11" s="526"/>
      <c r="F11" s="254">
        <f>SUMIF(72:72,E11,73:73)-SUMIF(72:72,C11,73:73)+100</f>
        <v>100</v>
      </c>
      <c r="G11" s="526"/>
      <c r="H11" s="254">
        <f>SUMIF(72:72,G11,73:73)-SUMIF(72:72,C11,73:73)+100</f>
        <v>100</v>
      </c>
      <c r="I11" s="526"/>
      <c r="J11" s="254">
        <f>SUMIF(72:72,I11,73:73)-SUMIF(72:72,C11,73:73)+100</f>
        <v>100</v>
      </c>
      <c r="K11" s="524"/>
      <c r="L11" s="2111"/>
      <c r="M11" s="2112"/>
      <c r="N11" s="2112"/>
      <c r="O11" s="2113"/>
      <c r="P11" s="3789" t="s">
        <v>534</v>
      </c>
      <c r="Q11" s="1138" t="str">
        <f t="shared" ref="Q11:Q17" si="6">B11</f>
        <v>用途</v>
      </c>
      <c r="R11" s="1545" t="s">
        <v>8</v>
      </c>
      <c r="S11" s="1546">
        <f t="shared" si="0"/>
        <v>100</v>
      </c>
      <c r="T11" s="1545" t="s">
        <v>8</v>
      </c>
      <c r="U11" s="1546">
        <f t="shared" si="1"/>
        <v>100</v>
      </c>
      <c r="V11" s="1545" t="s">
        <v>8</v>
      </c>
      <c r="W11" s="1546">
        <f t="shared" si="2"/>
        <v>100</v>
      </c>
      <c r="X11" s="1547"/>
      <c r="Y11" s="3746" t="s">
        <v>535</v>
      </c>
      <c r="Z11" s="1137" t="str">
        <f t="shared" ref="Z11:Z17" si="7">Q11</f>
        <v>用途</v>
      </c>
      <c r="AA11" s="1548">
        <f t="shared" si="3"/>
        <v>1</v>
      </c>
      <c r="AB11" s="1548">
        <f t="shared" si="4"/>
        <v>1</v>
      </c>
      <c r="AC11" s="1548">
        <f t="shared" si="5"/>
        <v>1</v>
      </c>
    </row>
    <row r="12" spans="1:29" s="1324" customFormat="1" ht="27">
      <c r="A12" s="2845"/>
      <c r="B12" s="2850" t="s">
        <v>2731</v>
      </c>
      <c r="C12" s="528"/>
      <c r="D12" s="255">
        <v>100</v>
      </c>
      <c r="E12" s="528"/>
      <c r="F12" s="255">
        <f>ROUND(100/'数据-取费表'!G16,0)</f>
        <v>100</v>
      </c>
      <c r="G12" s="528"/>
      <c r="H12" s="255">
        <f>ROUND(100/'数据-取费表'!G16,0)</f>
        <v>100</v>
      </c>
      <c r="I12" s="528"/>
      <c r="J12" s="255">
        <f>ROUND(100/'数据-取费表'!G16,0)</f>
        <v>100</v>
      </c>
      <c r="K12" s="531"/>
      <c r="L12" s="2114"/>
      <c r="M12" s="2154"/>
      <c r="N12" s="2154"/>
      <c r="O12" s="2115"/>
      <c r="P12" s="3789"/>
      <c r="Q12" s="1138" t="str">
        <f t="shared" si="6"/>
        <v>土地使用年限（年）</v>
      </c>
      <c r="R12" s="1545" t="s">
        <v>8</v>
      </c>
      <c r="S12" s="1546">
        <f t="shared" si="0"/>
        <v>100</v>
      </c>
      <c r="T12" s="1545" t="s">
        <v>8</v>
      </c>
      <c r="U12" s="1546">
        <f t="shared" si="1"/>
        <v>100</v>
      </c>
      <c r="V12" s="1545" t="s">
        <v>8</v>
      </c>
      <c r="W12" s="1546">
        <f t="shared" si="2"/>
        <v>100</v>
      </c>
      <c r="X12" s="1547"/>
      <c r="Y12" s="3746"/>
      <c r="Z12" s="1137" t="str">
        <f t="shared" si="7"/>
        <v>土地使用年限（年）</v>
      </c>
      <c r="AA12" s="1548">
        <f t="shared" si="3"/>
        <v>1</v>
      </c>
      <c r="AB12" s="1548">
        <f t="shared" si="4"/>
        <v>1</v>
      </c>
      <c r="AC12" s="1548">
        <f t="shared" si="5"/>
        <v>1</v>
      </c>
    </row>
    <row r="13" spans="1:29" ht="15">
      <c r="A13" s="2846"/>
      <c r="B13" s="2850" t="s">
        <v>2732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16"/>
      <c r="M13" s="2110"/>
      <c r="N13" s="2110"/>
      <c r="O13" s="2117"/>
      <c r="P13" s="3789"/>
      <c r="Q13" s="1138" t="str">
        <f t="shared" si="6"/>
        <v>容积率</v>
      </c>
      <c r="R13" s="1545" t="s">
        <v>8</v>
      </c>
      <c r="S13" s="1546" t="e">
        <f t="shared" si="0"/>
        <v>#N/A</v>
      </c>
      <c r="T13" s="1545" t="s">
        <v>8</v>
      </c>
      <c r="U13" s="1546" t="e">
        <f t="shared" si="1"/>
        <v>#N/A</v>
      </c>
      <c r="V13" s="1545" t="s">
        <v>8</v>
      </c>
      <c r="W13" s="1546" t="e">
        <f t="shared" si="2"/>
        <v>#N/A</v>
      </c>
      <c r="X13" s="1547"/>
      <c r="Y13" s="3746"/>
      <c r="Z13" s="1137" t="str">
        <f t="shared" si="7"/>
        <v>容积率</v>
      </c>
      <c r="AA13" s="1548" t="e">
        <f t="shared" si="3"/>
        <v>#N/A</v>
      </c>
      <c r="AB13" s="1548" t="e">
        <f t="shared" si="4"/>
        <v>#N/A</v>
      </c>
      <c r="AC13" s="1548" t="e">
        <f t="shared" si="5"/>
        <v>#N/A</v>
      </c>
    </row>
    <row r="14" spans="1:29" s="1206" customFormat="1" ht="15">
      <c r="A14" s="2847"/>
      <c r="B14" s="2853">
        <v>111</v>
      </c>
      <c r="C14" s="528"/>
      <c r="D14" s="538">
        <v>100</v>
      </c>
      <c r="E14" s="541"/>
      <c r="F14" s="255">
        <f>SUMIF(79:79,E14,80:80)-SUMIF(79:79,C14,80:80)+100</f>
        <v>100</v>
      </c>
      <c r="G14" s="542"/>
      <c r="H14" s="255">
        <f>SUMIF(79:79,G14,80:80)-SUMIF(79:79,C14,80:80)+100</f>
        <v>100</v>
      </c>
      <c r="I14" s="541"/>
      <c r="J14" s="255">
        <f>SUMIF(79:79,I14,80:80)-SUMIF(79:79,C14,80:80)+100</f>
        <v>100</v>
      </c>
      <c r="K14" s="531"/>
      <c r="L14" s="2111"/>
      <c r="M14" s="2112"/>
      <c r="N14" s="2112"/>
      <c r="O14" s="2113"/>
      <c r="P14" s="3789"/>
      <c r="Q14" s="1138">
        <f t="shared" si="6"/>
        <v>111</v>
      </c>
      <c r="R14" s="1545" t="s">
        <v>8</v>
      </c>
      <c r="S14" s="1546">
        <f t="shared" si="0"/>
        <v>100</v>
      </c>
      <c r="T14" s="1545" t="s">
        <v>8</v>
      </c>
      <c r="U14" s="1546">
        <f t="shared" si="1"/>
        <v>100</v>
      </c>
      <c r="V14" s="1545" t="s">
        <v>8</v>
      </c>
      <c r="W14" s="1546">
        <f t="shared" si="2"/>
        <v>100</v>
      </c>
      <c r="X14" s="1547"/>
      <c r="Y14" s="3746"/>
      <c r="Z14" s="1137">
        <f t="shared" si="7"/>
        <v>111</v>
      </c>
      <c r="AA14" s="1548">
        <f>D14/F14</f>
        <v>1</v>
      </c>
      <c r="AB14" s="1548">
        <f>D14/H14</f>
        <v>1</v>
      </c>
      <c r="AC14" s="1548">
        <f>D14/J14</f>
        <v>1</v>
      </c>
    </row>
    <row r="15" spans="1:29" ht="15">
      <c r="A15" s="2847"/>
      <c r="B15" s="2853">
        <v>111</v>
      </c>
      <c r="C15" s="539"/>
      <c r="D15" s="540">
        <v>100</v>
      </c>
      <c r="E15" s="541"/>
      <c r="F15" s="255">
        <f>SUMIF(81:81,E15,82:82)-SUMIF(81:81,C15,82:82)+100</f>
        <v>100</v>
      </c>
      <c r="G15" s="542"/>
      <c r="H15" s="540">
        <f>SUMIF(81:81,G15,82:82)-SUMIF(81:81,C15,82:82)+100</f>
        <v>100</v>
      </c>
      <c r="I15" s="541"/>
      <c r="J15" s="540">
        <f>SUMIF(81:81,I15,82:82)-SUMIF(81:81,C15,82:82)+100</f>
        <v>100</v>
      </c>
      <c r="K15" s="531"/>
      <c r="L15" s="2118"/>
      <c r="M15" s="2110"/>
      <c r="N15" s="2110"/>
      <c r="O15" s="2117"/>
      <c r="P15" s="3789"/>
      <c r="Q15" s="1138">
        <f t="shared" si="6"/>
        <v>111</v>
      </c>
      <c r="R15" s="1545" t="s">
        <v>8</v>
      </c>
      <c r="S15" s="1546">
        <f t="shared" si="0"/>
        <v>100</v>
      </c>
      <c r="T15" s="1545" t="s">
        <v>8</v>
      </c>
      <c r="U15" s="1546">
        <f t="shared" si="1"/>
        <v>100</v>
      </c>
      <c r="V15" s="1545" t="s">
        <v>8</v>
      </c>
      <c r="W15" s="1546">
        <f t="shared" si="2"/>
        <v>100</v>
      </c>
      <c r="X15" s="1547"/>
      <c r="Y15" s="3746"/>
      <c r="Z15" s="1137">
        <f t="shared" si="7"/>
        <v>111</v>
      </c>
      <c r="AA15" s="1548">
        <f t="shared" si="3"/>
        <v>1</v>
      </c>
      <c r="AB15" s="1548">
        <f t="shared" si="4"/>
        <v>1</v>
      </c>
      <c r="AC15" s="1548">
        <f t="shared" si="5"/>
        <v>1</v>
      </c>
    </row>
    <row r="16" spans="1:29" ht="15.75" thickBot="1">
      <c r="A16" s="2848"/>
      <c r="B16" s="2854">
        <v>111</v>
      </c>
      <c r="C16" s="545"/>
      <c r="D16" s="546">
        <v>100</v>
      </c>
      <c r="E16" s="541"/>
      <c r="F16" s="546">
        <f>SUMIF(83:83,E16,84:84)-SUMIF(83:83,C16,84:84)+100</f>
        <v>100</v>
      </c>
      <c r="G16" s="542"/>
      <c r="H16" s="546">
        <f>SUMIF(83:83,G16,84:84)-SUMIF(83:83,C16,84:84)+100</f>
        <v>100</v>
      </c>
      <c r="I16" s="541"/>
      <c r="J16" s="546">
        <f>SUMIF(83:83,I16,84:84)-SUMIF(83:83,C16,84:84)+100</f>
        <v>100</v>
      </c>
      <c r="K16" s="531"/>
      <c r="L16" s="2118"/>
      <c r="M16" s="2110"/>
      <c r="N16" s="2110"/>
      <c r="O16" s="2117"/>
      <c r="P16" s="3789"/>
      <c r="Q16" s="1138">
        <f t="shared" si="6"/>
        <v>111</v>
      </c>
      <c r="R16" s="1545" t="s">
        <v>8</v>
      </c>
      <c r="S16" s="1546">
        <f t="shared" si="0"/>
        <v>100</v>
      </c>
      <c r="T16" s="1545" t="s">
        <v>8</v>
      </c>
      <c r="U16" s="1546">
        <f t="shared" si="1"/>
        <v>100</v>
      </c>
      <c r="V16" s="1545" t="s">
        <v>8</v>
      </c>
      <c r="W16" s="1546">
        <f t="shared" si="2"/>
        <v>100</v>
      </c>
      <c r="X16" s="1547"/>
      <c r="Y16" s="3746"/>
      <c r="Z16" s="1137">
        <f t="shared" si="7"/>
        <v>111</v>
      </c>
      <c r="AA16" s="1548">
        <f t="shared" si="3"/>
        <v>1</v>
      </c>
      <c r="AB16" s="1548">
        <f t="shared" si="4"/>
        <v>1</v>
      </c>
      <c r="AC16" s="1548">
        <f t="shared" si="5"/>
        <v>1</v>
      </c>
    </row>
    <row r="17" spans="1:29" ht="57">
      <c r="A17" s="2840" t="s">
        <v>2728</v>
      </c>
      <c r="B17" s="166" t="s">
        <v>597</v>
      </c>
      <c r="C17" s="912"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18"/>
      <c r="M17" s="2110"/>
      <c r="N17" s="2110"/>
      <c r="O17" s="2117"/>
      <c r="P17" s="3791" t="s">
        <v>539</v>
      </c>
      <c r="Q17" s="1549" t="str">
        <f t="shared" si="6"/>
        <v>产业集聚程度</v>
      </c>
      <c r="R17" s="1550" t="s">
        <v>8</v>
      </c>
      <c r="S17" s="1551">
        <f t="shared" si="0"/>
        <v>100</v>
      </c>
      <c r="T17" s="1550" t="s">
        <v>8</v>
      </c>
      <c r="U17" s="1551">
        <f t="shared" si="1"/>
        <v>100</v>
      </c>
      <c r="V17" s="1550" t="s">
        <v>8</v>
      </c>
      <c r="W17" s="1551">
        <f t="shared" si="2"/>
        <v>100</v>
      </c>
      <c r="X17" s="1544"/>
      <c r="Y17" s="3791" t="s">
        <v>539</v>
      </c>
      <c r="Z17" s="1552" t="str">
        <f t="shared" si="7"/>
        <v>产业集聚程度</v>
      </c>
      <c r="AA17" s="1553">
        <f t="shared" si="3"/>
        <v>1</v>
      </c>
      <c r="AB17" s="1553">
        <f t="shared" si="4"/>
        <v>1</v>
      </c>
      <c r="AC17" s="1553">
        <f t="shared" si="5"/>
        <v>1</v>
      </c>
    </row>
    <row r="18" spans="1:29" ht="15">
      <c r="A18" s="532"/>
      <c r="B18" s="869"/>
      <c r="C18" s="576"/>
      <c r="D18" s="555"/>
      <c r="E18" s="554"/>
      <c r="F18" s="555"/>
      <c r="G18" s="554"/>
      <c r="H18" s="559"/>
      <c r="I18" s="554"/>
      <c r="J18" s="555"/>
      <c r="K18" s="531"/>
      <c r="L18" s="2118"/>
      <c r="M18" s="2110"/>
      <c r="N18" s="2110"/>
      <c r="O18" s="2117"/>
      <c r="P18" s="3792"/>
      <c r="Q18" s="1549"/>
      <c r="R18" s="1550"/>
      <c r="S18" s="1551"/>
      <c r="T18" s="1550"/>
      <c r="U18" s="1551"/>
      <c r="V18" s="1550"/>
      <c r="W18" s="1551"/>
      <c r="X18" s="1544"/>
      <c r="Y18" s="3792"/>
      <c r="Z18" s="1552"/>
      <c r="AA18" s="1553">
        <v>1</v>
      </c>
      <c r="AB18" s="1553">
        <v>1</v>
      </c>
      <c r="AC18" s="1553">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18"/>
      <c r="M19" s="2110"/>
      <c r="N19" s="2110"/>
      <c r="O19" s="2117"/>
      <c r="P19" s="3792"/>
      <c r="Q19" s="1549" t="str">
        <f>B19</f>
        <v>交通便捷度</v>
      </c>
      <c r="R19" s="1550" t="s">
        <v>8</v>
      </c>
      <c r="S19" s="1551">
        <f>F19</f>
        <v>100</v>
      </c>
      <c r="T19" s="1550" t="s">
        <v>8</v>
      </c>
      <c r="U19" s="1551">
        <f>H19</f>
        <v>100</v>
      </c>
      <c r="V19" s="1550" t="s">
        <v>8</v>
      </c>
      <c r="W19" s="1551">
        <f>J19</f>
        <v>100</v>
      </c>
      <c r="X19" s="1544"/>
      <c r="Y19" s="3792"/>
      <c r="Z19" s="1552" t="str">
        <f>Q19</f>
        <v>交通便捷度</v>
      </c>
      <c r="AA19" s="1553">
        <f t="shared" si="3"/>
        <v>1</v>
      </c>
      <c r="AB19" s="1553">
        <f t="shared" si="4"/>
        <v>1</v>
      </c>
      <c r="AC19" s="1553">
        <f t="shared" si="5"/>
        <v>1</v>
      </c>
    </row>
    <row r="20" spans="1:29" ht="15">
      <c r="A20" s="532"/>
      <c r="B20" s="913"/>
      <c r="C20" s="576"/>
      <c r="D20" s="555"/>
      <c r="E20" s="556"/>
      <c r="F20" s="555"/>
      <c r="G20" s="556"/>
      <c r="H20" s="555"/>
      <c r="I20" s="558"/>
      <c r="J20" s="555"/>
      <c r="K20" s="531"/>
      <c r="L20" s="2118"/>
      <c r="M20" s="2110"/>
      <c r="N20" s="2110"/>
      <c r="O20" s="2117"/>
      <c r="P20" s="3792"/>
      <c r="Q20" s="1549"/>
      <c r="R20" s="1550"/>
      <c r="S20" s="1551"/>
      <c r="T20" s="1550"/>
      <c r="U20" s="1551"/>
      <c r="V20" s="1550"/>
      <c r="W20" s="1551"/>
      <c r="X20" s="1544"/>
      <c r="Y20" s="3792"/>
      <c r="Z20" s="1552"/>
      <c r="AA20" s="1553">
        <v>1</v>
      </c>
      <c r="AB20" s="1553">
        <v>1</v>
      </c>
      <c r="AC20" s="1553">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999"/>
      <c r="L21" s="2118"/>
      <c r="M21" s="2110"/>
      <c r="N21" s="2110"/>
      <c r="O21" s="2117"/>
      <c r="P21" s="3792"/>
      <c r="Q21" s="1549" t="str">
        <f t="shared" ref="Q21:Q35" si="8">B21</f>
        <v>区域土地利用方向</v>
      </c>
      <c r="R21" s="1550" t="s">
        <v>8</v>
      </c>
      <c r="S21" s="1551">
        <f>F21</f>
        <v>100</v>
      </c>
      <c r="T21" s="1550" t="s">
        <v>8</v>
      </c>
      <c r="U21" s="1551">
        <f>H21</f>
        <v>100</v>
      </c>
      <c r="V21" s="1550" t="s">
        <v>8</v>
      </c>
      <c r="W21" s="1551">
        <f>J21</f>
        <v>100</v>
      </c>
      <c r="X21" s="1544"/>
      <c r="Y21" s="3792"/>
      <c r="Z21" s="1552" t="str">
        <f>Q21</f>
        <v>区域土地利用方向</v>
      </c>
      <c r="AA21" s="1553">
        <f t="shared" si="3"/>
        <v>1</v>
      </c>
      <c r="AB21" s="1553">
        <f t="shared" si="4"/>
        <v>1</v>
      </c>
      <c r="AC21" s="1553">
        <f t="shared" si="5"/>
        <v>1</v>
      </c>
    </row>
    <row r="22" spans="1:29" ht="15">
      <c r="A22" s="515"/>
      <c r="B22" s="595"/>
      <c r="C22" s="576"/>
      <c r="D22" s="555"/>
      <c r="E22" s="556"/>
      <c r="F22" s="557"/>
      <c r="G22" s="558"/>
      <c r="H22" s="557"/>
      <c r="I22" s="558"/>
      <c r="J22" s="557"/>
      <c r="K22" s="1334"/>
      <c r="L22" s="2118"/>
      <c r="M22" s="2110"/>
      <c r="N22" s="2110"/>
      <c r="O22" s="2117"/>
      <c r="P22" s="3792"/>
      <c r="Q22" s="1549"/>
      <c r="R22" s="1550"/>
      <c r="S22" s="1551"/>
      <c r="T22" s="1550"/>
      <c r="U22" s="1551"/>
      <c r="V22" s="1550"/>
      <c r="W22" s="1551"/>
      <c r="X22" s="1544"/>
      <c r="Y22" s="3792"/>
      <c r="Z22" s="1552"/>
      <c r="AA22" s="1553"/>
      <c r="AB22" s="1553"/>
      <c r="AC22" s="1553"/>
    </row>
    <row r="23" spans="1:29" ht="71.25">
      <c r="A23" s="515"/>
      <c r="B23" s="913"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18"/>
      <c r="M23" s="2110"/>
      <c r="N23" s="2110"/>
      <c r="O23" s="2117"/>
      <c r="P23" s="3792"/>
      <c r="Q23" s="1549" t="str">
        <f t="shared" si="8"/>
        <v>环境状况</v>
      </c>
      <c r="R23" s="1550" t="s">
        <v>8</v>
      </c>
      <c r="S23" s="1551">
        <f>F23</f>
        <v>100</v>
      </c>
      <c r="T23" s="1550" t="s">
        <v>8</v>
      </c>
      <c r="U23" s="1551">
        <f>H23</f>
        <v>100</v>
      </c>
      <c r="V23" s="1550" t="s">
        <v>8</v>
      </c>
      <c r="W23" s="1551">
        <f>J23</f>
        <v>100</v>
      </c>
      <c r="X23" s="1544"/>
      <c r="Y23" s="3792"/>
      <c r="Z23" s="1552" t="str">
        <f>Q23</f>
        <v>环境状况</v>
      </c>
      <c r="AA23" s="1553">
        <f t="shared" si="3"/>
        <v>1</v>
      </c>
      <c r="AB23" s="1553">
        <f t="shared" si="4"/>
        <v>1</v>
      </c>
      <c r="AC23" s="1553">
        <f t="shared" si="5"/>
        <v>1</v>
      </c>
    </row>
    <row r="24" spans="1:29" ht="15">
      <c r="A24" s="515"/>
      <c r="B24" s="595"/>
      <c r="C24" s="576"/>
      <c r="D24" s="555"/>
      <c r="E24" s="554"/>
      <c r="F24" s="555"/>
      <c r="G24" s="554"/>
      <c r="H24" s="555"/>
      <c r="I24" s="576"/>
      <c r="J24" s="555"/>
      <c r="K24" s="531"/>
      <c r="L24" s="2118"/>
      <c r="M24" s="2110"/>
      <c r="N24" s="2110"/>
      <c r="O24" s="2117"/>
      <c r="P24" s="3792"/>
      <c r="Q24" s="1549"/>
      <c r="R24" s="1550"/>
      <c r="S24" s="1551"/>
      <c r="T24" s="1550"/>
      <c r="U24" s="1551"/>
      <c r="V24" s="1550"/>
      <c r="W24" s="1551"/>
      <c r="X24" s="1544"/>
      <c r="Y24" s="3792"/>
      <c r="Z24" s="1552"/>
      <c r="AA24" s="1553">
        <v>1</v>
      </c>
      <c r="AB24" s="1553">
        <v>1</v>
      </c>
      <c r="AC24" s="1553">
        <v>1</v>
      </c>
    </row>
    <row r="25" spans="1:29" s="1206" customFormat="1" ht="42.75">
      <c r="A25" s="577"/>
      <c r="B25" s="2532" t="s">
        <v>2523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1"/>
      <c r="M25" s="2112"/>
      <c r="N25" s="2112"/>
      <c r="O25" s="2113"/>
      <c r="P25" s="3792"/>
      <c r="Q25" s="1138" t="str">
        <f t="shared" si="8"/>
        <v>公共配套设施</v>
      </c>
      <c r="R25" s="1545" t="s">
        <v>8</v>
      </c>
      <c r="S25" s="1546">
        <f>F25</f>
        <v>100</v>
      </c>
      <c r="T25" s="1545" t="s">
        <v>8</v>
      </c>
      <c r="U25" s="1546">
        <f>H25</f>
        <v>100</v>
      </c>
      <c r="V25" s="1545" t="s">
        <v>8</v>
      </c>
      <c r="W25" s="1546">
        <f>J25</f>
        <v>100</v>
      </c>
      <c r="X25" s="1547"/>
      <c r="Y25" s="3792"/>
      <c r="Z25" s="1137" t="str">
        <f>Q25</f>
        <v>公共配套设施</v>
      </c>
      <c r="AA25" s="1553">
        <f>D25/F25</f>
        <v>1</v>
      </c>
      <c r="AB25" s="1553">
        <f>D25/H25</f>
        <v>1</v>
      </c>
      <c r="AC25" s="1553">
        <f>D25/J25</f>
        <v>1</v>
      </c>
    </row>
    <row r="26" spans="1:29" s="1206" customFormat="1" ht="15">
      <c r="A26" s="577"/>
      <c r="B26" s="595"/>
      <c r="C26" s="2531"/>
      <c r="D26" s="555"/>
      <c r="E26" s="554"/>
      <c r="F26" s="555"/>
      <c r="G26" s="554"/>
      <c r="H26" s="555"/>
      <c r="I26" s="576"/>
      <c r="J26" s="555"/>
      <c r="K26" s="531"/>
      <c r="L26" s="2111"/>
      <c r="M26" s="2112"/>
      <c r="N26" s="2112"/>
      <c r="O26" s="2113"/>
      <c r="P26" s="3792"/>
      <c r="Q26" s="1138"/>
      <c r="R26" s="1545"/>
      <c r="S26" s="1546"/>
      <c r="T26" s="1545"/>
      <c r="U26" s="1546"/>
      <c r="V26" s="1545"/>
      <c r="W26" s="1546"/>
      <c r="X26" s="1547"/>
      <c r="Y26" s="3792"/>
      <c r="Z26" s="1137"/>
      <c r="AA26" s="1548">
        <v>1</v>
      </c>
      <c r="AB26" s="1548">
        <v>1</v>
      </c>
      <c r="AC26" s="1548">
        <v>1</v>
      </c>
    </row>
    <row r="27" spans="1:29" s="1206" customFormat="1" ht="28.5">
      <c r="A27" s="577"/>
      <c r="B27" s="2532" t="s">
        <v>2524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1"/>
      <c r="M27" s="2112"/>
      <c r="N27" s="2112"/>
      <c r="O27" s="2113"/>
      <c r="P27" s="3792"/>
      <c r="Q27" s="2517" t="str">
        <f t="shared" ref="Q27" si="9">B27</f>
        <v>基础设施水平</v>
      </c>
      <c r="R27" s="1545" t="s">
        <v>8</v>
      </c>
      <c r="S27" s="1546">
        <f>F27</f>
        <v>100</v>
      </c>
      <c r="T27" s="1545" t="s">
        <v>8</v>
      </c>
      <c r="U27" s="1546">
        <f>H27</f>
        <v>100</v>
      </c>
      <c r="V27" s="1545" t="s">
        <v>8</v>
      </c>
      <c r="W27" s="1546">
        <f>J27</f>
        <v>100</v>
      </c>
      <c r="X27" s="1547"/>
      <c r="Y27" s="3792"/>
      <c r="Z27" s="2514" t="str">
        <f>Q27</f>
        <v>基础设施水平</v>
      </c>
      <c r="AA27" s="1553">
        <f>D27/F27</f>
        <v>1</v>
      </c>
      <c r="AB27" s="1553">
        <f>D27/H27</f>
        <v>1</v>
      </c>
      <c r="AC27" s="1553">
        <f>D27/J27</f>
        <v>1</v>
      </c>
    </row>
    <row r="28" spans="1:29" s="1206" customFormat="1" ht="15">
      <c r="A28" s="577"/>
      <c r="B28" s="595"/>
      <c r="C28" s="2531"/>
      <c r="D28" s="555"/>
      <c r="E28" s="579"/>
      <c r="F28" s="555"/>
      <c r="G28" s="579"/>
      <c r="H28" s="555"/>
      <c r="I28" s="579"/>
      <c r="J28" s="555"/>
      <c r="K28" s="531"/>
      <c r="L28" s="2111"/>
      <c r="M28" s="2112"/>
      <c r="N28" s="2112"/>
      <c r="O28" s="2113"/>
      <c r="P28" s="3792"/>
      <c r="Q28" s="2517"/>
      <c r="R28" s="1545"/>
      <c r="S28" s="1546"/>
      <c r="T28" s="1545"/>
      <c r="U28" s="1546"/>
      <c r="V28" s="1545"/>
      <c r="W28" s="1546"/>
      <c r="X28" s="1547"/>
      <c r="Y28" s="3792"/>
      <c r="Z28" s="2514"/>
      <c r="AA28" s="1548">
        <v>1</v>
      </c>
      <c r="AB28" s="1548">
        <v>1</v>
      </c>
      <c r="AC28" s="1548">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18"/>
      <c r="M29" s="2110"/>
      <c r="N29" s="2110"/>
      <c r="O29" s="2117"/>
      <c r="P29" s="3792"/>
      <c r="Q29" s="1549" t="str">
        <f t="shared" si="8"/>
        <v>临街状况</v>
      </c>
      <c r="R29" s="1550" t="s">
        <v>8</v>
      </c>
      <c r="S29" s="1551">
        <f t="shared" ref="S29:S42" si="10">F29</f>
        <v>100</v>
      </c>
      <c r="T29" s="1550" t="s">
        <v>8</v>
      </c>
      <c r="U29" s="1551">
        <f t="shared" ref="U29:U42" si="11">H29</f>
        <v>100</v>
      </c>
      <c r="V29" s="1550" t="s">
        <v>8</v>
      </c>
      <c r="W29" s="1551">
        <f t="shared" ref="W29:W42" si="12">J29</f>
        <v>100</v>
      </c>
      <c r="X29" s="1544"/>
      <c r="Y29" s="3792"/>
      <c r="Z29" s="1552" t="str">
        <f t="shared" ref="Z29:Z42" si="13">Q29</f>
        <v>临街状况</v>
      </c>
      <c r="AA29" s="1553">
        <f t="shared" si="3"/>
        <v>1</v>
      </c>
      <c r="AB29" s="1553">
        <f t="shared" si="4"/>
        <v>1</v>
      </c>
      <c r="AC29" s="1553">
        <f t="shared" si="5"/>
        <v>1</v>
      </c>
    </row>
    <row r="30" spans="1:29" ht="27">
      <c r="A30" s="532"/>
      <c r="B30" s="913" t="s">
        <v>547</v>
      </c>
      <c r="C30" s="253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18"/>
      <c r="M30" s="2110"/>
      <c r="N30" s="2110"/>
      <c r="O30" s="2117"/>
      <c r="P30" s="3792"/>
      <c r="Q30" s="1549" t="str">
        <f t="shared" si="8"/>
        <v>毗邻道路的类型与等级</v>
      </c>
      <c r="R30" s="1550" t="s">
        <v>8</v>
      </c>
      <c r="S30" s="1551">
        <f t="shared" si="10"/>
        <v>100</v>
      </c>
      <c r="T30" s="1550" t="s">
        <v>8</v>
      </c>
      <c r="U30" s="1551">
        <f t="shared" si="11"/>
        <v>100</v>
      </c>
      <c r="V30" s="1550" t="s">
        <v>8</v>
      </c>
      <c r="W30" s="1551">
        <f t="shared" si="12"/>
        <v>100</v>
      </c>
      <c r="X30" s="1544"/>
      <c r="Y30" s="3792"/>
      <c r="Z30" s="1552" t="str">
        <f t="shared" si="13"/>
        <v>毗邻道路的类型与等级</v>
      </c>
      <c r="AA30" s="1553">
        <f t="shared" si="3"/>
        <v>1</v>
      </c>
      <c r="AB30" s="1553">
        <f t="shared" si="4"/>
        <v>1</v>
      </c>
      <c r="AC30" s="1553">
        <f t="shared" si="5"/>
        <v>1</v>
      </c>
    </row>
    <row r="31" spans="1:29" ht="15">
      <c r="A31" s="532"/>
      <c r="B31" s="595"/>
      <c r="C31" s="576"/>
      <c r="D31" s="555"/>
      <c r="E31" s="576"/>
      <c r="F31" s="555"/>
      <c r="G31" s="576"/>
      <c r="H31" s="555"/>
      <c r="I31" s="576"/>
      <c r="J31" s="555"/>
      <c r="K31" s="581"/>
      <c r="L31" s="2118"/>
      <c r="M31" s="2110"/>
      <c r="N31" s="2110"/>
      <c r="O31" s="2117"/>
      <c r="P31" s="3792"/>
      <c r="Q31" s="1549"/>
      <c r="R31" s="1550"/>
      <c r="S31" s="1551"/>
      <c r="T31" s="1550"/>
      <c r="U31" s="1551"/>
      <c r="V31" s="1550"/>
      <c r="W31" s="1551"/>
      <c r="X31" s="1544"/>
      <c r="Y31" s="3792"/>
      <c r="Z31" s="1552"/>
      <c r="AA31" s="1553">
        <v>1</v>
      </c>
      <c r="AB31" s="1553">
        <v>1</v>
      </c>
      <c r="AC31" s="1553">
        <v>1</v>
      </c>
    </row>
    <row r="32" spans="1:29" ht="15">
      <c r="A32" s="532"/>
      <c r="B32" s="527" t="s">
        <v>548</v>
      </c>
      <c r="C32" s="253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18"/>
      <c r="M32" s="2110"/>
      <c r="N32" s="2110"/>
      <c r="O32" s="2117"/>
      <c r="P32" s="3792"/>
      <c r="Q32" s="1549" t="str">
        <f t="shared" si="8"/>
        <v>土地级别</v>
      </c>
      <c r="R32" s="1550" t="s">
        <v>8</v>
      </c>
      <c r="S32" s="1551">
        <f t="shared" si="10"/>
        <v>100</v>
      </c>
      <c r="T32" s="1550" t="s">
        <v>8</v>
      </c>
      <c r="U32" s="1551">
        <f t="shared" si="11"/>
        <v>100</v>
      </c>
      <c r="V32" s="1550" t="s">
        <v>8</v>
      </c>
      <c r="W32" s="1551">
        <f t="shared" si="12"/>
        <v>100</v>
      </c>
      <c r="X32" s="1544"/>
      <c r="Y32" s="3792"/>
      <c r="Z32" s="1552" t="str">
        <f t="shared" si="13"/>
        <v>土地级别</v>
      </c>
      <c r="AA32" s="1553">
        <f t="shared" si="3"/>
        <v>1</v>
      </c>
      <c r="AB32" s="1553">
        <f t="shared" si="4"/>
        <v>1</v>
      </c>
      <c r="AC32" s="155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18"/>
      <c r="M33" s="2110"/>
      <c r="N33" s="2110"/>
      <c r="O33" s="2117"/>
      <c r="P33" s="3792"/>
      <c r="Q33" s="1549">
        <f t="shared" si="8"/>
        <v>111</v>
      </c>
      <c r="R33" s="1550" t="s">
        <v>8</v>
      </c>
      <c r="S33" s="1551">
        <f t="shared" si="10"/>
        <v>100</v>
      </c>
      <c r="T33" s="1550" t="s">
        <v>8</v>
      </c>
      <c r="U33" s="1551">
        <f t="shared" si="11"/>
        <v>100</v>
      </c>
      <c r="V33" s="1550" t="s">
        <v>8</v>
      </c>
      <c r="W33" s="1551">
        <f t="shared" si="12"/>
        <v>100</v>
      </c>
      <c r="X33" s="1544"/>
      <c r="Y33" s="3792"/>
      <c r="Z33" s="1552">
        <f t="shared" si="13"/>
        <v>111</v>
      </c>
      <c r="AA33" s="1553">
        <f t="shared" si="3"/>
        <v>1</v>
      </c>
      <c r="AB33" s="1553">
        <f t="shared" si="4"/>
        <v>1</v>
      </c>
      <c r="AC33" s="155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18"/>
      <c r="M34" s="2110"/>
      <c r="N34" s="2110"/>
      <c r="O34" s="2117"/>
      <c r="P34" s="3793" t="s">
        <v>549</v>
      </c>
      <c r="Q34" s="1549">
        <f t="shared" si="8"/>
        <v>111</v>
      </c>
      <c r="R34" s="1550" t="s">
        <v>8</v>
      </c>
      <c r="S34" s="1551">
        <f t="shared" si="10"/>
        <v>100</v>
      </c>
      <c r="T34" s="1550" t="s">
        <v>8</v>
      </c>
      <c r="U34" s="1551">
        <f t="shared" si="11"/>
        <v>100</v>
      </c>
      <c r="V34" s="1550" t="s">
        <v>8</v>
      </c>
      <c r="W34" s="1551">
        <f t="shared" si="12"/>
        <v>100</v>
      </c>
      <c r="X34" s="1544"/>
      <c r="Y34" s="3794" t="s">
        <v>549</v>
      </c>
      <c r="Z34" s="1552">
        <f t="shared" si="13"/>
        <v>111</v>
      </c>
      <c r="AA34" s="1553">
        <f t="shared" si="3"/>
        <v>1</v>
      </c>
      <c r="AB34" s="1553">
        <f t="shared" si="4"/>
        <v>1</v>
      </c>
      <c r="AC34" s="1553">
        <f t="shared" si="5"/>
        <v>1</v>
      </c>
    </row>
    <row r="35" spans="1:29" s="1325" customFormat="1" ht="15.75" thickBot="1">
      <c r="A35" s="589"/>
      <c r="B35" s="253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16"/>
      <c r="M35" s="2147"/>
      <c r="N35" s="2147"/>
      <c r="O35" s="2119"/>
      <c r="P35" s="3794"/>
      <c r="Q35" s="1549">
        <f t="shared" si="8"/>
        <v>111</v>
      </c>
      <c r="R35" s="1554" t="s">
        <v>8</v>
      </c>
      <c r="S35" s="1555">
        <f t="shared" si="10"/>
        <v>100</v>
      </c>
      <c r="T35" s="1554" t="s">
        <v>8</v>
      </c>
      <c r="U35" s="1555">
        <f t="shared" si="11"/>
        <v>100</v>
      </c>
      <c r="V35" s="1554" t="s">
        <v>8</v>
      </c>
      <c r="W35" s="1555">
        <f t="shared" si="12"/>
        <v>100</v>
      </c>
      <c r="X35" s="1556"/>
      <c r="Y35" s="3794"/>
      <c r="Z35" s="1557">
        <f t="shared" si="13"/>
        <v>111</v>
      </c>
      <c r="AA35" s="1553">
        <f t="shared" si="3"/>
        <v>1</v>
      </c>
      <c r="AB35" s="1553">
        <f t="shared" si="4"/>
        <v>1</v>
      </c>
      <c r="AC35" s="1553">
        <f t="shared" si="5"/>
        <v>1</v>
      </c>
    </row>
    <row r="36" spans="1:29" ht="15">
      <c r="A36" s="2837" t="s">
        <v>2729</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18"/>
      <c r="M36" s="2110"/>
      <c r="N36" s="2110"/>
      <c r="O36" s="2117"/>
      <c r="P36" s="3794"/>
      <c r="Q36" s="1549" t="str">
        <f>B36</f>
        <v>宗地面积</v>
      </c>
      <c r="R36" s="1550" t="s">
        <v>8</v>
      </c>
      <c r="S36" s="1551" t="e">
        <f t="shared" si="10"/>
        <v>#N/A</v>
      </c>
      <c r="T36" s="1550" t="s">
        <v>8</v>
      </c>
      <c r="U36" s="1551" t="e">
        <f t="shared" si="11"/>
        <v>#N/A</v>
      </c>
      <c r="V36" s="1550" t="s">
        <v>8</v>
      </c>
      <c r="W36" s="1551" t="e">
        <f t="shared" si="12"/>
        <v>#N/A</v>
      </c>
      <c r="X36" s="1544"/>
      <c r="Y36" s="3794"/>
      <c r="Z36" s="1552" t="str">
        <f t="shared" si="13"/>
        <v>宗地面积</v>
      </c>
      <c r="AA36" s="1553" t="e">
        <f t="shared" si="3"/>
        <v>#N/A</v>
      </c>
      <c r="AB36" s="1553" t="e">
        <f t="shared" si="4"/>
        <v>#N/A</v>
      </c>
      <c r="AC36" s="1553"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18"/>
      <c r="M37" s="2110"/>
      <c r="N37" s="2110"/>
      <c r="O37" s="2117"/>
      <c r="P37" s="3794"/>
      <c r="Q37" s="1549" t="str">
        <f t="shared" ref="Q37:Q42" si="14">B37</f>
        <v>宗地形状</v>
      </c>
      <c r="R37" s="1550" t="s">
        <v>8</v>
      </c>
      <c r="S37" s="1551">
        <f t="shared" si="10"/>
        <v>100</v>
      </c>
      <c r="T37" s="1550" t="s">
        <v>8</v>
      </c>
      <c r="U37" s="1551">
        <f t="shared" si="11"/>
        <v>100</v>
      </c>
      <c r="V37" s="1550" t="s">
        <v>8</v>
      </c>
      <c r="W37" s="1551">
        <f t="shared" si="12"/>
        <v>100</v>
      </c>
      <c r="X37" s="1544"/>
      <c r="Y37" s="3794"/>
      <c r="Z37" s="1552" t="str">
        <f t="shared" si="13"/>
        <v>宗地形状</v>
      </c>
      <c r="AA37" s="1553">
        <f t="shared" si="3"/>
        <v>1</v>
      </c>
      <c r="AB37" s="1553">
        <f t="shared" si="4"/>
        <v>1</v>
      </c>
      <c r="AC37" s="1553">
        <f t="shared" si="5"/>
        <v>1</v>
      </c>
    </row>
    <row r="38" spans="1:29" s="1206" customFormat="1" ht="15">
      <c r="A38" s="600"/>
      <c r="B38" s="1871" t="s">
        <v>2399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1"/>
      <c r="M38" s="2112"/>
      <c r="N38" s="2112"/>
      <c r="O38" s="2113"/>
      <c r="P38" s="3794"/>
      <c r="Q38" s="1549" t="str">
        <f t="shared" si="14"/>
        <v>宗地开发程度</v>
      </c>
      <c r="R38" s="1545" t="s">
        <v>8</v>
      </c>
      <c r="S38" s="1546">
        <f t="shared" si="10"/>
        <v>100</v>
      </c>
      <c r="T38" s="1545" t="s">
        <v>8</v>
      </c>
      <c r="U38" s="1546">
        <f t="shared" si="11"/>
        <v>100</v>
      </c>
      <c r="V38" s="1545" t="s">
        <v>8</v>
      </c>
      <c r="W38" s="1546">
        <f t="shared" si="12"/>
        <v>100</v>
      </c>
      <c r="X38" s="1547"/>
      <c r="Y38" s="3794"/>
      <c r="Z38" s="1137" t="str">
        <f t="shared" si="13"/>
        <v>宗地开发程度</v>
      </c>
      <c r="AA38" s="1548">
        <f t="shared" si="3"/>
        <v>1</v>
      </c>
      <c r="AB38" s="1548">
        <f t="shared" si="4"/>
        <v>1</v>
      </c>
      <c r="AC38" s="1548">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18"/>
      <c r="M39" s="2110"/>
      <c r="N39" s="2110"/>
      <c r="O39" s="2117"/>
      <c r="P39" s="3794" t="s">
        <v>600</v>
      </c>
      <c r="Q39" s="1549" t="str">
        <f t="shared" si="14"/>
        <v>工程地质条件</v>
      </c>
      <c r="R39" s="1550" t="s">
        <v>8</v>
      </c>
      <c r="S39" s="1551">
        <f t="shared" si="10"/>
        <v>100</v>
      </c>
      <c r="T39" s="1550" t="s">
        <v>8</v>
      </c>
      <c r="U39" s="1551">
        <f t="shared" si="11"/>
        <v>100</v>
      </c>
      <c r="V39" s="1550" t="s">
        <v>8</v>
      </c>
      <c r="W39" s="1551">
        <f t="shared" si="12"/>
        <v>100</v>
      </c>
      <c r="X39" s="1544"/>
      <c r="Y39" s="3794" t="s">
        <v>600</v>
      </c>
      <c r="Z39" s="1552" t="str">
        <f t="shared" si="13"/>
        <v>工程地质条件</v>
      </c>
      <c r="AA39" s="1553">
        <f t="shared" si="3"/>
        <v>1</v>
      </c>
      <c r="AB39" s="1553">
        <f t="shared" si="4"/>
        <v>1</v>
      </c>
      <c r="AC39" s="155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18"/>
      <c r="M40" s="2110"/>
      <c r="N40" s="2110"/>
      <c r="O40" s="2117"/>
      <c r="P40" s="3794"/>
      <c r="Q40" s="1549">
        <f t="shared" si="14"/>
        <v>111</v>
      </c>
      <c r="R40" s="1550" t="s">
        <v>8</v>
      </c>
      <c r="S40" s="1551">
        <f t="shared" si="10"/>
        <v>100</v>
      </c>
      <c r="T40" s="1550" t="s">
        <v>8</v>
      </c>
      <c r="U40" s="1551">
        <f t="shared" si="11"/>
        <v>100</v>
      </c>
      <c r="V40" s="1550" t="s">
        <v>8</v>
      </c>
      <c r="W40" s="1551">
        <f t="shared" si="12"/>
        <v>100</v>
      </c>
      <c r="X40" s="1544"/>
      <c r="Y40" s="3794"/>
      <c r="Z40" s="1552">
        <f t="shared" si="13"/>
        <v>111</v>
      </c>
      <c r="AA40" s="1553">
        <f t="shared" si="3"/>
        <v>1</v>
      </c>
      <c r="AB40" s="1553">
        <f t="shared" si="4"/>
        <v>1</v>
      </c>
      <c r="AC40" s="155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18"/>
      <c r="M41" s="2110"/>
      <c r="N41" s="2110"/>
      <c r="O41" s="2117"/>
      <c r="P41" s="3794"/>
      <c r="Q41" s="1549">
        <f t="shared" si="14"/>
        <v>111</v>
      </c>
      <c r="R41" s="1550" t="s">
        <v>8</v>
      </c>
      <c r="S41" s="1551">
        <f t="shared" si="10"/>
        <v>100</v>
      </c>
      <c r="T41" s="1550" t="s">
        <v>8</v>
      </c>
      <c r="U41" s="1551">
        <f t="shared" si="11"/>
        <v>100</v>
      </c>
      <c r="V41" s="1550" t="s">
        <v>8</v>
      </c>
      <c r="W41" s="1551">
        <f t="shared" si="12"/>
        <v>100</v>
      </c>
      <c r="X41" s="1544"/>
      <c r="Y41" s="3794"/>
      <c r="Z41" s="1552">
        <f t="shared" si="13"/>
        <v>111</v>
      </c>
      <c r="AA41" s="1553">
        <f t="shared" si="3"/>
        <v>1</v>
      </c>
      <c r="AB41" s="1553">
        <f t="shared" si="4"/>
        <v>1</v>
      </c>
      <c r="AC41" s="1553">
        <f t="shared" si="5"/>
        <v>1</v>
      </c>
    </row>
    <row r="42" spans="1:29" s="132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16"/>
      <c r="M42" s="2147"/>
      <c r="N42" s="2147"/>
      <c r="O42" s="2119"/>
      <c r="P42" s="3794"/>
      <c r="Q42" s="1549">
        <f t="shared" si="14"/>
        <v>111</v>
      </c>
      <c r="R42" s="1554" t="s">
        <v>8</v>
      </c>
      <c r="S42" s="1555">
        <f t="shared" si="10"/>
        <v>100</v>
      </c>
      <c r="T42" s="1554" t="s">
        <v>8</v>
      </c>
      <c r="U42" s="1555">
        <f t="shared" si="11"/>
        <v>100</v>
      </c>
      <c r="V42" s="1554" t="s">
        <v>8</v>
      </c>
      <c r="W42" s="1555">
        <f t="shared" si="12"/>
        <v>100</v>
      </c>
      <c r="X42" s="1556"/>
      <c r="Y42" s="3794"/>
      <c r="Z42" s="1557">
        <f t="shared" si="13"/>
        <v>111</v>
      </c>
      <c r="AA42" s="1553">
        <f t="shared" si="3"/>
        <v>1</v>
      </c>
      <c r="AB42" s="1553">
        <f t="shared" si="4"/>
        <v>1</v>
      </c>
      <c r="AC42" s="1553">
        <f t="shared" si="5"/>
        <v>1</v>
      </c>
    </row>
    <row r="43" spans="1:29" ht="15">
      <c r="A43" s="607" t="s">
        <v>555</v>
      </c>
      <c r="B43" s="608" t="s">
        <v>2910</v>
      </c>
      <c r="C43" s="609" t="s">
        <v>1</v>
      </c>
      <c r="D43" s="610"/>
      <c r="E43" s="611"/>
      <c r="F43" s="612"/>
      <c r="G43" s="613"/>
      <c r="H43" s="614"/>
      <c r="I43" s="611"/>
      <c r="J43" s="614"/>
      <c r="K43" s="1326"/>
      <c r="L43" s="2120"/>
      <c r="M43" s="2110"/>
      <c r="N43" s="2110"/>
      <c r="O43" s="2121"/>
      <c r="P43" s="3789" t="str">
        <f>A43</f>
        <v>成交单价</v>
      </c>
      <c r="Q43" s="3789"/>
      <c r="R43" s="3803">
        <f>E43</f>
        <v>0</v>
      </c>
      <c r="S43" s="3803"/>
      <c r="T43" s="3803">
        <f>G43</f>
        <v>0</v>
      </c>
      <c r="U43" s="3803"/>
      <c r="V43" s="3803">
        <f>I43</f>
        <v>0</v>
      </c>
      <c r="W43" s="3803"/>
      <c r="X43" s="1536"/>
      <c r="Y43" s="1558"/>
      <c r="Z43" s="1536"/>
      <c r="AA43" s="1536"/>
      <c r="AB43" s="1536"/>
      <c r="AC43" s="1536"/>
    </row>
    <row r="44" spans="1:29" ht="15.75" thickBot="1">
      <c r="A44" s="615" t="s">
        <v>2667</v>
      </c>
      <c r="B44" s="616"/>
      <c r="C44" s="617" t="e">
        <f>R45</f>
        <v>#DIV/0!</v>
      </c>
      <c r="D44" s="618"/>
      <c r="E44" s="617" t="e">
        <f>R44</f>
        <v>#DIV/0!</v>
      </c>
      <c r="F44" s="619"/>
      <c r="G44" s="620" t="e">
        <f>T44</f>
        <v>#DIV/0!</v>
      </c>
      <c r="H44" s="618"/>
      <c r="I44" s="617" t="e">
        <f>V44</f>
        <v>#DIV/0!</v>
      </c>
      <c r="J44" s="618"/>
      <c r="K44" s="1327"/>
      <c r="L44" s="2120"/>
      <c r="M44" s="2110"/>
      <c r="N44" s="2110"/>
      <c r="O44" s="2121"/>
      <c r="P44" s="3789" t="str">
        <f>A44</f>
        <v>比较价格（元/平方米）</v>
      </c>
      <c r="Q44" s="3789"/>
      <c r="R44" s="3813" t="e">
        <f>ROUND(PRODUCT(R43,AA9:AA42),0)</f>
        <v>#DIV/0!</v>
      </c>
      <c r="S44" s="3813"/>
      <c r="T44" s="3813" t="e">
        <f>ROUND(PRODUCT(T43,AB9:AB42),0)</f>
        <v>#DIV/0!</v>
      </c>
      <c r="U44" s="3813"/>
      <c r="V44" s="3813" t="e">
        <f>ROUND(PRODUCT(V43,AC9:AC42),0)</f>
        <v>#DIV/0!</v>
      </c>
      <c r="W44" s="3813"/>
      <c r="X44" s="1536"/>
      <c r="Y44" s="1536"/>
      <c r="Z44" s="1536"/>
      <c r="AA44" s="1536"/>
      <c r="AB44" s="1536"/>
      <c r="AC44" s="1536"/>
    </row>
    <row r="45" spans="1:29" ht="15.75" thickBot="1">
      <c r="A45" s="621" t="s">
        <v>2911</v>
      </c>
      <c r="B45" s="622"/>
      <c r="C45" s="623" t="e">
        <f>R45</f>
        <v>#DIV/0!</v>
      </c>
      <c r="D45" s="623"/>
      <c r="E45" s="623"/>
      <c r="F45" s="623"/>
      <c r="G45" s="623"/>
      <c r="H45" s="623"/>
      <c r="I45" s="623"/>
      <c r="J45" s="623"/>
      <c r="K45" s="1328"/>
      <c r="L45" s="2120"/>
      <c r="M45" s="2110"/>
      <c r="N45" s="2110"/>
      <c r="O45" s="2121"/>
      <c r="P45" s="3810" t="str">
        <f>A45</f>
        <v>估价对象XX用房的比较价格（楼面单价，元/平方米）</v>
      </c>
      <c r="Q45" s="3811"/>
      <c r="R45" s="3812" t="e">
        <f>ROUND(AVERAGE(R44:V44),0)</f>
        <v>#DIV/0!</v>
      </c>
      <c r="S45" s="3812"/>
      <c r="T45" s="3812"/>
      <c r="U45" s="3812"/>
      <c r="V45" s="3812"/>
      <c r="W45" s="3812"/>
      <c r="X45" s="1536"/>
      <c r="Y45" s="1536"/>
      <c r="Z45" s="1536"/>
      <c r="AA45" s="1536"/>
      <c r="AB45" s="1536"/>
      <c r="AC45" s="1536"/>
    </row>
    <row r="46" spans="1:29">
      <c r="A46" s="2121"/>
      <c r="B46" s="2121"/>
      <c r="C46" s="2121"/>
      <c r="D46" s="2121"/>
      <c r="E46" s="2121"/>
      <c r="F46" s="2121"/>
      <c r="G46" s="2124"/>
      <c r="H46" s="2121"/>
      <c r="I46" s="2121"/>
      <c r="J46" s="2121"/>
      <c r="K46" s="2125"/>
      <c r="L46" s="2126"/>
      <c r="M46" s="2110"/>
      <c r="N46" s="2110"/>
      <c r="O46" s="2121"/>
      <c r="P46" s="1536"/>
      <c r="Q46" s="1536"/>
      <c r="R46" s="1536"/>
      <c r="S46" s="1536"/>
      <c r="T46" s="1536"/>
      <c r="U46" s="1536"/>
      <c r="V46" s="1536"/>
      <c r="W46" s="1536"/>
      <c r="X46" s="1536"/>
      <c r="Y46" s="1536"/>
      <c r="Z46" s="1536"/>
      <c r="AA46" s="1536"/>
      <c r="AB46" s="1536"/>
      <c r="AC46" s="1536"/>
    </row>
    <row r="47" spans="1:29">
      <c r="A47" s="2121"/>
      <c r="B47" s="2121"/>
      <c r="C47" s="2121"/>
      <c r="D47" s="2121"/>
      <c r="E47" s="2121"/>
      <c r="F47" s="2121"/>
      <c r="G47" s="2121"/>
      <c r="H47" s="2121"/>
      <c r="I47" s="2121"/>
      <c r="J47" s="2121"/>
      <c r="K47" s="2125"/>
      <c r="L47" s="2126"/>
      <c r="M47" s="2110"/>
      <c r="N47" s="2110"/>
      <c r="O47" s="2121"/>
      <c r="P47" s="2121"/>
      <c r="Q47" s="2121"/>
      <c r="R47" s="2121"/>
      <c r="S47" s="2121"/>
      <c r="T47" s="2121"/>
      <c r="U47" s="2121"/>
      <c r="V47" s="2121"/>
      <c r="W47" s="2121"/>
      <c r="X47" s="2121"/>
      <c r="Y47" s="2121"/>
      <c r="Z47" s="2121"/>
      <c r="AA47" s="2121"/>
      <c r="AB47" s="2121"/>
      <c r="AC47" s="2121"/>
    </row>
    <row r="48" spans="1:29" ht="13.5" customHeight="1">
      <c r="A48" s="2121"/>
      <c r="B48" s="2121"/>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25"/>
      <c r="L48" s="2126"/>
      <c r="M48" s="2110"/>
      <c r="N48" s="2110"/>
      <c r="O48" s="2121"/>
      <c r="P48" s="2121"/>
      <c r="Q48" s="2121"/>
      <c r="R48" s="2121"/>
      <c r="S48" s="2121"/>
      <c r="T48" s="2121"/>
      <c r="U48" s="2121"/>
      <c r="V48" s="2121"/>
      <c r="W48" s="2121"/>
      <c r="X48" s="2121"/>
      <c r="Y48" s="2121"/>
      <c r="Z48" s="2121"/>
      <c r="AA48" s="2121"/>
      <c r="AB48" s="2121"/>
      <c r="AC48" s="2121"/>
    </row>
    <row r="49" spans="1:29" ht="13.5" customHeight="1">
      <c r="A49" s="2121"/>
      <c r="B49" s="2121"/>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25"/>
      <c r="L49" s="2126"/>
      <c r="M49" s="2121"/>
      <c r="N49" s="2121"/>
      <c r="O49" s="2121"/>
      <c r="P49" s="2121"/>
      <c r="Q49" s="2121"/>
      <c r="R49" s="2121"/>
      <c r="S49" s="2121"/>
      <c r="T49" s="2121"/>
      <c r="U49" s="2121"/>
      <c r="V49" s="2121"/>
      <c r="W49" s="2121"/>
      <c r="X49" s="2121"/>
      <c r="Y49" s="2121"/>
      <c r="Z49" s="2121"/>
      <c r="AA49" s="2121"/>
      <c r="AB49" s="2121"/>
      <c r="AC49" s="2121"/>
    </row>
    <row r="50" spans="1:29" s="1331" customFormat="1" ht="13.5" customHeight="1">
      <c r="A50" s="2122"/>
      <c r="B50" s="2122"/>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28"/>
      <c r="L50" s="2129"/>
      <c r="M50" s="2122"/>
      <c r="N50" s="2122"/>
      <c r="O50" s="2122"/>
      <c r="P50" s="2122"/>
      <c r="Q50" s="2122"/>
      <c r="R50" s="2122"/>
      <c r="S50" s="2122"/>
      <c r="T50" s="2122"/>
      <c r="U50" s="2122"/>
      <c r="V50" s="2122"/>
      <c r="W50" s="2122"/>
      <c r="X50" s="2122"/>
      <c r="Y50" s="2122"/>
      <c r="Z50" s="2122"/>
      <c r="AA50" s="2122"/>
      <c r="AB50" s="2122"/>
      <c r="AC50" s="2122"/>
    </row>
    <row r="51" spans="1:29" s="1331" customFormat="1" ht="15" thickBot="1">
      <c r="A51" s="2122"/>
      <c r="B51" s="2123"/>
      <c r="C51" s="2127"/>
      <c r="D51" s="2122"/>
      <c r="E51" s="2122"/>
      <c r="F51" s="2122"/>
      <c r="G51" s="2122"/>
      <c r="H51" s="2122"/>
      <c r="I51" s="2122"/>
      <c r="J51" s="2122"/>
      <c r="K51" s="2128"/>
      <c r="L51" s="2129"/>
      <c r="M51" s="2122"/>
      <c r="N51" s="2122"/>
      <c r="O51" s="2122"/>
      <c r="P51" s="2122"/>
      <c r="Q51" s="2122"/>
      <c r="R51" s="2122"/>
      <c r="S51" s="2122"/>
      <c r="T51" s="2122"/>
      <c r="U51" s="2122"/>
      <c r="V51" s="2122"/>
      <c r="W51" s="2122"/>
      <c r="X51" s="2122"/>
      <c r="Y51" s="2122"/>
      <c r="Z51" s="2122"/>
      <c r="AA51" s="2122"/>
      <c r="AB51" s="2122"/>
      <c r="AC51" s="2122"/>
    </row>
    <row r="52" spans="1:29" ht="27">
      <c r="A52" s="629" t="s">
        <v>559</v>
      </c>
      <c r="B52" s="630" t="s">
        <v>560</v>
      </c>
      <c r="C52" s="1537" t="s">
        <v>1702</v>
      </c>
      <c r="D52" s="2188" t="s">
        <v>2268</v>
      </c>
      <c r="E52" s="631" t="s">
        <v>561</v>
      </c>
      <c r="F52" s="1927" t="s">
        <v>562</v>
      </c>
      <c r="G52" s="3814" t="s">
        <v>2260</v>
      </c>
      <c r="H52" s="3815"/>
      <c r="I52" s="1928" t="s">
        <v>1921</v>
      </c>
      <c r="J52" s="1532" t="str">
        <f>项目基本情况!F41</f>
        <v>雄安新区</v>
      </c>
      <c r="K52" s="2130" t="s">
        <v>1701</v>
      </c>
      <c r="L52" s="2126"/>
      <c r="M52" s="2121"/>
      <c r="N52" s="2121"/>
      <c r="O52" s="2121"/>
      <c r="P52" s="2121"/>
      <c r="Q52" s="2121"/>
      <c r="R52" s="2121"/>
      <c r="S52" s="2121"/>
      <c r="T52" s="2121"/>
      <c r="U52" s="2121"/>
      <c r="V52" s="2121"/>
      <c r="W52" s="2121"/>
      <c r="X52" s="2121"/>
      <c r="Y52" s="2121"/>
      <c r="Z52" s="2121"/>
      <c r="AA52" s="2121"/>
      <c r="AB52" s="2121"/>
      <c r="AC52" s="2121"/>
    </row>
    <row r="53" spans="1:29" s="1332" customFormat="1" ht="12.75">
      <c r="A53" s="633" t="s">
        <v>563</v>
      </c>
      <c r="B53" s="634" t="e">
        <f>C45</f>
        <v>#DIV/0!</v>
      </c>
      <c r="C53" s="635">
        <v>1</v>
      </c>
      <c r="D53" s="2189">
        <v>1</v>
      </c>
      <c r="E53" s="635">
        <f>'数据-汇总表'!E8+'数据-汇总表'!E9</f>
        <v>556650.11</v>
      </c>
      <c r="F53" s="1926" t="e">
        <f t="shared" ref="F53:F62" si="15">ROUND(B53*E53/10000,0)</f>
        <v>#DIV/0!</v>
      </c>
      <c r="G53" s="3816"/>
      <c r="H53" s="3817"/>
      <c r="I53" s="1929">
        <v>1</v>
      </c>
      <c r="J53" s="1533">
        <v>1</v>
      </c>
      <c r="K53" s="2131"/>
      <c r="L53" s="2131"/>
      <c r="M53" s="2131"/>
      <c r="N53" s="2131"/>
      <c r="O53" s="2131"/>
      <c r="P53" s="2131"/>
      <c r="Q53" s="2131"/>
      <c r="R53" s="2131"/>
      <c r="S53" s="2131"/>
      <c r="T53" s="2131"/>
      <c r="U53" s="2131"/>
      <c r="V53" s="2131"/>
      <c r="W53" s="2131"/>
      <c r="X53" s="2131"/>
      <c r="Y53" s="2131"/>
      <c r="Z53" s="2131"/>
      <c r="AA53" s="2131"/>
      <c r="AB53" s="2131"/>
      <c r="AC53" s="2131"/>
    </row>
    <row r="54" spans="1:29" s="1332" customFormat="1" ht="12.75">
      <c r="A54" s="637" t="s">
        <v>564</v>
      </c>
      <c r="B54" s="638" t="e">
        <f>ROUND($C$45*C54*D54,0)</f>
        <v>#DIV/0!</v>
      </c>
      <c r="C54" s="378">
        <f t="shared" ref="C54:C62" si="16">IF($C$52="北京市系数",I54,J54)</f>
        <v>0</v>
      </c>
      <c r="D54" s="2190">
        <v>0.25</v>
      </c>
      <c r="E54" s="639"/>
      <c r="F54" s="1926" t="e">
        <f t="shared" si="15"/>
        <v>#DIV/0!</v>
      </c>
      <c r="G54" s="3818" t="s">
        <v>2261</v>
      </c>
      <c r="H54" s="1930">
        <f>项目基本情况!B43</f>
        <v>0</v>
      </c>
      <c r="I54" s="1929">
        <f>SUMIF(修正!$A$45:$A$56,H54,修正!B45:B56)</f>
        <v>0</v>
      </c>
      <c r="J54" s="1535"/>
      <c r="K54" s="2131"/>
      <c r="L54" s="2131"/>
      <c r="M54" s="2131"/>
      <c r="N54" s="2131"/>
      <c r="O54" s="2131"/>
      <c r="P54" s="2131"/>
      <c r="Q54" s="2131"/>
      <c r="R54" s="2131"/>
      <c r="S54" s="2131"/>
      <c r="T54" s="2131"/>
      <c r="U54" s="2131"/>
      <c r="V54" s="2131"/>
      <c r="W54" s="2131"/>
      <c r="X54" s="2131"/>
      <c r="Y54" s="2131"/>
      <c r="Z54" s="2131"/>
      <c r="AA54" s="2131"/>
      <c r="AB54" s="2131"/>
      <c r="AC54" s="2131"/>
    </row>
    <row r="55" spans="1:29" s="1332" customFormat="1" ht="12.75">
      <c r="A55" s="637" t="s">
        <v>565</v>
      </c>
      <c r="B55" s="638" t="e">
        <f t="shared" ref="B55:B62" si="17">ROUND($C$45*C55*D55,0)</f>
        <v>#DIV/0!</v>
      </c>
      <c r="C55" s="378">
        <f t="shared" si="16"/>
        <v>0</v>
      </c>
      <c r="D55" s="2190">
        <v>0.25</v>
      </c>
      <c r="E55" s="639"/>
      <c r="F55" s="1926" t="e">
        <f t="shared" si="15"/>
        <v>#DIV/0!</v>
      </c>
      <c r="G55" s="3818"/>
      <c r="H55" s="1931">
        <f>项目基本情况!B43</f>
        <v>0</v>
      </c>
      <c r="I55" s="1929">
        <f>SUMIF(修正!$A$45:$A$56,H55,修正!C45:C56)</f>
        <v>0</v>
      </c>
      <c r="J55" s="1535"/>
      <c r="K55" s="2131"/>
      <c r="L55" s="2131"/>
      <c r="M55" s="2131"/>
      <c r="N55" s="2131"/>
      <c r="O55" s="2131"/>
      <c r="P55" s="2131"/>
      <c r="Q55" s="2131"/>
      <c r="R55" s="2131"/>
      <c r="S55" s="2131"/>
      <c r="T55" s="2131"/>
      <c r="U55" s="2131"/>
      <c r="V55" s="2131"/>
      <c r="W55" s="2131"/>
      <c r="X55" s="2131"/>
      <c r="Y55" s="2131"/>
      <c r="Z55" s="2131"/>
      <c r="AA55" s="2131"/>
      <c r="AB55" s="2131"/>
      <c r="AC55" s="2131"/>
    </row>
    <row r="56" spans="1:29" s="1332" customFormat="1" ht="12.75">
      <c r="A56" s="637" t="s">
        <v>566</v>
      </c>
      <c r="B56" s="638" t="e">
        <f t="shared" si="17"/>
        <v>#DIV/0!</v>
      </c>
      <c r="C56" s="378">
        <f t="shared" si="16"/>
        <v>0</v>
      </c>
      <c r="D56" s="2190">
        <v>0.25</v>
      </c>
      <c r="E56" s="639"/>
      <c r="F56" s="1926" t="e">
        <f t="shared" si="15"/>
        <v>#DIV/0!</v>
      </c>
      <c r="G56" s="3818"/>
      <c r="H56" s="1931">
        <f>项目基本情况!B43</f>
        <v>0</v>
      </c>
      <c r="I56" s="1929">
        <f>SUMIF(修正!$A$45:$A$56,H56,修正!D45:D56)</f>
        <v>0</v>
      </c>
      <c r="J56" s="1535"/>
      <c r="K56" s="2131"/>
      <c r="L56" s="2131"/>
      <c r="M56" s="2131"/>
      <c r="N56" s="2131"/>
      <c r="O56" s="2131"/>
      <c r="P56" s="2131"/>
      <c r="Q56" s="2131"/>
      <c r="R56" s="2131"/>
      <c r="S56" s="2131"/>
      <c r="T56" s="2131"/>
      <c r="U56" s="2131"/>
      <c r="V56" s="2131"/>
      <c r="W56" s="2131"/>
      <c r="X56" s="2131"/>
      <c r="Y56" s="2131"/>
      <c r="Z56" s="2131"/>
      <c r="AA56" s="2131"/>
      <c r="AB56" s="2131"/>
      <c r="AC56" s="2131"/>
    </row>
    <row r="57" spans="1:29" s="1332" customFormat="1" ht="12.75">
      <c r="A57" s="637" t="s">
        <v>567</v>
      </c>
      <c r="B57" s="638" t="e">
        <f t="shared" si="17"/>
        <v>#DIV/0!</v>
      </c>
      <c r="C57" s="378">
        <f t="shared" si="16"/>
        <v>0</v>
      </c>
      <c r="D57" s="2190">
        <v>0.25</v>
      </c>
      <c r="E57" s="639"/>
      <c r="F57" s="1926" t="e">
        <f t="shared" si="15"/>
        <v>#DIV/0!</v>
      </c>
      <c r="G57" s="3818"/>
      <c r="H57" s="1931">
        <f>项目基本情况!B43</f>
        <v>0</v>
      </c>
      <c r="I57" s="1929">
        <f>SUMIF(修正!$A$45:$A$56,H57,修正!E45:E56)</f>
        <v>0</v>
      </c>
      <c r="J57" s="1535"/>
      <c r="K57" s="2131"/>
      <c r="L57" s="2131"/>
      <c r="M57" s="2131"/>
      <c r="N57" s="2131"/>
      <c r="O57" s="2131"/>
      <c r="P57" s="2131"/>
      <c r="Q57" s="2131"/>
      <c r="R57" s="2131"/>
      <c r="S57" s="2131"/>
      <c r="T57" s="2131"/>
      <c r="U57" s="2131"/>
      <c r="V57" s="2131"/>
      <c r="W57" s="2131"/>
      <c r="X57" s="2131"/>
      <c r="Y57" s="2131"/>
      <c r="Z57" s="2131"/>
      <c r="AA57" s="2131"/>
      <c r="AB57" s="2131"/>
      <c r="AC57" s="2131"/>
    </row>
    <row r="58" spans="1:29" s="1332" customFormat="1" ht="12.75">
      <c r="A58" s="2292" t="s">
        <v>2303</v>
      </c>
      <c r="B58" s="638" t="e">
        <f t="shared" si="17"/>
        <v>#DIV/0!</v>
      </c>
      <c r="C58" s="378">
        <f t="shared" si="16"/>
        <v>0</v>
      </c>
      <c r="D58" s="2190">
        <v>0.25</v>
      </c>
      <c r="E58" s="641">
        <f>'数据-汇总表'!E11</f>
        <v>0</v>
      </c>
      <c r="F58" s="1926" t="e">
        <f t="shared" si="15"/>
        <v>#DIV/0!</v>
      </c>
      <c r="G58" s="1932" t="s">
        <v>2262</v>
      </c>
      <c r="H58" s="1931">
        <f>项目基本情况!C43</f>
        <v>0</v>
      </c>
      <c r="I58" s="1929">
        <f>SUMIF(修正!$A$45:$A$56,H58,修正!F45:F56)</f>
        <v>0</v>
      </c>
      <c r="J58" s="1535"/>
      <c r="K58" s="2131"/>
      <c r="L58" s="2131"/>
      <c r="M58" s="2131"/>
      <c r="N58" s="2131"/>
      <c r="O58" s="2131"/>
      <c r="P58" s="2131"/>
      <c r="Q58" s="2131"/>
      <c r="R58" s="2131"/>
      <c r="S58" s="2131"/>
      <c r="T58" s="2131"/>
      <c r="U58" s="2131"/>
      <c r="V58" s="2131"/>
      <c r="W58" s="2131"/>
      <c r="X58" s="2131"/>
      <c r="Y58" s="2131"/>
      <c r="Z58" s="2131"/>
      <c r="AA58" s="2131"/>
      <c r="AB58" s="2131"/>
      <c r="AC58" s="2131"/>
    </row>
    <row r="59" spans="1:29" s="1332" customFormat="1" ht="12.75">
      <c r="A59" s="637" t="s">
        <v>568</v>
      </c>
      <c r="B59" s="638" t="e">
        <f t="shared" si="17"/>
        <v>#DIV/0!</v>
      </c>
      <c r="C59" s="378">
        <f t="shared" si="16"/>
        <v>0</v>
      </c>
      <c r="D59" s="2190">
        <v>0.25</v>
      </c>
      <c r="E59" s="641">
        <f>'数据-汇总表'!E12</f>
        <v>0</v>
      </c>
      <c r="F59" s="1926" t="e">
        <f t="shared" si="15"/>
        <v>#DIV/0!</v>
      </c>
      <c r="G59" s="1922" t="s">
        <v>1655</v>
      </c>
      <c r="H59" s="1930">
        <f>IF(G59="商业",项目基本情况!B43,IF(G59="办公",项目基本情况!C43,IF(G59="住宅",项目基本情况!D43,项目基本情况!E43)))</f>
        <v>0</v>
      </c>
      <c r="I59" s="1929">
        <f>SUMIF(修正!$A$45:$A$56,H59,修正!G45:G56)</f>
        <v>0</v>
      </c>
      <c r="J59" s="1535"/>
      <c r="K59" s="2131"/>
      <c r="L59" s="2131"/>
      <c r="M59" s="2131"/>
      <c r="N59" s="2131"/>
      <c r="O59" s="2131"/>
      <c r="P59" s="2131"/>
      <c r="Q59" s="2131"/>
      <c r="R59" s="2131"/>
      <c r="S59" s="2131"/>
      <c r="T59" s="2131"/>
      <c r="U59" s="2131"/>
      <c r="V59" s="2131"/>
      <c r="W59" s="2131"/>
      <c r="X59" s="2131"/>
      <c r="Y59" s="2131"/>
      <c r="Z59" s="2131"/>
      <c r="AA59" s="2131"/>
      <c r="AB59" s="2131"/>
      <c r="AC59" s="2131"/>
    </row>
    <row r="60" spans="1:29" s="1332" customFormat="1" ht="12.75">
      <c r="A60" s="637" t="s">
        <v>569</v>
      </c>
      <c r="B60" s="638" t="e">
        <f t="shared" si="17"/>
        <v>#DIV/0!</v>
      </c>
      <c r="C60" s="378">
        <f t="shared" si="16"/>
        <v>0</v>
      </c>
      <c r="D60" s="2190">
        <v>0.25</v>
      </c>
      <c r="E60" s="641">
        <f>'数据-汇总表'!E13</f>
        <v>0</v>
      </c>
      <c r="F60" s="1926" t="e">
        <f t="shared" si="15"/>
        <v>#DIV/0!</v>
      </c>
      <c r="G60" s="1922" t="s">
        <v>901</v>
      </c>
      <c r="H60" s="1930">
        <f>IF(G60="商业",项目基本情况!B43,IF(G60="办公",项目基本情况!C43,IF(G60="住宅",项目基本情况!D43,项目基本情况!E43)))</f>
        <v>0</v>
      </c>
      <c r="I60" s="1929">
        <f>SUMIF(修正!$A$45:$A$56,H60,修正!H45:H56)</f>
        <v>0</v>
      </c>
      <c r="J60" s="1535"/>
      <c r="K60" s="2131"/>
      <c r="L60" s="2131"/>
      <c r="M60" s="2131"/>
      <c r="N60" s="2131"/>
      <c r="O60" s="2131"/>
      <c r="P60" s="2131"/>
      <c r="Q60" s="2131"/>
      <c r="R60" s="2131"/>
      <c r="S60" s="2131"/>
      <c r="T60" s="2131"/>
      <c r="U60" s="2131"/>
      <c r="V60" s="2131"/>
      <c r="W60" s="2131"/>
      <c r="X60" s="2131"/>
      <c r="Y60" s="2131"/>
      <c r="Z60" s="2131"/>
      <c r="AA60" s="2131"/>
      <c r="AB60" s="2131"/>
      <c r="AC60" s="2131"/>
    </row>
    <row r="61" spans="1:29" s="1332" customFormat="1" ht="12.75">
      <c r="A61" s="637" t="s">
        <v>570</v>
      </c>
      <c r="B61" s="638" t="e">
        <f t="shared" si="17"/>
        <v>#DIV/0!</v>
      </c>
      <c r="C61" s="378">
        <f t="shared" si="16"/>
        <v>0</v>
      </c>
      <c r="D61" s="2190">
        <v>0.25</v>
      </c>
      <c r="E61" s="641">
        <f>'数据-汇总表'!E14</f>
        <v>0</v>
      </c>
      <c r="F61" s="1926" t="e">
        <f t="shared" si="15"/>
        <v>#DIV/0!</v>
      </c>
      <c r="G61" s="1932" t="s">
        <v>2261</v>
      </c>
      <c r="H61" s="1931">
        <f>项目基本情况!B43</f>
        <v>0</v>
      </c>
      <c r="I61" s="1929">
        <f>SUMIF(修正!$A$45:$A$56,H61,修正!H45:H56)</f>
        <v>0</v>
      </c>
      <c r="J61" s="1535"/>
      <c r="K61" s="2131"/>
      <c r="L61" s="2131"/>
      <c r="M61" s="2131"/>
      <c r="N61" s="2131"/>
      <c r="O61" s="2131"/>
      <c r="P61" s="2131"/>
      <c r="Q61" s="2131"/>
      <c r="R61" s="2131"/>
      <c r="S61" s="2131"/>
      <c r="T61" s="2131"/>
      <c r="U61" s="2131"/>
      <c r="V61" s="2131"/>
      <c r="W61" s="2131"/>
      <c r="X61" s="2131"/>
      <c r="Y61" s="2131"/>
      <c r="Z61" s="2131"/>
      <c r="AA61" s="2131"/>
      <c r="AB61" s="2131"/>
      <c r="AC61" s="2131"/>
    </row>
    <row r="62" spans="1:29" s="1332" customFormat="1" ht="13.5" thickBot="1">
      <c r="A62" s="637" t="s">
        <v>571</v>
      </c>
      <c r="B62" s="638" t="e">
        <f t="shared" si="17"/>
        <v>#DIV/0!</v>
      </c>
      <c r="C62" s="378">
        <f t="shared" si="16"/>
        <v>0</v>
      </c>
      <c r="D62" s="2190">
        <v>0.25</v>
      </c>
      <c r="E62" s="641">
        <f>'数据-汇总表'!E15</f>
        <v>0</v>
      </c>
      <c r="F62" s="1926" t="e">
        <f t="shared" si="15"/>
        <v>#DIV/0!</v>
      </c>
      <c r="G62" s="1933" t="s">
        <v>2262</v>
      </c>
      <c r="H62" s="1934">
        <f>项目基本情况!C43</f>
        <v>0</v>
      </c>
      <c r="I62" s="1929">
        <f>SUMIF(修正!$A$45:$A$56,H62,修正!H45:H56)</f>
        <v>0</v>
      </c>
      <c r="J62" s="1535"/>
      <c r="K62" s="2131"/>
      <c r="L62" s="2131"/>
      <c r="M62" s="2131"/>
      <c r="N62" s="2131"/>
      <c r="O62" s="2131"/>
      <c r="P62" s="2131"/>
      <c r="Q62" s="2131"/>
      <c r="R62" s="2131"/>
      <c r="S62" s="2131"/>
      <c r="T62" s="2131"/>
      <c r="U62" s="2131"/>
      <c r="V62" s="2131"/>
      <c r="W62" s="2131"/>
      <c r="X62" s="2131"/>
      <c r="Y62" s="2131"/>
      <c r="Z62" s="2131"/>
      <c r="AA62" s="2131"/>
      <c r="AB62" s="2131"/>
      <c r="AC62" s="2131"/>
    </row>
    <row r="63" spans="1:29" s="1332" customFormat="1" ht="13.5" thickBot="1">
      <c r="A63" s="642" t="s">
        <v>572</v>
      </c>
      <c r="B63" s="643" t="s">
        <v>16</v>
      </c>
      <c r="C63" s="643" t="s">
        <v>17</v>
      </c>
      <c r="D63" s="643" t="s">
        <v>2269</v>
      </c>
      <c r="E63" s="643">
        <f>IF(B43="楼面地价",SUM(E53:E62),'数据-汇总表'!D3)</f>
        <v>370783.53</v>
      </c>
      <c r="F63" s="644" t="e">
        <f>IF(B43="楼面地价",SUM(F53:F62),ROUND(C45*E63/10000,0))</f>
        <v>#DIV/0!</v>
      </c>
      <c r="G63" s="2132"/>
      <c r="H63" s="2132"/>
      <c r="I63" s="2132"/>
      <c r="J63" s="2132"/>
      <c r="K63" s="2132"/>
      <c r="L63" s="2131"/>
      <c r="M63" s="2131"/>
      <c r="N63" s="2131"/>
      <c r="O63" s="2131"/>
      <c r="P63" s="2131"/>
      <c r="Q63" s="2131"/>
      <c r="R63" s="2131"/>
      <c r="S63" s="2131"/>
      <c r="T63" s="2131"/>
      <c r="U63" s="2131"/>
      <c r="V63" s="2131"/>
      <c r="W63" s="2131"/>
      <c r="X63" s="2131"/>
      <c r="Y63" s="2131"/>
      <c r="Z63" s="2131"/>
      <c r="AA63" s="2131"/>
      <c r="AB63" s="2131"/>
      <c r="AC63" s="2131"/>
    </row>
    <row r="64" spans="1:29">
      <c r="A64" s="2121"/>
      <c r="B64" s="2123"/>
      <c r="C64" s="2127"/>
      <c r="D64" s="2121"/>
      <c r="E64" s="2121"/>
      <c r="F64" s="2121"/>
      <c r="G64" s="2121"/>
      <c r="H64" s="2121"/>
      <c r="I64" s="2121"/>
      <c r="J64" s="2121"/>
      <c r="K64" s="2125"/>
      <c r="L64" s="2126"/>
      <c r="M64" s="2121"/>
      <c r="N64" s="2121"/>
      <c r="O64" s="2121"/>
      <c r="P64" s="2121"/>
      <c r="Q64" s="2121"/>
      <c r="R64" s="2121"/>
      <c r="S64" s="2121"/>
      <c r="T64" s="2121"/>
      <c r="U64" s="2121"/>
      <c r="V64" s="2121"/>
      <c r="W64" s="2121"/>
      <c r="X64" s="2121"/>
      <c r="Y64" s="2121"/>
      <c r="Z64" s="2121"/>
      <c r="AA64" s="2121"/>
      <c r="AB64" s="2121"/>
      <c r="AC64" s="2121"/>
    </row>
    <row r="65" spans="1:29">
      <c r="A65" s="2121"/>
      <c r="B65" s="2123"/>
      <c r="C65" s="2730" t="str">
        <f>YEAR(C9)&amp;"-"&amp;MONTH(C9)&amp;"-1"</f>
        <v>2020-4-1</v>
      </c>
      <c r="D65" s="2729">
        <f>EDATE(C65,-3)</f>
        <v>43831</v>
      </c>
      <c r="E65" s="2729">
        <f t="shared" ref="E65:N65" si="18">EDATE(D65,-3)</f>
        <v>43739</v>
      </c>
      <c r="F65" s="2729">
        <f t="shared" si="18"/>
        <v>43647</v>
      </c>
      <c r="G65" s="2729">
        <f t="shared" si="18"/>
        <v>43556</v>
      </c>
      <c r="H65" s="2729">
        <f t="shared" si="18"/>
        <v>43466</v>
      </c>
      <c r="I65" s="2729">
        <f t="shared" si="18"/>
        <v>43374</v>
      </c>
      <c r="J65" s="2729">
        <f t="shared" si="18"/>
        <v>43282</v>
      </c>
      <c r="K65" s="2729">
        <f t="shared" si="18"/>
        <v>43191</v>
      </c>
      <c r="L65" s="2729">
        <f t="shared" si="18"/>
        <v>43101</v>
      </c>
      <c r="M65" s="2729">
        <f t="shared" si="18"/>
        <v>43009</v>
      </c>
      <c r="N65" s="2729">
        <f t="shared" si="18"/>
        <v>42917</v>
      </c>
      <c r="O65" s="2121"/>
      <c r="P65" s="2121"/>
      <c r="Q65" s="2121"/>
      <c r="R65" s="2121"/>
      <c r="S65" s="2121"/>
      <c r="T65" s="2121"/>
      <c r="U65" s="2121"/>
      <c r="V65" s="2121"/>
      <c r="W65" s="2121"/>
      <c r="X65" s="2121"/>
      <c r="Y65" s="2121"/>
      <c r="Z65" s="2121"/>
      <c r="AA65" s="2121"/>
      <c r="AB65" s="2121"/>
      <c r="AC65" s="2121"/>
    </row>
    <row r="66" spans="1:29" ht="21.75" thickBot="1">
      <c r="A66" s="1561" t="s">
        <v>573</v>
      </c>
      <c r="B66" s="1536"/>
      <c r="C66" s="1560"/>
      <c r="D66" s="1560"/>
      <c r="E66" s="1560"/>
      <c r="F66" s="1562"/>
      <c r="G66" s="1562"/>
      <c r="H66" s="1560"/>
      <c r="I66" s="1560"/>
      <c r="J66" s="1560"/>
      <c r="K66" s="1563"/>
      <c r="L66" s="1559"/>
      <c r="M66" s="1560"/>
      <c r="N66" s="1560"/>
      <c r="O66" s="2133"/>
      <c r="P66" s="2133"/>
      <c r="Q66" s="2134"/>
      <c r="R66" s="2121"/>
      <c r="S66" s="2121"/>
      <c r="T66" s="2121"/>
      <c r="U66" s="2121"/>
      <c r="V66" s="2121"/>
      <c r="W66" s="2121"/>
      <c r="X66" s="2121"/>
      <c r="Y66" s="2121"/>
      <c r="Z66" s="2121"/>
      <c r="AA66" s="2121"/>
      <c r="AB66" s="2121"/>
      <c r="AC66" s="2121"/>
    </row>
    <row r="67" spans="1:29" s="1333" customFormat="1" ht="15">
      <c r="A67" s="2507" t="s">
        <v>2508</v>
      </c>
      <c r="B67" s="646"/>
      <c r="C67" s="2725" t="str">
        <f>YEAR(C65)&amp;"-"&amp;ROUNDUP(MONTH(C65)/3,0)</f>
        <v>2020-2</v>
      </c>
      <c r="D67" s="2731" t="str">
        <f t="shared" ref="D67:N67" si="19">YEAR(D65)&amp;"-"&amp;ROUNDUP(MONTH(D65)/3,0)</f>
        <v>2020-1</v>
      </c>
      <c r="E67" s="2731" t="str">
        <f t="shared" si="19"/>
        <v>2019-4</v>
      </c>
      <c r="F67" s="2731" t="str">
        <f t="shared" si="19"/>
        <v>2019-3</v>
      </c>
      <c r="G67" s="2731" t="str">
        <f t="shared" si="19"/>
        <v>2019-2</v>
      </c>
      <c r="H67" s="2731" t="str">
        <f t="shared" si="19"/>
        <v>2019-1</v>
      </c>
      <c r="I67" s="2731" t="str">
        <f t="shared" si="19"/>
        <v>2018-4</v>
      </c>
      <c r="J67" s="2731" t="str">
        <f t="shared" si="19"/>
        <v>2018-3</v>
      </c>
      <c r="K67" s="2731" t="str">
        <f t="shared" si="19"/>
        <v>2018-2</v>
      </c>
      <c r="L67" s="2731" t="str">
        <f t="shared" si="19"/>
        <v>2018-1</v>
      </c>
      <c r="M67" s="2731" t="str">
        <f t="shared" si="19"/>
        <v>2017-4</v>
      </c>
      <c r="N67" s="2731" t="str">
        <f t="shared" si="19"/>
        <v>2017-3</v>
      </c>
      <c r="O67" s="2135"/>
      <c r="P67" s="2136"/>
      <c r="Q67" s="2137"/>
      <c r="R67" s="2137"/>
      <c r="S67" s="2137"/>
      <c r="T67" s="2137"/>
      <c r="U67" s="2137"/>
      <c r="V67" s="2137"/>
      <c r="W67" s="2137"/>
      <c r="X67" s="2137"/>
      <c r="Y67" s="2137"/>
      <c r="Z67" s="2137"/>
      <c r="AA67" s="2137"/>
      <c r="AB67" s="2137"/>
      <c r="AC67" s="2137"/>
    </row>
    <row r="68" spans="1:29" s="1206" customFormat="1" ht="27.75" customHeight="1">
      <c r="A68" s="2728" t="s">
        <v>2623</v>
      </c>
      <c r="B68" s="479" t="str">
        <f>"北京市平均增长率"&amp;TEXT(基准地价!P24,"0.00%")</f>
        <v>北京市平均增长率1.31%</v>
      </c>
      <c r="C68" s="894">
        <v>100</v>
      </c>
      <c r="D68" s="730"/>
      <c r="E68" s="730"/>
      <c r="F68" s="730"/>
      <c r="G68" s="730"/>
      <c r="H68" s="730"/>
      <c r="I68" s="730"/>
      <c r="J68" s="730"/>
      <c r="K68" s="730"/>
      <c r="L68" s="730"/>
      <c r="M68" s="2723"/>
      <c r="N68" s="2724"/>
      <c r="O68" s="2138"/>
      <c r="P68" s="2134"/>
      <c r="Q68" s="1969"/>
      <c r="R68" s="1969"/>
      <c r="S68" s="1969"/>
      <c r="T68" s="1969"/>
      <c r="U68" s="1969"/>
      <c r="V68" s="1969"/>
      <c r="W68" s="1969"/>
      <c r="X68" s="1969"/>
      <c r="Y68" s="1969"/>
      <c r="Z68" s="1969"/>
      <c r="AA68" s="1969"/>
      <c r="AB68" s="1969"/>
      <c r="AC68" s="1969"/>
    </row>
    <row r="69" spans="1:29" s="1206" customFormat="1" ht="15.75" thickBot="1">
      <c r="A69" s="653" t="s">
        <v>574</v>
      </c>
      <c r="B69" s="654"/>
      <c r="C69" s="2721"/>
      <c r="D69" s="2722"/>
      <c r="E69" s="2722"/>
      <c r="F69" s="2722"/>
      <c r="G69" s="2722"/>
      <c r="H69" s="2722"/>
      <c r="I69" s="2722"/>
      <c r="J69" s="2722"/>
      <c r="K69" s="2722"/>
      <c r="L69" s="2722"/>
      <c r="M69" s="2722"/>
      <c r="N69" s="2722"/>
      <c r="O69" s="2138"/>
      <c r="P69" s="2134"/>
      <c r="Q69" s="2134"/>
      <c r="R69" s="1969"/>
      <c r="S69" s="1969"/>
      <c r="T69" s="1969"/>
      <c r="U69" s="1969"/>
      <c r="V69" s="1969"/>
      <c r="W69" s="1969"/>
      <c r="X69" s="1969"/>
      <c r="Y69" s="1969"/>
      <c r="Z69" s="1969"/>
      <c r="AA69" s="1969"/>
      <c r="AB69" s="1969"/>
      <c r="AC69" s="1969"/>
    </row>
    <row r="70" spans="1:29" s="1206" customFormat="1" ht="15">
      <c r="A70" s="659" t="s">
        <v>530</v>
      </c>
      <c r="B70" s="648"/>
      <c r="C70" s="660" t="s">
        <v>575</v>
      </c>
      <c r="D70" s="661"/>
      <c r="E70" s="661"/>
      <c r="F70" s="661"/>
      <c r="G70" s="661"/>
      <c r="H70" s="661"/>
      <c r="I70" s="661"/>
      <c r="J70" s="661"/>
      <c r="K70" s="661"/>
      <c r="L70" s="662"/>
      <c r="M70" s="663"/>
      <c r="N70" s="2138"/>
      <c r="O70" s="2138"/>
      <c r="P70" s="2139"/>
      <c r="Q70" s="2134"/>
      <c r="R70" s="1969"/>
      <c r="S70" s="1969"/>
      <c r="T70" s="1969"/>
      <c r="U70" s="1969"/>
      <c r="V70" s="1969"/>
      <c r="W70" s="1969"/>
      <c r="X70" s="1969"/>
      <c r="Y70" s="1969"/>
      <c r="Z70" s="1969"/>
      <c r="AA70" s="1969"/>
      <c r="AB70" s="1969"/>
      <c r="AC70" s="1969"/>
    </row>
    <row r="71" spans="1:29" s="1206" customFormat="1" ht="15.75" thickBot="1">
      <c r="A71" s="659"/>
      <c r="B71" s="648"/>
      <c r="C71" s="649">
        <v>100</v>
      </c>
      <c r="D71" s="650"/>
      <c r="E71" s="650"/>
      <c r="F71" s="650"/>
      <c r="G71" s="650"/>
      <c r="H71" s="650"/>
      <c r="I71" s="650"/>
      <c r="J71" s="650"/>
      <c r="K71" s="650"/>
      <c r="L71" s="650"/>
      <c r="M71" s="652"/>
      <c r="N71" s="2138"/>
      <c r="O71" s="2138"/>
      <c r="P71" s="2134"/>
      <c r="Q71" s="2134"/>
      <c r="R71" s="1969"/>
      <c r="S71" s="1969"/>
      <c r="T71" s="1969"/>
      <c r="U71" s="1969"/>
      <c r="V71" s="1969"/>
      <c r="W71" s="1969"/>
      <c r="X71" s="1969"/>
      <c r="Y71" s="1969"/>
      <c r="Z71" s="1969"/>
      <c r="AA71" s="1969"/>
      <c r="AB71" s="1969"/>
      <c r="AC71" s="1969"/>
    </row>
    <row r="72" spans="1:29">
      <c r="A72" s="664" t="s">
        <v>576</v>
      </c>
      <c r="B72" s="665" t="s">
        <v>533</v>
      </c>
      <c r="C72" s="598"/>
      <c r="D72" s="598"/>
      <c r="E72" s="598"/>
      <c r="F72" s="598"/>
      <c r="G72" s="598"/>
      <c r="H72" s="598"/>
      <c r="I72" s="598"/>
      <c r="J72" s="598"/>
      <c r="K72" s="666"/>
      <c r="L72" s="667"/>
      <c r="M72" s="668"/>
      <c r="N72" s="2140"/>
      <c r="O72" s="2140"/>
      <c r="P72" s="2141"/>
      <c r="Q72" s="2134"/>
      <c r="R72" s="2121"/>
      <c r="S72" s="2121"/>
      <c r="T72" s="2121"/>
      <c r="U72" s="2121"/>
      <c r="V72" s="2121"/>
      <c r="W72" s="2121"/>
      <c r="X72" s="2121"/>
      <c r="Y72" s="2121"/>
      <c r="Z72" s="2121"/>
      <c r="AA72" s="2121"/>
      <c r="AB72" s="2121"/>
      <c r="AC72" s="2121"/>
    </row>
    <row r="73" spans="1:29" ht="15.75" thickBot="1">
      <c r="A73" s="669"/>
      <c r="B73" s="670"/>
      <c r="C73" s="671"/>
      <c r="D73" s="671"/>
      <c r="E73" s="671"/>
      <c r="F73" s="671"/>
      <c r="G73" s="671"/>
      <c r="H73" s="671"/>
      <c r="I73" s="671"/>
      <c r="J73" s="671"/>
      <c r="K73" s="671"/>
      <c r="L73" s="671"/>
      <c r="M73" s="672"/>
      <c r="N73" s="2142"/>
      <c r="O73" s="2142"/>
      <c r="P73" s="2141"/>
      <c r="Q73" s="2134"/>
      <c r="R73" s="2121"/>
      <c r="S73" s="2121"/>
      <c r="T73" s="2121"/>
      <c r="U73" s="2121"/>
      <c r="V73" s="2121"/>
      <c r="W73" s="2121"/>
      <c r="X73" s="2121"/>
      <c r="Y73" s="2121"/>
      <c r="Z73" s="2121"/>
      <c r="AA73" s="2121"/>
      <c r="AB73" s="2121"/>
      <c r="AC73" s="2121"/>
    </row>
    <row r="74" spans="1:29" ht="27.75" thickTop="1">
      <c r="A74" s="669"/>
      <c r="B74" s="673" t="s">
        <v>536</v>
      </c>
      <c r="C74" s="674"/>
      <c r="D74" s="674"/>
      <c r="E74" s="674"/>
      <c r="F74" s="674"/>
      <c r="G74" s="674"/>
      <c r="H74" s="674"/>
      <c r="I74" s="674"/>
      <c r="J74" s="674"/>
      <c r="K74" s="675"/>
      <c r="L74" s="676"/>
      <c r="M74" s="677"/>
      <c r="N74" s="2140"/>
      <c r="O74" s="2140"/>
      <c r="P74" s="2141"/>
      <c r="Q74" s="2134"/>
      <c r="R74" s="2121"/>
      <c r="S74" s="2121"/>
      <c r="T74" s="2121"/>
      <c r="U74" s="2121"/>
      <c r="V74" s="2121"/>
      <c r="W74" s="2121"/>
      <c r="X74" s="2121"/>
      <c r="Y74" s="2121"/>
      <c r="Z74" s="2121"/>
      <c r="AA74" s="2121"/>
      <c r="AB74" s="2121"/>
      <c r="AC74" s="2121"/>
    </row>
    <row r="75" spans="1:29" ht="15.75" thickBot="1">
      <c r="A75" s="669"/>
      <c r="B75" s="678"/>
      <c r="C75" s="679"/>
      <c r="D75" s="679"/>
      <c r="E75" s="679"/>
      <c r="F75" s="679"/>
      <c r="G75" s="679"/>
      <c r="H75" s="679"/>
      <c r="I75" s="679"/>
      <c r="J75" s="679"/>
      <c r="K75" s="679"/>
      <c r="L75" s="679"/>
      <c r="M75" s="680"/>
      <c r="N75" s="2142"/>
      <c r="O75" s="2142"/>
      <c r="P75" s="2141"/>
      <c r="Q75" s="2134"/>
      <c r="R75" s="2121"/>
      <c r="S75" s="2121"/>
      <c r="T75" s="2121"/>
      <c r="U75" s="2121"/>
      <c r="V75" s="2121"/>
      <c r="W75" s="2121"/>
      <c r="X75" s="2121"/>
      <c r="Y75" s="2121"/>
      <c r="Z75" s="2121"/>
      <c r="AA75" s="2121"/>
      <c r="AB75" s="2121"/>
      <c r="AC75" s="2121"/>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2"/>
      <c r="O76" s="2142"/>
      <c r="P76" s="2141"/>
      <c r="Q76" s="2134"/>
      <c r="R76" s="2121"/>
      <c r="S76" s="2121"/>
      <c r="T76" s="2121"/>
      <c r="U76" s="2121"/>
      <c r="V76" s="2121"/>
      <c r="W76" s="2121"/>
      <c r="X76" s="2121"/>
      <c r="Y76" s="2121"/>
      <c r="Z76" s="2121"/>
      <c r="AA76" s="2121"/>
      <c r="AB76" s="2121"/>
      <c r="AC76" s="2121"/>
    </row>
    <row r="77" spans="1:29" ht="15">
      <c r="A77" s="669"/>
      <c r="B77" s="683"/>
      <c r="C77" s="541"/>
      <c r="D77" s="541"/>
      <c r="E77" s="541"/>
      <c r="F77" s="541"/>
      <c r="G77" s="541"/>
      <c r="H77" s="541"/>
      <c r="I77" s="541"/>
      <c r="J77" s="541"/>
      <c r="K77" s="684"/>
      <c r="L77" s="685"/>
      <c r="M77" s="686"/>
      <c r="N77" s="2140"/>
      <c r="O77" s="2140"/>
      <c r="P77" s="2141"/>
      <c r="Q77" s="2134"/>
      <c r="R77" s="2121"/>
      <c r="S77" s="2121"/>
      <c r="T77" s="2121"/>
      <c r="U77" s="2121"/>
      <c r="V77" s="2121"/>
      <c r="W77" s="2121"/>
      <c r="X77" s="2121"/>
      <c r="Y77" s="2121"/>
      <c r="Z77" s="2121"/>
      <c r="AA77" s="2121"/>
      <c r="AB77" s="2121"/>
      <c r="AC77" s="212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2"/>
      <c r="O78" s="2142"/>
      <c r="P78" s="2141"/>
      <c r="Q78" s="2134"/>
      <c r="R78" s="2121"/>
      <c r="S78" s="2121"/>
      <c r="T78" s="2121"/>
      <c r="U78" s="2121"/>
      <c r="V78" s="2121"/>
      <c r="W78" s="2121"/>
      <c r="X78" s="2121"/>
      <c r="Y78" s="2121"/>
      <c r="Z78" s="2121"/>
      <c r="AA78" s="2121"/>
      <c r="AB78" s="2121"/>
      <c r="AC78" s="2121"/>
    </row>
    <row r="79" spans="1:29" s="1325" customFormat="1" ht="15.75" thickTop="1">
      <c r="A79" s="687"/>
      <c r="B79" s="673">
        <f>B14</f>
        <v>111</v>
      </c>
      <c r="C79" s="688"/>
      <c r="D79" s="688"/>
      <c r="E79" s="688"/>
      <c r="F79" s="688"/>
      <c r="G79" s="688"/>
      <c r="H79" s="689"/>
      <c r="I79" s="689"/>
      <c r="J79" s="689"/>
      <c r="K79" s="689"/>
      <c r="L79" s="690"/>
      <c r="M79" s="691"/>
      <c r="N79" s="2143"/>
      <c r="O79" s="2143"/>
      <c r="P79" s="2144"/>
      <c r="Q79" s="2145"/>
      <c r="R79" s="2146"/>
      <c r="S79" s="2146"/>
      <c r="T79" s="2146"/>
      <c r="U79" s="2146"/>
      <c r="V79" s="2146"/>
      <c r="W79" s="2146"/>
      <c r="X79" s="2146"/>
      <c r="Y79" s="2146"/>
      <c r="Z79" s="2146"/>
      <c r="AA79" s="2146"/>
      <c r="AB79" s="2146"/>
      <c r="AC79" s="2146"/>
    </row>
    <row r="80" spans="1:29" s="1325" customFormat="1" ht="15.75" thickBot="1">
      <c r="A80" s="687"/>
      <c r="B80" s="678"/>
      <c r="C80" s="692"/>
      <c r="D80" s="671"/>
      <c r="E80" s="671"/>
      <c r="F80" s="671"/>
      <c r="G80" s="671"/>
      <c r="H80" s="671"/>
      <c r="I80" s="671"/>
      <c r="J80" s="671"/>
      <c r="K80" s="671"/>
      <c r="L80" s="671"/>
      <c r="M80" s="672"/>
      <c r="N80" s="2142"/>
      <c r="O80" s="2142"/>
      <c r="P80" s="2144"/>
      <c r="Q80" s="2145"/>
      <c r="R80" s="2146"/>
      <c r="S80" s="2146"/>
      <c r="T80" s="2146"/>
      <c r="U80" s="2146"/>
      <c r="V80" s="2146"/>
      <c r="W80" s="2146"/>
      <c r="X80" s="2146"/>
      <c r="Y80" s="2146"/>
      <c r="Z80" s="2146"/>
      <c r="AA80" s="2146"/>
      <c r="AB80" s="2146"/>
      <c r="AC80" s="2146"/>
    </row>
    <row r="81" spans="1:29" s="1325" customFormat="1" ht="15.75" thickTop="1">
      <c r="A81" s="687"/>
      <c r="B81" s="673">
        <f>B15</f>
        <v>111</v>
      </c>
      <c r="C81" s="688"/>
      <c r="D81" s="688"/>
      <c r="E81" s="688"/>
      <c r="F81" s="688"/>
      <c r="G81" s="688"/>
      <c r="H81" s="689"/>
      <c r="I81" s="689"/>
      <c r="J81" s="689"/>
      <c r="K81" s="689"/>
      <c r="L81" s="690"/>
      <c r="M81" s="691"/>
      <c r="N81" s="2143"/>
      <c r="O81" s="2143"/>
      <c r="P81" s="2147"/>
      <c r="Q81" s="2148"/>
      <c r="R81" s="2146"/>
      <c r="S81" s="2146"/>
      <c r="T81" s="2146"/>
      <c r="U81" s="2146"/>
      <c r="V81" s="2146"/>
      <c r="W81" s="2146"/>
      <c r="X81" s="2146"/>
      <c r="Y81" s="2146"/>
      <c r="Z81" s="2146"/>
      <c r="AA81" s="2146"/>
      <c r="AB81" s="2146"/>
      <c r="AC81" s="2146"/>
    </row>
    <row r="82" spans="1:29" s="1325" customFormat="1" ht="15.75" thickBot="1">
      <c r="A82" s="687"/>
      <c r="B82" s="678"/>
      <c r="C82" s="692"/>
      <c r="D82" s="692"/>
      <c r="E82" s="692"/>
      <c r="F82" s="692"/>
      <c r="G82" s="692"/>
      <c r="H82" s="693"/>
      <c r="I82" s="693"/>
      <c r="J82" s="693"/>
      <c r="K82" s="693"/>
      <c r="L82" s="693"/>
      <c r="M82" s="694"/>
      <c r="N82" s="2143"/>
      <c r="O82" s="2143"/>
      <c r="P82" s="2144"/>
      <c r="Q82" s="2145"/>
      <c r="R82" s="2146"/>
      <c r="S82" s="2146"/>
      <c r="T82" s="2146"/>
      <c r="U82" s="2146"/>
      <c r="V82" s="2146"/>
      <c r="W82" s="2146"/>
      <c r="X82" s="2146"/>
      <c r="Y82" s="2146"/>
      <c r="Z82" s="2146"/>
      <c r="AA82" s="2146"/>
      <c r="AB82" s="2146"/>
      <c r="AC82" s="2146"/>
    </row>
    <row r="83" spans="1:29" s="1325" customFormat="1" ht="15.75" thickTop="1">
      <c r="A83" s="687"/>
      <c r="B83" s="681">
        <f>B16</f>
        <v>111</v>
      </c>
      <c r="C83" s="661"/>
      <c r="D83" s="661"/>
      <c r="E83" s="661"/>
      <c r="F83" s="661"/>
      <c r="G83" s="661"/>
      <c r="H83" s="695"/>
      <c r="I83" s="695"/>
      <c r="J83" s="695"/>
      <c r="K83" s="695"/>
      <c r="L83" s="696"/>
      <c r="M83" s="697"/>
      <c r="N83" s="2143"/>
      <c r="O83" s="2143"/>
      <c r="P83" s="2149"/>
      <c r="Q83" s="2145"/>
      <c r="R83" s="2146"/>
      <c r="S83" s="2146"/>
      <c r="T83" s="2146"/>
      <c r="U83" s="2146"/>
      <c r="V83" s="2146"/>
      <c r="W83" s="2146"/>
      <c r="X83" s="2146"/>
      <c r="Y83" s="2146"/>
      <c r="Z83" s="2146"/>
      <c r="AA83" s="2146"/>
      <c r="AB83" s="2146"/>
      <c r="AC83" s="2146"/>
    </row>
    <row r="84" spans="1:29" s="1325" customFormat="1" ht="15.75" thickBot="1">
      <c r="A84" s="698"/>
      <c r="B84" s="699"/>
      <c r="C84" s="700"/>
      <c r="D84" s="700"/>
      <c r="E84" s="700"/>
      <c r="F84" s="700"/>
      <c r="G84" s="700"/>
      <c r="H84" s="701"/>
      <c r="I84" s="701"/>
      <c r="J84" s="701"/>
      <c r="K84" s="701"/>
      <c r="L84" s="701"/>
      <c r="M84" s="702"/>
      <c r="N84" s="2143"/>
      <c r="O84" s="2143"/>
      <c r="P84" s="2144"/>
      <c r="Q84" s="2145"/>
      <c r="R84" s="2146"/>
      <c r="S84" s="2146"/>
      <c r="T84" s="2146"/>
      <c r="U84" s="2146"/>
      <c r="V84" s="2146"/>
      <c r="W84" s="2146"/>
      <c r="X84" s="2146"/>
      <c r="Y84" s="2146"/>
      <c r="Z84" s="2146"/>
      <c r="AA84" s="2146"/>
      <c r="AB84" s="2146"/>
      <c r="AC84" s="2146"/>
    </row>
    <row r="85" spans="1:29">
      <c r="A85" s="664" t="s">
        <v>538</v>
      </c>
      <c r="B85" s="665" t="s">
        <v>601</v>
      </c>
      <c r="C85" s="703" t="s">
        <v>578</v>
      </c>
      <c r="D85" s="703" t="s">
        <v>579</v>
      </c>
      <c r="E85" s="703" t="s">
        <v>580</v>
      </c>
      <c r="F85" s="703" t="s">
        <v>581</v>
      </c>
      <c r="G85" s="703" t="s">
        <v>582</v>
      </c>
      <c r="H85" s="704"/>
      <c r="I85" s="704"/>
      <c r="J85" s="704"/>
      <c r="K85" s="705"/>
      <c r="L85" s="706"/>
      <c r="M85" s="707"/>
      <c r="N85" s="2140"/>
      <c r="O85" s="2140"/>
      <c r="P85" s="2150"/>
      <c r="Q85" s="2134"/>
      <c r="R85" s="2121"/>
      <c r="S85" s="2121"/>
      <c r="T85" s="2121"/>
      <c r="U85" s="2121"/>
      <c r="V85" s="2121"/>
      <c r="W85" s="2121"/>
      <c r="X85" s="2121"/>
      <c r="Y85" s="2121"/>
      <c r="Z85" s="2121"/>
      <c r="AA85" s="2121"/>
      <c r="AB85" s="2121"/>
      <c r="AC85" s="212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2"/>
      <c r="O86" s="2142"/>
      <c r="P86" s="2141"/>
      <c r="Q86" s="2134"/>
      <c r="R86" s="2121"/>
      <c r="S86" s="2121"/>
      <c r="T86" s="2121"/>
      <c r="U86" s="2121"/>
      <c r="V86" s="2121"/>
      <c r="W86" s="2121"/>
      <c r="X86" s="2121"/>
      <c r="Y86" s="2121"/>
      <c r="Z86" s="2121"/>
      <c r="AA86" s="2121"/>
      <c r="AB86" s="2121"/>
      <c r="AC86" s="2121"/>
    </row>
    <row r="87" spans="1:29" ht="15.75" thickTop="1">
      <c r="A87" s="669"/>
      <c r="B87" s="673" t="s">
        <v>585</v>
      </c>
      <c r="C87" s="708" t="s">
        <v>578</v>
      </c>
      <c r="D87" s="708" t="s">
        <v>579</v>
      </c>
      <c r="E87" s="708" t="s">
        <v>580</v>
      </c>
      <c r="F87" s="708" t="s">
        <v>581</v>
      </c>
      <c r="G87" s="708" t="s">
        <v>582</v>
      </c>
      <c r="H87" s="674"/>
      <c r="I87" s="674"/>
      <c r="J87" s="674"/>
      <c r="K87" s="675"/>
      <c r="L87" s="676"/>
      <c r="M87" s="677"/>
      <c r="N87" s="2140"/>
      <c r="O87" s="2140"/>
      <c r="P87" s="2141"/>
      <c r="Q87" s="2134"/>
      <c r="R87" s="2121"/>
      <c r="S87" s="2121"/>
      <c r="T87" s="2121"/>
      <c r="U87" s="2121"/>
      <c r="V87" s="2121"/>
      <c r="W87" s="2121"/>
      <c r="X87" s="2121"/>
      <c r="Y87" s="2121"/>
      <c r="Z87" s="2121"/>
      <c r="AA87" s="2121"/>
      <c r="AB87" s="2121"/>
      <c r="AC87" s="212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2"/>
      <c r="O88" s="2142"/>
      <c r="P88" s="2141"/>
      <c r="Q88" s="2134"/>
      <c r="R88" s="2121"/>
      <c r="S88" s="2121"/>
      <c r="T88" s="2121"/>
      <c r="U88" s="2121"/>
      <c r="V88" s="2121"/>
      <c r="W88" s="2121"/>
      <c r="X88" s="2121"/>
      <c r="Y88" s="2121"/>
      <c r="Z88" s="2121"/>
      <c r="AA88" s="2121"/>
      <c r="AB88" s="2121"/>
      <c r="AC88" s="2121"/>
    </row>
    <row r="89" spans="1:29" s="1206" customFormat="1" ht="27.75" thickTop="1">
      <c r="A89" s="709"/>
      <c r="B89" s="673" t="s">
        <v>586</v>
      </c>
      <c r="C89" s="708" t="s">
        <v>578</v>
      </c>
      <c r="D89" s="708" t="s">
        <v>579</v>
      </c>
      <c r="E89" s="708" t="s">
        <v>580</v>
      </c>
      <c r="F89" s="708" t="s">
        <v>581</v>
      </c>
      <c r="G89" s="708" t="s">
        <v>582</v>
      </c>
      <c r="H89" s="708"/>
      <c r="I89" s="708"/>
      <c r="J89" s="708"/>
      <c r="K89" s="708"/>
      <c r="L89" s="710"/>
      <c r="M89" s="711"/>
      <c r="N89" s="2138"/>
      <c r="O89" s="2138"/>
      <c r="P89" s="2141"/>
      <c r="Q89" s="2134"/>
      <c r="R89" s="1969"/>
      <c r="S89" s="1969"/>
      <c r="T89" s="1969"/>
      <c r="U89" s="1969"/>
      <c r="V89" s="1969"/>
      <c r="W89" s="1969"/>
      <c r="X89" s="1969"/>
      <c r="Y89" s="1969"/>
      <c r="Z89" s="1969"/>
      <c r="AA89" s="1969"/>
      <c r="AB89" s="1969"/>
      <c r="AC89" s="1969"/>
    </row>
    <row r="90" spans="1:29" s="1206" customFormat="1" ht="15.75" thickBot="1">
      <c r="A90" s="709"/>
      <c r="B90" s="678"/>
      <c r="C90" s="712">
        <v>100</v>
      </c>
      <c r="D90" s="679">
        <f>C90-$K21</f>
        <v>100</v>
      </c>
      <c r="E90" s="679">
        <f>D90-$K21</f>
        <v>100</v>
      </c>
      <c r="F90" s="679">
        <f>E90-$K21</f>
        <v>100</v>
      </c>
      <c r="G90" s="679">
        <f>F90-$K21</f>
        <v>100</v>
      </c>
      <c r="H90" s="679"/>
      <c r="I90" s="679"/>
      <c r="J90" s="679"/>
      <c r="K90" s="679"/>
      <c r="L90" s="679"/>
      <c r="M90" s="680"/>
      <c r="N90" s="2142"/>
      <c r="O90" s="2142"/>
      <c r="P90" s="2141"/>
      <c r="Q90" s="2134"/>
      <c r="R90" s="1969"/>
      <c r="S90" s="1969"/>
      <c r="T90" s="1969"/>
      <c r="U90" s="1969"/>
      <c r="V90" s="1969"/>
      <c r="W90" s="1969"/>
      <c r="X90" s="1969"/>
      <c r="Y90" s="1969"/>
      <c r="Z90" s="1969"/>
      <c r="AA90" s="1969"/>
      <c r="AB90" s="1969"/>
      <c r="AC90" s="1969"/>
    </row>
    <row r="91" spans="1:29" s="1206" customFormat="1" ht="27.75" thickTop="1">
      <c r="A91" s="709"/>
      <c r="B91" s="673" t="s">
        <v>587</v>
      </c>
      <c r="C91" s="703" t="s">
        <v>578</v>
      </c>
      <c r="D91" s="703" t="s">
        <v>579</v>
      </c>
      <c r="E91" s="703" t="s">
        <v>580</v>
      </c>
      <c r="F91" s="703" t="s">
        <v>581</v>
      </c>
      <c r="G91" s="703" t="s">
        <v>582</v>
      </c>
      <c r="H91" s="708"/>
      <c r="I91" s="708"/>
      <c r="J91" s="708"/>
      <c r="K91" s="708"/>
      <c r="L91" s="708"/>
      <c r="M91" s="711"/>
      <c r="N91" s="2138"/>
      <c r="O91" s="2138"/>
      <c r="P91" s="2141"/>
      <c r="Q91" s="2134"/>
      <c r="R91" s="1969"/>
      <c r="S91" s="1969"/>
      <c r="T91" s="1969"/>
      <c r="U91" s="1969"/>
      <c r="V91" s="1969"/>
      <c r="W91" s="1969"/>
      <c r="X91" s="1969"/>
      <c r="Y91" s="1969"/>
      <c r="Z91" s="1969"/>
      <c r="AA91" s="1969"/>
      <c r="AB91" s="1969"/>
      <c r="AC91" s="1969"/>
    </row>
    <row r="92" spans="1:29" s="1206" customFormat="1" ht="15.75" thickBot="1">
      <c r="A92" s="709"/>
      <c r="B92" s="678"/>
      <c r="C92" s="679">
        <v>100</v>
      </c>
      <c r="D92" s="679">
        <f>C92-$K23</f>
        <v>100</v>
      </c>
      <c r="E92" s="679">
        <f>D92-$K23</f>
        <v>100</v>
      </c>
      <c r="F92" s="679">
        <f>E92-$K23</f>
        <v>100</v>
      </c>
      <c r="G92" s="679">
        <f>F92-$K23</f>
        <v>100</v>
      </c>
      <c r="H92" s="679"/>
      <c r="I92" s="679"/>
      <c r="J92" s="679"/>
      <c r="K92" s="679"/>
      <c r="L92" s="679"/>
      <c r="M92" s="680"/>
      <c r="N92" s="2142"/>
      <c r="O92" s="2142"/>
      <c r="P92" s="2141"/>
      <c r="Q92" s="2134"/>
      <c r="R92" s="1969"/>
      <c r="S92" s="1969"/>
      <c r="T92" s="1969"/>
      <c r="U92" s="1969"/>
      <c r="V92" s="1969"/>
      <c r="W92" s="1969"/>
      <c r="X92" s="1969"/>
      <c r="Y92" s="1969"/>
      <c r="Z92" s="1969"/>
      <c r="AA92" s="1969"/>
      <c r="AB92" s="1969"/>
      <c r="AC92" s="1969"/>
    </row>
    <row r="93" spans="1:29" s="1325" customFormat="1" ht="15.75" thickTop="1">
      <c r="A93" s="687"/>
      <c r="B93" s="1872" t="s">
        <v>2523</v>
      </c>
      <c r="C93" s="703" t="s">
        <v>578</v>
      </c>
      <c r="D93" s="703" t="s">
        <v>579</v>
      </c>
      <c r="E93" s="703" t="s">
        <v>580</v>
      </c>
      <c r="F93" s="703" t="s">
        <v>581</v>
      </c>
      <c r="G93" s="703" t="s">
        <v>582</v>
      </c>
      <c r="H93" s="713"/>
      <c r="I93" s="713"/>
      <c r="J93" s="713"/>
      <c r="K93" s="713"/>
      <c r="L93" s="714"/>
      <c r="M93" s="715"/>
      <c r="N93" s="2143"/>
      <c r="O93" s="2143"/>
      <c r="P93" s="2144"/>
      <c r="Q93" s="2145"/>
      <c r="R93" s="2146"/>
      <c r="S93" s="2146"/>
      <c r="T93" s="2146"/>
      <c r="U93" s="2146"/>
      <c r="V93" s="2146"/>
      <c r="W93" s="2146"/>
      <c r="X93" s="2146"/>
      <c r="Y93" s="2146"/>
      <c r="Z93" s="2146"/>
      <c r="AA93" s="2146"/>
      <c r="AB93" s="2146"/>
      <c r="AC93" s="2146"/>
    </row>
    <row r="94" spans="1:29" s="1325" customFormat="1" ht="15.75" thickBot="1">
      <c r="A94" s="687"/>
      <c r="B94" s="678"/>
      <c r="C94" s="679">
        <v>100</v>
      </c>
      <c r="D94" s="679">
        <f>C94-$K25</f>
        <v>100</v>
      </c>
      <c r="E94" s="679">
        <f>D94-$K25</f>
        <v>100</v>
      </c>
      <c r="F94" s="679">
        <f>E94-$K25</f>
        <v>100</v>
      </c>
      <c r="G94" s="679">
        <f>F94-$K25</f>
        <v>100</v>
      </c>
      <c r="H94" s="716"/>
      <c r="I94" s="716"/>
      <c r="J94" s="716"/>
      <c r="K94" s="716"/>
      <c r="L94" s="716"/>
      <c r="M94" s="717"/>
      <c r="N94" s="2143"/>
      <c r="O94" s="2143"/>
      <c r="P94" s="2144"/>
      <c r="Q94" s="2145"/>
      <c r="R94" s="2146"/>
      <c r="S94" s="2146"/>
      <c r="T94" s="2146"/>
      <c r="U94" s="2146"/>
      <c r="V94" s="2146"/>
      <c r="W94" s="2146"/>
      <c r="X94" s="2146"/>
      <c r="Y94" s="2146"/>
      <c r="Z94" s="2146"/>
      <c r="AA94" s="2146"/>
      <c r="AB94" s="2146"/>
      <c r="AC94" s="2146"/>
    </row>
    <row r="95" spans="1:29" s="1325" customFormat="1" ht="15.75" thickTop="1">
      <c r="A95" s="687"/>
      <c r="B95" s="2536" t="s">
        <v>2525</v>
      </c>
      <c r="C95" s="2537" t="s">
        <v>2526</v>
      </c>
      <c r="D95" s="2537" t="s">
        <v>2527</v>
      </c>
      <c r="E95" s="2537" t="s">
        <v>2528</v>
      </c>
      <c r="F95" s="2537" t="s">
        <v>2529</v>
      </c>
      <c r="G95" s="2537" t="s">
        <v>2530</v>
      </c>
      <c r="H95" s="713"/>
      <c r="I95" s="713"/>
      <c r="J95" s="713"/>
      <c r="K95" s="713"/>
      <c r="L95" s="713"/>
      <c r="M95" s="715"/>
      <c r="N95" s="2143"/>
      <c r="O95" s="2143"/>
      <c r="P95" s="2144"/>
      <c r="Q95" s="2145"/>
      <c r="R95" s="2146"/>
      <c r="S95" s="2146"/>
      <c r="T95" s="2146"/>
      <c r="U95" s="2146"/>
      <c r="V95" s="2146"/>
      <c r="W95" s="2146"/>
      <c r="X95" s="2146"/>
      <c r="Y95" s="2146"/>
      <c r="Z95" s="2146"/>
      <c r="AA95" s="2146"/>
      <c r="AB95" s="2146"/>
      <c r="AC95" s="2146"/>
    </row>
    <row r="96" spans="1:29" s="1325" customFormat="1" ht="15.75" thickBot="1">
      <c r="A96" s="687"/>
      <c r="B96" s="681"/>
      <c r="C96" s="679">
        <v>100</v>
      </c>
      <c r="D96" s="679">
        <f>C96-$K27</f>
        <v>100</v>
      </c>
      <c r="E96" s="679">
        <f>D96-$K27</f>
        <v>100</v>
      </c>
      <c r="F96" s="679">
        <f>E96-$K27</f>
        <v>100</v>
      </c>
      <c r="G96" s="679">
        <f>F96-$K27</f>
        <v>100</v>
      </c>
      <c r="H96" s="683"/>
      <c r="I96" s="683"/>
      <c r="J96" s="683"/>
      <c r="K96" s="683"/>
      <c r="L96" s="683"/>
      <c r="M96" s="2529"/>
      <c r="N96" s="2143"/>
      <c r="O96" s="2143"/>
      <c r="P96" s="2144"/>
      <c r="Q96" s="2145"/>
      <c r="R96" s="2146"/>
      <c r="S96" s="2146"/>
      <c r="T96" s="2146"/>
      <c r="U96" s="2146"/>
      <c r="V96" s="2146"/>
      <c r="W96" s="2146"/>
      <c r="X96" s="2146"/>
      <c r="Y96" s="2146"/>
      <c r="Z96" s="2146"/>
      <c r="AA96" s="2146"/>
      <c r="AB96" s="2146"/>
      <c r="AC96" s="2146"/>
    </row>
    <row r="97" spans="1:29" ht="15.75" thickTop="1">
      <c r="A97" s="669"/>
      <c r="B97" s="673" t="str">
        <f>B29</f>
        <v>临街状况</v>
      </c>
      <c r="C97" s="674" t="s">
        <v>588</v>
      </c>
      <c r="D97" s="674" t="s">
        <v>589</v>
      </c>
      <c r="E97" s="674" t="s">
        <v>590</v>
      </c>
      <c r="F97" s="674" t="s">
        <v>591</v>
      </c>
      <c r="G97" s="674"/>
      <c r="H97" s="674"/>
      <c r="I97" s="674"/>
      <c r="J97" s="674"/>
      <c r="K97" s="675"/>
      <c r="L97" s="676"/>
      <c r="M97" s="677"/>
      <c r="N97" s="2140"/>
      <c r="O97" s="2140"/>
      <c r="P97" s="2141"/>
      <c r="Q97" s="2134"/>
      <c r="R97" s="2121"/>
      <c r="S97" s="2121"/>
      <c r="T97" s="2121"/>
      <c r="U97" s="2121"/>
      <c r="V97" s="2121"/>
      <c r="W97" s="2121"/>
      <c r="X97" s="2121"/>
      <c r="Y97" s="2121"/>
      <c r="Z97" s="2121"/>
      <c r="AA97" s="2121"/>
      <c r="AB97" s="2121"/>
      <c r="AC97" s="212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2"/>
      <c r="O98" s="2142"/>
      <c r="P98" s="2141"/>
      <c r="Q98" s="2134"/>
      <c r="R98" s="2121"/>
      <c r="S98" s="2121"/>
      <c r="T98" s="2121"/>
      <c r="U98" s="2121"/>
      <c r="V98" s="2121"/>
      <c r="W98" s="2121"/>
      <c r="X98" s="2121"/>
      <c r="Y98" s="2121"/>
      <c r="Z98" s="2121"/>
      <c r="AA98" s="2121"/>
      <c r="AB98" s="2121"/>
      <c r="AC98" s="2121"/>
    </row>
    <row r="99" spans="1:29" ht="27.75" thickTop="1">
      <c r="A99" s="669"/>
      <c r="B99" s="673" t="s">
        <v>547</v>
      </c>
      <c r="C99" s="688"/>
      <c r="D99" s="688"/>
      <c r="E99" s="688"/>
      <c r="F99" s="688"/>
      <c r="G99" s="688"/>
      <c r="H99" s="718"/>
      <c r="I99" s="718"/>
      <c r="J99" s="718"/>
      <c r="K99" s="719"/>
      <c r="L99" s="720"/>
      <c r="M99" s="721"/>
      <c r="N99" s="2140"/>
      <c r="O99" s="2140"/>
      <c r="P99" s="2141"/>
      <c r="Q99" s="2134"/>
      <c r="R99" s="2121"/>
      <c r="S99" s="2121"/>
      <c r="T99" s="2121"/>
      <c r="U99" s="2121"/>
      <c r="V99" s="2121"/>
      <c r="W99" s="2121"/>
      <c r="X99" s="2121"/>
      <c r="Y99" s="2121"/>
      <c r="Z99" s="2121"/>
      <c r="AA99" s="2121"/>
      <c r="AB99" s="2121"/>
      <c r="AC99" s="212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2"/>
      <c r="O100" s="2142"/>
      <c r="P100" s="2141"/>
      <c r="Q100" s="2134"/>
      <c r="R100" s="2121"/>
      <c r="S100" s="2121"/>
      <c r="T100" s="2121"/>
      <c r="U100" s="2121"/>
      <c r="V100" s="2121"/>
      <c r="W100" s="2121"/>
      <c r="X100" s="2121"/>
      <c r="Y100" s="2121"/>
      <c r="Z100" s="2121"/>
      <c r="AA100" s="2121"/>
      <c r="AB100" s="2121"/>
      <c r="AC100" s="2121"/>
    </row>
    <row r="101" spans="1:29" ht="15.75" thickTop="1">
      <c r="A101" s="669"/>
      <c r="B101" s="673" t="s">
        <v>548</v>
      </c>
      <c r="C101" s="718"/>
      <c r="D101" s="718"/>
      <c r="E101" s="718"/>
      <c r="F101" s="718"/>
      <c r="G101" s="718"/>
      <c r="H101" s="718"/>
      <c r="I101" s="718"/>
      <c r="J101" s="718"/>
      <c r="K101" s="719"/>
      <c r="L101" s="720"/>
      <c r="M101" s="721"/>
      <c r="N101" s="2140"/>
      <c r="O101" s="2140"/>
      <c r="P101" s="2141"/>
      <c r="Q101" s="2134"/>
      <c r="R101" s="2121"/>
      <c r="S101" s="2121"/>
      <c r="T101" s="2121"/>
      <c r="U101" s="2121"/>
      <c r="V101" s="2121"/>
      <c r="W101" s="2121"/>
      <c r="X101" s="2121"/>
      <c r="Y101" s="2121"/>
      <c r="Z101" s="2121"/>
      <c r="AA101" s="2121"/>
      <c r="AB101" s="2121"/>
      <c r="AC101" s="212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2"/>
      <c r="O102" s="2142"/>
      <c r="P102" s="2141"/>
      <c r="Q102" s="2134"/>
      <c r="R102" s="2121"/>
      <c r="S102" s="2121"/>
      <c r="T102" s="2121"/>
      <c r="U102" s="2121"/>
      <c r="V102" s="2121"/>
      <c r="W102" s="2121"/>
      <c r="X102" s="2121"/>
      <c r="Y102" s="2121"/>
      <c r="Z102" s="2121"/>
      <c r="AA102" s="2121"/>
      <c r="AB102" s="2121"/>
      <c r="AC102" s="2121"/>
    </row>
    <row r="103" spans="1:29" ht="15.75" thickTop="1">
      <c r="A103" s="669"/>
      <c r="B103" s="681">
        <f>B33</f>
        <v>111</v>
      </c>
      <c r="C103" s="688"/>
      <c r="D103" s="688"/>
      <c r="E103" s="688"/>
      <c r="F103" s="688"/>
      <c r="G103" s="722"/>
      <c r="H103" s="722"/>
      <c r="I103" s="722"/>
      <c r="J103" s="722"/>
      <c r="K103" s="723"/>
      <c r="L103" s="724"/>
      <c r="M103" s="725"/>
      <c r="N103" s="2140"/>
      <c r="O103" s="2140"/>
      <c r="P103" s="2141"/>
      <c r="Q103" s="2134"/>
      <c r="R103" s="2121"/>
      <c r="S103" s="2121"/>
      <c r="T103" s="2121"/>
      <c r="U103" s="2121"/>
      <c r="V103" s="2121"/>
      <c r="W103" s="2121"/>
      <c r="X103" s="2121"/>
      <c r="Y103" s="2121"/>
      <c r="Z103" s="2121"/>
      <c r="AA103" s="2121"/>
      <c r="AB103" s="2121"/>
      <c r="AC103" s="2121"/>
    </row>
    <row r="104" spans="1:29" ht="15.75" thickBot="1">
      <c r="A104" s="669"/>
      <c r="B104" s="699"/>
      <c r="C104" s="692"/>
      <c r="D104" s="671"/>
      <c r="E104" s="671"/>
      <c r="F104" s="671"/>
      <c r="G104" s="726"/>
      <c r="H104" s="726"/>
      <c r="I104" s="726"/>
      <c r="J104" s="726"/>
      <c r="K104" s="726"/>
      <c r="L104" s="726"/>
      <c r="M104" s="727"/>
      <c r="N104" s="2142"/>
      <c r="O104" s="2142"/>
      <c r="P104" s="2141"/>
      <c r="Q104" s="2134"/>
      <c r="R104" s="2121"/>
      <c r="S104" s="2121"/>
      <c r="T104" s="2121"/>
      <c r="U104" s="2121"/>
      <c r="V104" s="2121"/>
      <c r="W104" s="2121"/>
      <c r="X104" s="2121"/>
      <c r="Y104" s="2121"/>
      <c r="Z104" s="2121"/>
      <c r="AA104" s="2121"/>
      <c r="AB104" s="2121"/>
      <c r="AC104" s="2121"/>
    </row>
    <row r="105" spans="1:29" ht="15" thickTop="1">
      <c r="A105" s="587"/>
      <c r="B105" s="673">
        <f>B34</f>
        <v>111</v>
      </c>
      <c r="C105" s="688"/>
      <c r="D105" s="688"/>
      <c r="E105" s="688"/>
      <c r="F105" s="688"/>
      <c r="G105" s="718"/>
      <c r="H105" s="718"/>
      <c r="I105" s="718"/>
      <c r="J105" s="718"/>
      <c r="K105" s="719"/>
      <c r="L105" s="720"/>
      <c r="M105" s="721"/>
      <c r="N105" s="2140"/>
      <c r="O105" s="2140"/>
      <c r="P105" s="2141"/>
      <c r="Q105" s="2134"/>
      <c r="R105" s="2121"/>
      <c r="S105" s="2121"/>
      <c r="T105" s="2121"/>
      <c r="U105" s="2121"/>
      <c r="V105" s="2121"/>
      <c r="W105" s="2121"/>
      <c r="X105" s="2121"/>
      <c r="Y105" s="2121"/>
      <c r="Z105" s="2121"/>
      <c r="AA105" s="2121"/>
      <c r="AB105" s="2121"/>
      <c r="AC105" s="2121"/>
    </row>
    <row r="106" spans="1:29" ht="15.75" thickBot="1">
      <c r="A106" s="669"/>
      <c r="B106" s="678"/>
      <c r="C106" s="692"/>
      <c r="D106" s="692"/>
      <c r="E106" s="692"/>
      <c r="F106" s="692"/>
      <c r="G106" s="671"/>
      <c r="H106" s="671"/>
      <c r="I106" s="671"/>
      <c r="J106" s="671"/>
      <c r="K106" s="671"/>
      <c r="L106" s="671"/>
      <c r="M106" s="672"/>
      <c r="N106" s="2142"/>
      <c r="O106" s="2142"/>
      <c r="P106" s="2141"/>
      <c r="Q106" s="2134"/>
      <c r="R106" s="2121"/>
      <c r="S106" s="2121"/>
      <c r="T106" s="2121"/>
      <c r="U106" s="2121"/>
      <c r="V106" s="2121"/>
      <c r="W106" s="2121"/>
      <c r="X106" s="2121"/>
      <c r="Y106" s="2121"/>
      <c r="Z106" s="2121"/>
      <c r="AA106" s="2121"/>
      <c r="AB106" s="2121"/>
      <c r="AC106" s="2121"/>
    </row>
    <row r="107" spans="1:29" s="1325" customFormat="1" ht="15" thickTop="1">
      <c r="A107" s="728"/>
      <c r="B107" s="729">
        <f>B35</f>
        <v>111</v>
      </c>
      <c r="C107" s="661"/>
      <c r="D107" s="661"/>
      <c r="E107" s="661"/>
      <c r="F107" s="661"/>
      <c r="G107" s="730"/>
      <c r="H107" s="730"/>
      <c r="I107" s="730"/>
      <c r="J107" s="731"/>
      <c r="K107" s="731"/>
      <c r="L107" s="732"/>
      <c r="M107" s="733"/>
      <c r="N107" s="2143"/>
      <c r="O107" s="2143"/>
      <c r="P107" s="2144"/>
      <c r="Q107" s="2145"/>
      <c r="R107" s="2146"/>
      <c r="S107" s="2146"/>
      <c r="T107" s="2146"/>
      <c r="U107" s="2146"/>
      <c r="V107" s="2146"/>
      <c r="W107" s="2146"/>
      <c r="X107" s="2146"/>
      <c r="Y107" s="2146"/>
      <c r="Z107" s="2146"/>
      <c r="AA107" s="2146"/>
      <c r="AB107" s="2146"/>
      <c r="AC107" s="2146"/>
    </row>
    <row r="108" spans="1:29" s="1325" customFormat="1" ht="15.75" thickBot="1">
      <c r="A108" s="687"/>
      <c r="B108" s="681"/>
      <c r="C108" s="700"/>
      <c r="D108" s="700"/>
      <c r="E108" s="700"/>
      <c r="F108" s="700"/>
      <c r="G108" s="592"/>
      <c r="H108" s="592"/>
      <c r="I108" s="592"/>
      <c r="J108" s="592"/>
      <c r="K108" s="592"/>
      <c r="L108" s="592"/>
      <c r="M108" s="734"/>
      <c r="N108" s="2142"/>
      <c r="O108" s="2142"/>
      <c r="P108" s="2144"/>
      <c r="Q108" s="2145"/>
      <c r="R108" s="2146"/>
      <c r="S108" s="2146"/>
      <c r="T108" s="2146"/>
      <c r="U108" s="2146"/>
      <c r="V108" s="2146"/>
      <c r="W108" s="2146"/>
      <c r="X108" s="2146"/>
      <c r="Y108" s="2146"/>
      <c r="Z108" s="2146"/>
      <c r="AA108" s="2146"/>
      <c r="AB108" s="2146"/>
      <c r="AC108" s="2146"/>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19" t="str">
        <f t="shared" si="25"/>
        <v>(含)-</v>
      </c>
      <c r="L109" s="3020" t="str">
        <f t="shared" si="25"/>
        <v>(含)-</v>
      </c>
      <c r="M109" s="3021" t="str">
        <f>M110&amp;"(含)"&amp;"-"&amp;P110</f>
        <v>(含)-</v>
      </c>
      <c r="N109" s="2140"/>
      <c r="O109" s="2140"/>
      <c r="P109" s="2141"/>
      <c r="Q109" s="2134"/>
      <c r="R109" s="2121"/>
      <c r="S109" s="2121"/>
      <c r="T109" s="2121"/>
      <c r="U109" s="2121"/>
      <c r="V109" s="2121"/>
      <c r="W109" s="2121"/>
      <c r="X109" s="2121"/>
      <c r="Y109" s="2121"/>
      <c r="Z109" s="2121"/>
      <c r="AA109" s="2121"/>
      <c r="AB109" s="2121"/>
      <c r="AC109" s="2121"/>
    </row>
    <row r="110" spans="1:29" ht="15">
      <c r="A110" s="669"/>
      <c r="B110" s="681"/>
      <c r="C110" s="730"/>
      <c r="D110" s="730"/>
      <c r="E110" s="730"/>
      <c r="F110" s="730"/>
      <c r="G110" s="730"/>
      <c r="H110" s="730"/>
      <c r="I110" s="730"/>
      <c r="J110" s="731"/>
      <c r="K110" s="731"/>
      <c r="L110" s="732"/>
      <c r="M110" s="733"/>
      <c r="N110" s="2140"/>
      <c r="O110" s="2140"/>
      <c r="P110" s="2141"/>
      <c r="Q110" s="2134"/>
      <c r="R110" s="2121"/>
      <c r="S110" s="2121"/>
      <c r="T110" s="2121"/>
      <c r="U110" s="2121"/>
      <c r="V110" s="2121"/>
      <c r="W110" s="2121"/>
      <c r="X110" s="2121"/>
      <c r="Y110" s="2121"/>
      <c r="Z110" s="2121"/>
      <c r="AA110" s="2121"/>
      <c r="AB110" s="2121"/>
      <c r="AC110" s="2121"/>
    </row>
    <row r="111" spans="1:29" ht="15.75" thickBot="1">
      <c r="A111" s="669"/>
      <c r="B111" s="678"/>
      <c r="C111" s="700"/>
      <c r="D111" s="726"/>
      <c r="E111" s="726"/>
      <c r="F111" s="726"/>
      <c r="G111" s="726"/>
      <c r="H111" s="726"/>
      <c r="I111" s="726"/>
      <c r="J111" s="726"/>
      <c r="K111" s="726"/>
      <c r="L111" s="726"/>
      <c r="M111" s="727"/>
      <c r="N111" s="2142"/>
      <c r="O111" s="2142"/>
      <c r="P111" s="2141"/>
      <c r="Q111" s="2134"/>
      <c r="R111" s="2121"/>
      <c r="S111" s="2121"/>
      <c r="T111" s="2121"/>
      <c r="U111" s="2121"/>
      <c r="V111" s="2121"/>
      <c r="W111" s="2121"/>
      <c r="X111" s="2121"/>
      <c r="Y111" s="2121"/>
      <c r="Z111" s="2121"/>
      <c r="AA111" s="2121"/>
      <c r="AB111" s="2121"/>
      <c r="AC111" s="2121"/>
    </row>
    <row r="112" spans="1:29" ht="15" thickTop="1">
      <c r="A112" s="735"/>
      <c r="B112" s="673" t="s">
        <v>593</v>
      </c>
      <c r="C112" s="718"/>
      <c r="D112" s="718"/>
      <c r="E112" s="718"/>
      <c r="F112" s="718"/>
      <c r="G112" s="718"/>
      <c r="H112" s="718"/>
      <c r="I112" s="718"/>
      <c r="J112" s="718"/>
      <c r="K112" s="719"/>
      <c r="L112" s="720"/>
      <c r="M112" s="721"/>
      <c r="N112" s="2140"/>
      <c r="O112" s="2140"/>
      <c r="P112" s="2141"/>
      <c r="Q112" s="2134"/>
      <c r="R112" s="2121"/>
      <c r="S112" s="2121"/>
      <c r="T112" s="2121"/>
      <c r="U112" s="2121"/>
      <c r="V112" s="2121"/>
      <c r="W112" s="2121"/>
      <c r="X112" s="2121"/>
      <c r="Y112" s="2121"/>
      <c r="Z112" s="2121"/>
      <c r="AA112" s="2121"/>
      <c r="AB112" s="2121"/>
      <c r="AC112" s="212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2"/>
      <c r="O113" s="2142"/>
      <c r="P113" s="2141"/>
      <c r="Q113" s="2134"/>
      <c r="R113" s="2121"/>
      <c r="S113" s="2121"/>
      <c r="T113" s="2121"/>
      <c r="U113" s="2121"/>
      <c r="V113" s="2121"/>
      <c r="W113" s="2121"/>
      <c r="X113" s="2121"/>
      <c r="Y113" s="2121"/>
      <c r="Z113" s="2121"/>
      <c r="AA113" s="2121"/>
      <c r="AB113" s="2121"/>
      <c r="AC113" s="2121"/>
    </row>
    <row r="114" spans="1:29" s="1325" customFormat="1" ht="15" thickTop="1">
      <c r="A114" s="728"/>
      <c r="B114" s="1872" t="s">
        <v>2400</v>
      </c>
      <c r="C114" s="1362"/>
      <c r="D114" s="1362"/>
      <c r="E114" s="1362"/>
      <c r="F114" s="1362"/>
      <c r="G114" s="1362"/>
      <c r="H114" s="718"/>
      <c r="I114" s="718"/>
      <c r="J114" s="718"/>
      <c r="K114" s="719"/>
      <c r="L114" s="720"/>
      <c r="M114" s="721"/>
      <c r="N114" s="2143"/>
      <c r="O114" s="2143"/>
      <c r="P114" s="2144"/>
      <c r="Q114" s="2145"/>
      <c r="R114" s="2146"/>
      <c r="S114" s="2146"/>
      <c r="T114" s="2146"/>
      <c r="U114" s="2146"/>
      <c r="V114" s="2146"/>
      <c r="W114" s="2146"/>
      <c r="X114" s="2146"/>
      <c r="Y114" s="2146"/>
      <c r="Z114" s="2146"/>
      <c r="AA114" s="2146"/>
      <c r="AB114" s="2146"/>
      <c r="AC114" s="2146"/>
    </row>
    <row r="115" spans="1:29" s="132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3"/>
      <c r="O115" s="2143"/>
      <c r="P115" s="2144"/>
      <c r="Q115" s="2145"/>
      <c r="R115" s="2146"/>
      <c r="S115" s="2146"/>
      <c r="T115" s="2146"/>
      <c r="U115" s="2146"/>
      <c r="V115" s="2146"/>
      <c r="W115" s="2146"/>
      <c r="X115" s="2146"/>
      <c r="Y115" s="2146"/>
      <c r="Z115" s="2146"/>
      <c r="AA115" s="2146"/>
      <c r="AB115" s="2146"/>
      <c r="AC115" s="2146"/>
    </row>
    <row r="116" spans="1:29" ht="15" thickTop="1">
      <c r="A116" s="735"/>
      <c r="B116" s="673" t="s">
        <v>595</v>
      </c>
      <c r="C116" s="688"/>
      <c r="D116" s="688"/>
      <c r="E116" s="718"/>
      <c r="F116" s="718"/>
      <c r="G116" s="718"/>
      <c r="H116" s="718"/>
      <c r="I116" s="718"/>
      <c r="J116" s="718"/>
      <c r="K116" s="719"/>
      <c r="L116" s="720"/>
      <c r="M116" s="721"/>
      <c r="N116" s="2140"/>
      <c r="O116" s="2140"/>
      <c r="P116" s="2141"/>
      <c r="Q116" s="2134"/>
      <c r="R116" s="2121"/>
      <c r="S116" s="2121"/>
      <c r="T116" s="2121"/>
      <c r="U116" s="2121"/>
      <c r="V116" s="2121"/>
      <c r="W116" s="2121"/>
      <c r="X116" s="2121"/>
      <c r="Y116" s="2121"/>
      <c r="Z116" s="2121"/>
      <c r="AA116" s="2121"/>
      <c r="AB116" s="2121"/>
      <c r="AC116" s="212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2"/>
      <c r="O117" s="2142"/>
      <c r="P117" s="2141"/>
      <c r="Q117" s="2134"/>
      <c r="R117" s="2121"/>
      <c r="S117" s="2121"/>
      <c r="T117" s="2121"/>
      <c r="U117" s="2121"/>
      <c r="V117" s="2121"/>
      <c r="W117" s="2121"/>
      <c r="X117" s="2121"/>
      <c r="Y117" s="2121"/>
      <c r="Z117" s="2121"/>
      <c r="AA117" s="2121"/>
      <c r="AB117" s="2121"/>
      <c r="AC117" s="2121"/>
    </row>
    <row r="118" spans="1:29" ht="15" thickTop="1">
      <c r="A118" s="735"/>
      <c r="B118" s="673">
        <f>B40</f>
        <v>111</v>
      </c>
      <c r="C118" s="688"/>
      <c r="D118" s="688"/>
      <c r="E118" s="688"/>
      <c r="F118" s="688"/>
      <c r="G118" s="688"/>
      <c r="H118" s="718"/>
      <c r="I118" s="718"/>
      <c r="J118" s="718"/>
      <c r="K118" s="719"/>
      <c r="L118" s="720"/>
      <c r="M118" s="721"/>
      <c r="N118" s="2140"/>
      <c r="O118" s="2140"/>
      <c r="P118" s="2141"/>
      <c r="Q118" s="2134"/>
      <c r="R118" s="2121"/>
      <c r="S118" s="2121"/>
      <c r="T118" s="2121"/>
      <c r="U118" s="2121"/>
      <c r="V118" s="2121"/>
      <c r="W118" s="2121"/>
      <c r="X118" s="2121"/>
      <c r="Y118" s="2121"/>
      <c r="Z118" s="2121"/>
      <c r="AA118" s="2121"/>
      <c r="AB118" s="2121"/>
      <c r="AC118" s="2121"/>
    </row>
    <row r="119" spans="1:29" ht="15.75" thickBot="1">
      <c r="A119" s="669"/>
      <c r="B119" s="678"/>
      <c r="C119" s="692"/>
      <c r="D119" s="671"/>
      <c r="E119" s="671"/>
      <c r="F119" s="671"/>
      <c r="G119" s="671"/>
      <c r="H119" s="671"/>
      <c r="I119" s="671"/>
      <c r="J119" s="671"/>
      <c r="K119" s="671"/>
      <c r="L119" s="671"/>
      <c r="M119" s="672"/>
      <c r="N119" s="2142"/>
      <c r="O119" s="2142"/>
      <c r="P119" s="2141"/>
      <c r="Q119" s="2134"/>
      <c r="R119" s="2121"/>
      <c r="S119" s="2121"/>
      <c r="T119" s="2121"/>
      <c r="U119" s="2121"/>
      <c r="V119" s="2121"/>
      <c r="W119" s="2121"/>
      <c r="X119" s="2121"/>
      <c r="Y119" s="2121"/>
      <c r="Z119" s="2121"/>
      <c r="AA119" s="2121"/>
      <c r="AB119" s="2121"/>
      <c r="AC119" s="2121"/>
    </row>
    <row r="120" spans="1:29" ht="15" thickTop="1">
      <c r="A120" s="735"/>
      <c r="B120" s="673">
        <f>B41</f>
        <v>111</v>
      </c>
      <c r="C120" s="688"/>
      <c r="D120" s="688"/>
      <c r="E120" s="688"/>
      <c r="F120" s="688"/>
      <c r="G120" s="718"/>
      <c r="H120" s="718"/>
      <c r="I120" s="718"/>
      <c r="J120" s="718"/>
      <c r="K120" s="719"/>
      <c r="L120" s="720"/>
      <c r="M120" s="721"/>
      <c r="N120" s="2140"/>
      <c r="O120" s="2140"/>
      <c r="P120" s="2141"/>
      <c r="Q120" s="2134"/>
      <c r="R120" s="2121"/>
      <c r="S120" s="2121"/>
      <c r="T120" s="2121"/>
      <c r="U120" s="2121"/>
      <c r="V120" s="2121"/>
      <c r="W120" s="2121"/>
      <c r="X120" s="2121"/>
      <c r="Y120" s="2121"/>
      <c r="Z120" s="2121"/>
      <c r="AA120" s="2121"/>
      <c r="AB120" s="2121"/>
      <c r="AC120" s="2121"/>
    </row>
    <row r="121" spans="1:29" ht="15.75" thickBot="1">
      <c r="A121" s="669"/>
      <c r="B121" s="678"/>
      <c r="C121" s="692"/>
      <c r="D121" s="692"/>
      <c r="E121" s="692"/>
      <c r="F121" s="692"/>
      <c r="G121" s="671"/>
      <c r="H121" s="671"/>
      <c r="I121" s="671"/>
      <c r="J121" s="671"/>
      <c r="K121" s="671"/>
      <c r="L121" s="671"/>
      <c r="M121" s="672"/>
      <c r="N121" s="2142"/>
      <c r="O121" s="2142"/>
      <c r="P121" s="2141"/>
      <c r="Q121" s="2134"/>
      <c r="R121" s="2121"/>
      <c r="S121" s="2121"/>
      <c r="T121" s="2121"/>
      <c r="U121" s="2121"/>
      <c r="V121" s="2121"/>
      <c r="W121" s="2121"/>
      <c r="X121" s="2121"/>
      <c r="Y121" s="2121"/>
      <c r="Z121" s="2121"/>
      <c r="AA121" s="2121"/>
      <c r="AB121" s="2121"/>
      <c r="AC121" s="2121"/>
    </row>
    <row r="122" spans="1:29" s="1325" customFormat="1" ht="15" thickTop="1">
      <c r="A122" s="728"/>
      <c r="B122" s="673">
        <f>B42</f>
        <v>111</v>
      </c>
      <c r="C122" s="661"/>
      <c r="D122" s="661"/>
      <c r="E122" s="661"/>
      <c r="F122" s="661"/>
      <c r="G122" s="689"/>
      <c r="H122" s="689"/>
      <c r="I122" s="689"/>
      <c r="J122" s="689"/>
      <c r="K122" s="689"/>
      <c r="L122" s="690"/>
      <c r="M122" s="691"/>
      <c r="N122" s="2143"/>
      <c r="O122" s="2143"/>
      <c r="P122" s="2144"/>
      <c r="Q122" s="2145"/>
      <c r="R122" s="2146"/>
      <c r="S122" s="2146"/>
      <c r="T122" s="2146"/>
      <c r="U122" s="2146"/>
      <c r="V122" s="2146"/>
      <c r="W122" s="2146"/>
      <c r="X122" s="2146"/>
      <c r="Y122" s="2146"/>
      <c r="Z122" s="2146"/>
      <c r="AA122" s="2146"/>
      <c r="AB122" s="2146"/>
      <c r="AC122" s="2146"/>
    </row>
    <row r="123" spans="1:29" s="1325" customFormat="1" ht="15.75" thickBot="1">
      <c r="A123" s="698"/>
      <c r="B123" s="736"/>
      <c r="C123" s="700"/>
      <c r="D123" s="700"/>
      <c r="E123" s="700"/>
      <c r="F123" s="700"/>
      <c r="G123" s="726"/>
      <c r="H123" s="726"/>
      <c r="I123" s="726"/>
      <c r="J123" s="726"/>
      <c r="K123" s="726"/>
      <c r="L123" s="726"/>
      <c r="M123" s="727"/>
      <c r="N123" s="2143"/>
      <c r="O123" s="2143"/>
      <c r="P123" s="2144"/>
      <c r="Q123" s="2145"/>
      <c r="R123" s="2146"/>
      <c r="S123" s="2146"/>
      <c r="T123" s="2146"/>
      <c r="U123" s="2146"/>
      <c r="V123" s="2146"/>
      <c r="W123" s="2146"/>
      <c r="X123" s="2146"/>
      <c r="Y123" s="2146"/>
      <c r="Z123" s="2146"/>
      <c r="AA123" s="2146"/>
      <c r="AB123" s="2146"/>
      <c r="AC123" s="2146"/>
    </row>
    <row r="124" spans="1:29">
      <c r="A124" s="2155"/>
      <c r="B124" s="2155"/>
      <c r="C124" s="2155"/>
      <c r="D124" s="2155"/>
      <c r="E124" s="2155"/>
      <c r="F124" s="2155"/>
      <c r="G124" s="2155"/>
      <c r="H124" s="2155"/>
      <c r="I124" s="2155"/>
      <c r="J124" s="2155"/>
      <c r="K124" s="2156"/>
      <c r="L124" s="2157"/>
      <c r="M124" s="2155"/>
      <c r="N124" s="2155"/>
      <c r="O124" s="2155"/>
      <c r="P124" s="2155"/>
      <c r="Q124" s="2155"/>
      <c r="R124" s="2155"/>
      <c r="S124" s="2155"/>
      <c r="T124" s="2155"/>
      <c r="U124" s="2155"/>
      <c r="V124" s="2155"/>
      <c r="W124" s="2155"/>
      <c r="X124" s="2155"/>
      <c r="Y124" s="2155"/>
      <c r="Z124" s="2155"/>
      <c r="AA124" s="2155"/>
      <c r="AB124" s="2155"/>
      <c r="AC124" s="2155"/>
    </row>
    <row r="125" spans="1:29">
      <c r="A125" s="2155"/>
      <c r="B125" s="2155"/>
      <c r="C125" s="2155"/>
      <c r="D125" s="2155"/>
      <c r="E125" s="2155"/>
      <c r="F125" s="2155"/>
      <c r="G125" s="2155"/>
      <c r="H125" s="2155"/>
      <c r="I125" s="2155"/>
      <c r="J125" s="2155"/>
      <c r="K125" s="2156"/>
      <c r="L125" s="2157"/>
      <c r="M125" s="2155"/>
      <c r="N125" s="2155"/>
      <c r="O125" s="2155"/>
      <c r="P125" s="2155"/>
      <c r="Q125" s="2155"/>
      <c r="R125" s="2155"/>
      <c r="S125" s="2155"/>
      <c r="T125" s="2155"/>
      <c r="U125" s="2155"/>
      <c r="V125" s="2155"/>
      <c r="W125" s="2155"/>
      <c r="X125" s="2155"/>
      <c r="Y125" s="2155"/>
      <c r="Z125" s="2155"/>
      <c r="AA125" s="2155"/>
      <c r="AB125" s="2155"/>
      <c r="AC125" s="2155"/>
    </row>
    <row r="126" spans="1:29">
      <c r="A126" s="2155"/>
      <c r="B126" s="2155"/>
      <c r="C126" s="2155"/>
      <c r="D126" s="2155"/>
      <c r="E126" s="2155"/>
      <c r="F126" s="2155"/>
      <c r="G126" s="2155"/>
      <c r="H126" s="2155"/>
      <c r="I126" s="2155"/>
      <c r="J126" s="2155"/>
      <c r="K126" s="2156"/>
      <c r="L126" s="2157"/>
      <c r="M126" s="2155"/>
      <c r="N126" s="2155"/>
      <c r="O126" s="2155"/>
      <c r="P126" s="2155"/>
      <c r="Q126" s="2155"/>
      <c r="R126" s="2155"/>
      <c r="S126" s="2155"/>
      <c r="T126" s="2155"/>
      <c r="U126" s="2155"/>
      <c r="V126" s="2155"/>
      <c r="W126" s="2155"/>
      <c r="X126" s="2155"/>
      <c r="Y126" s="2155"/>
      <c r="Z126" s="2155"/>
      <c r="AA126" s="2155"/>
      <c r="AB126" s="2155"/>
      <c r="AC126" s="2155"/>
    </row>
    <row r="127" spans="1:29">
      <c r="A127" s="2155"/>
      <c r="B127" s="2155"/>
      <c r="C127" s="2155"/>
      <c r="D127" s="2155"/>
      <c r="E127" s="2155"/>
      <c r="F127" s="2155"/>
      <c r="G127" s="2155"/>
      <c r="H127" s="2155"/>
      <c r="I127" s="2155"/>
      <c r="J127" s="2155"/>
      <c r="K127" s="2156"/>
      <c r="L127" s="2157"/>
      <c r="M127" s="2155"/>
      <c r="N127" s="2155"/>
      <c r="O127" s="2155"/>
      <c r="P127" s="2155"/>
      <c r="Q127" s="2155"/>
      <c r="R127" s="2155"/>
      <c r="S127" s="2155"/>
      <c r="T127" s="2155"/>
      <c r="U127" s="2155"/>
      <c r="V127" s="2155"/>
      <c r="W127" s="2155"/>
      <c r="X127" s="2155"/>
      <c r="Y127" s="2155"/>
      <c r="Z127" s="2155"/>
      <c r="AA127" s="2155"/>
      <c r="AB127" s="2155"/>
      <c r="AC127" s="2155"/>
    </row>
    <row r="128" spans="1:29">
      <c r="A128" s="2155"/>
      <c r="B128" s="2155"/>
      <c r="C128" s="2155"/>
      <c r="D128" s="2155"/>
      <c r="E128" s="2155"/>
      <c r="F128" s="2155"/>
      <c r="G128" s="2155"/>
      <c r="H128" s="2155"/>
      <c r="I128" s="2155"/>
      <c r="J128" s="2155"/>
      <c r="K128" s="2156"/>
      <c r="L128" s="2157"/>
      <c r="M128" s="2155"/>
      <c r="N128" s="2155"/>
      <c r="O128" s="2155"/>
      <c r="P128" s="2155"/>
      <c r="Q128" s="2155"/>
      <c r="R128" s="2155"/>
      <c r="S128" s="2155"/>
      <c r="T128" s="2155"/>
      <c r="U128" s="2155"/>
      <c r="V128" s="2155"/>
      <c r="W128" s="2155"/>
      <c r="X128" s="2155"/>
      <c r="Y128" s="2155"/>
      <c r="Z128" s="2155"/>
      <c r="AA128" s="2155"/>
      <c r="AB128" s="2155"/>
      <c r="AC128" s="2155"/>
    </row>
    <row r="129" spans="1:29">
      <c r="A129" s="2155"/>
      <c r="B129" s="2155"/>
      <c r="C129" s="2155"/>
      <c r="D129" s="2155"/>
      <c r="E129" s="2155"/>
      <c r="F129" s="2155"/>
      <c r="G129" s="2155"/>
      <c r="H129" s="2155"/>
      <c r="I129" s="2155"/>
      <c r="J129" s="2155"/>
      <c r="K129" s="2156"/>
      <c r="L129" s="2157"/>
      <c r="M129" s="2155"/>
      <c r="N129" s="2155"/>
      <c r="O129" s="2155"/>
      <c r="P129" s="2155"/>
      <c r="Q129" s="2155"/>
      <c r="R129" s="2155"/>
      <c r="S129" s="2155"/>
      <c r="T129" s="2155"/>
      <c r="U129" s="2155"/>
      <c r="V129" s="2155"/>
      <c r="W129" s="2155"/>
      <c r="X129" s="2155"/>
      <c r="Y129" s="2155"/>
      <c r="Z129" s="2155"/>
      <c r="AA129" s="2155"/>
      <c r="AB129" s="2155"/>
      <c r="AC129" s="2155"/>
    </row>
    <row r="130" spans="1:29">
      <c r="A130" s="2155"/>
      <c r="B130" s="2155"/>
      <c r="C130" s="2155"/>
      <c r="D130" s="2155"/>
      <c r="E130" s="2155"/>
      <c r="F130" s="2155"/>
      <c r="G130" s="2155"/>
      <c r="H130" s="2155"/>
      <c r="I130" s="2155"/>
      <c r="J130" s="2155"/>
      <c r="K130" s="2156"/>
      <c r="L130" s="2157"/>
      <c r="M130" s="2155"/>
      <c r="N130" s="2155"/>
      <c r="O130" s="2155"/>
      <c r="P130" s="2155"/>
      <c r="Q130" s="2155"/>
      <c r="R130" s="2155"/>
      <c r="S130" s="2155"/>
      <c r="T130" s="2155"/>
      <c r="U130" s="2155"/>
      <c r="V130" s="2155"/>
      <c r="W130" s="2155"/>
      <c r="X130" s="2155"/>
      <c r="Y130" s="2155"/>
      <c r="Z130" s="2155"/>
      <c r="AA130" s="2155"/>
      <c r="AB130" s="2155"/>
      <c r="AC130" s="2155"/>
    </row>
    <row r="131" spans="1:29">
      <c r="A131" s="2155"/>
      <c r="B131" s="2155"/>
      <c r="C131" s="2155"/>
      <c r="D131" s="2155"/>
      <c r="E131" s="2155"/>
      <c r="F131" s="2155"/>
      <c r="G131" s="2155"/>
      <c r="H131" s="2155"/>
      <c r="I131" s="2155"/>
      <c r="J131" s="2155"/>
      <c r="K131" s="2156"/>
      <c r="L131" s="2157"/>
      <c r="M131" s="2155"/>
      <c r="N131" s="2155"/>
      <c r="O131" s="2155"/>
      <c r="P131" s="2155"/>
      <c r="Q131" s="2155"/>
      <c r="R131" s="2155"/>
      <c r="S131" s="2155"/>
      <c r="T131" s="2155"/>
      <c r="U131" s="2155"/>
      <c r="V131" s="2155"/>
      <c r="W131" s="2155"/>
      <c r="X131" s="2155"/>
      <c r="Y131" s="2155"/>
      <c r="Z131" s="2155"/>
      <c r="AA131" s="2155"/>
      <c r="AB131" s="2155"/>
      <c r="AC131" s="2155"/>
    </row>
    <row r="132" spans="1:29">
      <c r="A132" s="2155"/>
      <c r="B132" s="2155"/>
      <c r="C132" s="2155"/>
      <c r="D132" s="2155"/>
      <c r="E132" s="2155"/>
      <c r="F132" s="2155"/>
      <c r="G132" s="2155"/>
      <c r="H132" s="2155"/>
      <c r="I132" s="2155"/>
      <c r="J132" s="2155"/>
      <c r="K132" s="2156"/>
      <c r="L132" s="2157"/>
      <c r="M132" s="2155"/>
      <c r="N132" s="2155"/>
      <c r="O132" s="2155"/>
      <c r="P132" s="2155"/>
      <c r="Q132" s="2155"/>
      <c r="R132" s="2155"/>
      <c r="S132" s="2155"/>
      <c r="T132" s="2155"/>
      <c r="U132" s="2155"/>
      <c r="V132" s="2155"/>
      <c r="W132" s="2155"/>
      <c r="X132" s="2155"/>
      <c r="Y132" s="2155"/>
      <c r="Z132" s="2155"/>
      <c r="AA132" s="2155"/>
      <c r="AB132" s="2155"/>
      <c r="AC132" s="2155"/>
    </row>
    <row r="133" spans="1:29">
      <c r="A133" s="2155"/>
      <c r="B133" s="2155"/>
      <c r="C133" s="2155"/>
      <c r="D133" s="2155"/>
      <c r="E133" s="2155"/>
      <c r="F133" s="2155"/>
      <c r="G133" s="2155"/>
      <c r="H133" s="2155"/>
      <c r="I133" s="2155"/>
      <c r="J133" s="2155"/>
      <c r="K133" s="2156"/>
      <c r="L133" s="2157"/>
      <c r="M133" s="2155"/>
      <c r="N133" s="2155"/>
      <c r="O133" s="2155"/>
      <c r="P133" s="2155"/>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55"/>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c r="A256" s="2155"/>
      <c r="B256" s="2155"/>
      <c r="C256" s="2155"/>
      <c r="D256" s="2155"/>
      <c r="E256" s="2155"/>
      <c r="F256" s="2155"/>
      <c r="G256" s="2155"/>
      <c r="H256" s="2155"/>
      <c r="I256" s="2155"/>
      <c r="J256" s="2155"/>
      <c r="K256" s="2156"/>
      <c r="L256" s="2157"/>
      <c r="M256" s="2155"/>
      <c r="N256" s="2155"/>
      <c r="O256" s="2155"/>
      <c r="P256" s="2155"/>
      <c r="Q256" s="2155"/>
      <c r="R256" s="2155"/>
      <c r="S256" s="2155"/>
      <c r="T256" s="2155"/>
      <c r="U256" s="2155"/>
      <c r="V256" s="2155"/>
      <c r="W256" s="2155"/>
      <c r="X256" s="2155"/>
      <c r="Y256" s="2155"/>
      <c r="Z256" s="2155"/>
      <c r="AA256" s="2155"/>
      <c r="AB256" s="2155"/>
      <c r="AC256" s="2155"/>
    </row>
    <row r="257" spans="1:29">
      <c r="A257" s="2155"/>
      <c r="B257" s="2155"/>
      <c r="C257" s="2155"/>
      <c r="D257" s="2155"/>
      <c r="E257" s="2155"/>
      <c r="F257" s="2155"/>
      <c r="G257" s="2155"/>
      <c r="H257" s="2155"/>
      <c r="I257" s="2155"/>
      <c r="J257" s="2155"/>
      <c r="K257" s="2156"/>
      <c r="L257" s="2157"/>
      <c r="M257" s="2155"/>
      <c r="N257" s="2155"/>
      <c r="O257" s="2155"/>
      <c r="P257" s="2155"/>
      <c r="Q257" s="2155"/>
      <c r="R257" s="2155"/>
      <c r="S257" s="2155"/>
      <c r="T257" s="2155"/>
      <c r="U257" s="2155"/>
      <c r="V257" s="2155"/>
      <c r="W257" s="2155"/>
      <c r="X257" s="2155"/>
      <c r="Y257" s="2155"/>
      <c r="Z257" s="2155"/>
      <c r="AA257" s="2155"/>
      <c r="AB257" s="2155"/>
      <c r="AC257" s="2155"/>
    </row>
    <row r="258" spans="1:29">
      <c r="A258" s="2155"/>
      <c r="B258" s="2155"/>
      <c r="C258" s="2155"/>
      <c r="D258" s="2155"/>
      <c r="E258" s="2155"/>
      <c r="F258" s="2155"/>
      <c r="G258" s="2155"/>
      <c r="H258" s="2155"/>
      <c r="I258" s="2155"/>
      <c r="J258" s="2155"/>
      <c r="K258" s="2156"/>
      <c r="L258" s="2157"/>
      <c r="M258" s="2155"/>
      <c r="N258" s="2155"/>
      <c r="O258" s="2155"/>
      <c r="P258" s="2155"/>
      <c r="Q258" s="2155"/>
      <c r="R258" s="2155"/>
      <c r="S258" s="2155"/>
      <c r="T258" s="2155"/>
      <c r="U258" s="2155"/>
      <c r="V258" s="2155"/>
      <c r="W258" s="2155"/>
      <c r="X258" s="2155"/>
      <c r="Y258" s="2155"/>
      <c r="Z258" s="2155"/>
      <c r="AA258" s="2155"/>
      <c r="AB258" s="2155"/>
      <c r="AC258" s="2155"/>
    </row>
    <row r="259" spans="1:29">
      <c r="A259" s="2155"/>
      <c r="B259" s="2155"/>
      <c r="C259" s="2155"/>
      <c r="D259" s="2155"/>
      <c r="E259" s="2155"/>
      <c r="F259" s="2155"/>
      <c r="G259" s="2155"/>
      <c r="H259" s="2155"/>
      <c r="I259" s="2155"/>
      <c r="J259" s="2155"/>
      <c r="K259" s="2156"/>
      <c r="L259" s="2157"/>
      <c r="M259" s="2155"/>
      <c r="N259" s="2155"/>
      <c r="O259" s="2155"/>
      <c r="P259" s="2155"/>
      <c r="Q259" s="2155"/>
      <c r="R259" s="2155"/>
      <c r="S259" s="2155"/>
      <c r="T259" s="2155"/>
      <c r="U259" s="2155"/>
      <c r="V259" s="2155"/>
      <c r="W259" s="2155"/>
      <c r="X259" s="2155"/>
      <c r="Y259" s="2155"/>
      <c r="Z259" s="2155"/>
      <c r="AA259" s="2155"/>
      <c r="AB259" s="2155"/>
      <c r="AC259" s="2155"/>
    </row>
    <row r="260" spans="1:29">
      <c r="A260" s="2155"/>
      <c r="B260" s="2155"/>
      <c r="C260" s="2155"/>
      <c r="D260" s="2155"/>
      <c r="E260" s="2155"/>
      <c r="F260" s="2155"/>
      <c r="G260" s="2155"/>
      <c r="H260" s="2155"/>
      <c r="I260" s="2155"/>
      <c r="J260" s="2155"/>
      <c r="K260" s="2156"/>
      <c r="L260" s="2157"/>
      <c r="M260" s="2155"/>
      <c r="N260" s="2155"/>
      <c r="O260" s="2155"/>
      <c r="P260" s="2155"/>
      <c r="Q260" s="2155"/>
      <c r="R260" s="2155"/>
      <c r="S260" s="2155"/>
      <c r="T260" s="2155"/>
      <c r="U260" s="2155"/>
      <c r="V260" s="2155"/>
      <c r="W260" s="2155"/>
      <c r="X260" s="2155"/>
      <c r="Y260" s="2155"/>
      <c r="Z260" s="2155"/>
      <c r="AA260" s="2155"/>
      <c r="AB260" s="2155"/>
      <c r="AC260" s="2155"/>
    </row>
    <row r="261" spans="1:29">
      <c r="A261" s="2155"/>
      <c r="B261" s="2155"/>
      <c r="C261" s="2155"/>
      <c r="D261" s="2155"/>
      <c r="E261" s="2155"/>
      <c r="F261" s="2155"/>
      <c r="G261" s="2155"/>
      <c r="H261" s="2155"/>
      <c r="I261" s="2155"/>
      <c r="J261" s="2155"/>
      <c r="K261" s="2156"/>
      <c r="L261" s="2157"/>
      <c r="M261" s="2155"/>
      <c r="N261" s="2155"/>
      <c r="O261" s="2155"/>
      <c r="P261" s="2155"/>
      <c r="Q261" s="2155"/>
      <c r="R261" s="2155"/>
      <c r="S261" s="2155"/>
      <c r="T261" s="2155"/>
      <c r="U261" s="2155"/>
      <c r="V261" s="2155"/>
      <c r="W261" s="2155"/>
      <c r="X261" s="2155"/>
      <c r="Y261" s="2155"/>
      <c r="Z261" s="2155"/>
      <c r="AA261" s="2155"/>
      <c r="AB261" s="2155"/>
      <c r="AC261" s="2155"/>
    </row>
    <row r="262" spans="1:29">
      <c r="A262" s="2155"/>
      <c r="B262" s="2155"/>
      <c r="C262" s="2155"/>
      <c r="D262" s="2155"/>
      <c r="E262" s="2155"/>
      <c r="F262" s="2155"/>
      <c r="G262" s="2155"/>
      <c r="H262" s="2155"/>
      <c r="I262" s="2155"/>
      <c r="J262" s="2155"/>
      <c r="K262" s="2156"/>
      <c r="L262" s="2157"/>
      <c r="M262" s="2155"/>
      <c r="N262" s="2155"/>
      <c r="O262" s="2155"/>
      <c r="P262" s="2155"/>
      <c r="Q262" s="2155"/>
      <c r="R262" s="2155"/>
      <c r="S262" s="2155"/>
      <c r="T262" s="2155"/>
      <c r="U262" s="2155"/>
      <c r="V262" s="2155"/>
      <c r="W262" s="2155"/>
      <c r="X262" s="2155"/>
      <c r="Y262" s="2155"/>
      <c r="Z262" s="2155"/>
      <c r="AA262" s="2155"/>
      <c r="AB262" s="2155"/>
      <c r="AC262" s="215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31"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625" style="1391" customWidth="1"/>
    <col min="2" max="2" width="20.875" style="1506" customWidth="1"/>
    <col min="3" max="4" width="12" style="1392"/>
    <col min="5" max="5" width="14.625" style="1392" customWidth="1"/>
    <col min="6" max="8" width="12" style="1392"/>
    <col min="9" max="9" width="12.125" style="1392" bestFit="1" customWidth="1"/>
    <col min="10" max="10" width="12" style="1392"/>
    <col min="11" max="11" width="9.625" style="1389" customWidth="1"/>
    <col min="12" max="12" width="12" style="1392"/>
    <col min="13" max="14" width="10.625" style="1392" customWidth="1"/>
    <col min="15" max="17" width="12" style="1392"/>
    <col min="18" max="18" width="12" style="1391"/>
    <col min="19" max="22" width="15.5" style="1391" customWidth="1"/>
    <col min="23" max="28" width="12" style="1392"/>
    <col min="29" max="29" width="9.375" style="1391" customWidth="1"/>
    <col min="30" max="35" width="9.375" style="1390" customWidth="1"/>
    <col min="36" max="39" width="9.375" style="1391" customWidth="1"/>
    <col min="40" max="41" width="9.375" style="1392" customWidth="1"/>
    <col min="42" max="16384" width="12" style="1392"/>
  </cols>
  <sheetData>
    <row r="1" spans="1:39" ht="20.25">
      <c r="A1" s="1386" t="s">
        <v>1672</v>
      </c>
      <c r="B1" s="1387"/>
      <c r="C1" s="1393" t="s">
        <v>2401</v>
      </c>
      <c r="D1" s="1499">
        <f>SUM(D29:D30,D33:D39)</f>
        <v>0</v>
      </c>
      <c r="E1" s="1393" t="s">
        <v>2402</v>
      </c>
      <c r="F1" s="2391"/>
      <c r="G1" s="1388"/>
      <c r="H1" s="1388"/>
      <c r="I1" s="1388"/>
      <c r="J1" s="1388"/>
      <c r="K1" s="1388"/>
      <c r="L1" s="1858" t="s">
        <v>2214</v>
      </c>
      <c r="M1" s="1859">
        <f>SUMPRODUCT((区片价!B5:B9=I2)*(区片价!C3:F3=E2)*(区片价!C5:F9))</f>
        <v>0</v>
      </c>
      <c r="N1" s="1860">
        <f>SUMPRODUCT((因素修正幅度!B5:B9=I2)*(因素修正幅度!C3:F3=E2)*(因素修正幅度!C5:F9))</f>
        <v>0</v>
      </c>
      <c r="O1" s="1388"/>
      <c r="P1" s="1388"/>
      <c r="Q1" s="2165"/>
      <c r="R1" s="2866" t="s">
        <v>2736</v>
      </c>
      <c r="S1" s="2866" t="s">
        <v>2737</v>
      </c>
      <c r="T1" s="2866" t="s">
        <v>2758</v>
      </c>
      <c r="U1" s="2866" t="s">
        <v>2759</v>
      </c>
      <c r="V1" s="2866" t="s">
        <v>2760</v>
      </c>
      <c r="W1" s="2165"/>
      <c r="X1" s="2165"/>
      <c r="Y1" s="2165"/>
      <c r="Z1" s="2165"/>
      <c r="AA1" s="2165"/>
      <c r="AB1" s="2165"/>
      <c r="AC1" s="2166"/>
    </row>
    <row r="2" spans="1:39" ht="15.75">
      <c r="A2" s="1393" t="s">
        <v>898</v>
      </c>
      <c r="B2" s="1029" t="e">
        <f>C26</f>
        <v>#DIV/0!</v>
      </c>
      <c r="C2" s="1394" t="s">
        <v>899</v>
      </c>
      <c r="D2" s="1395" t="s">
        <v>900</v>
      </c>
      <c r="E2" s="1396"/>
      <c r="F2" s="1395" t="s">
        <v>902</v>
      </c>
      <c r="G2" s="1628">
        <f>IF(E2="商业",项目基本情况!B43,IF(E2="办公",项目基本情况!C43,IF(E2="住宅",项目基本情况!D43,项目基本情况!E43)))</f>
        <v>0</v>
      </c>
      <c r="H2" s="1395" t="s">
        <v>904</v>
      </c>
      <c r="I2" s="1629">
        <f>IF(E2="商业",项目基本情况!B44,IF(E2="办公",项目基本情况!C44,IF(E2="住宅",项目基本情况!D44,项目基本情况!E44)))</f>
        <v>0</v>
      </c>
      <c r="J2" s="1397"/>
      <c r="K2" s="1397"/>
      <c r="L2" s="1861" t="s">
        <v>2215</v>
      </c>
      <c r="M2" s="1862">
        <f>SUMPRODUCT((区片价!B10:B28=I2)*(区片价!C3:F3=E2)*(区片价!C10:F28))</f>
        <v>0</v>
      </c>
      <c r="N2" s="1863">
        <f>SUMPRODUCT((因素修正幅度!B10:B28=I2)*(因素修正幅度!C3:F3=E2)*(因素修正幅度!C10:F28))</f>
        <v>0</v>
      </c>
      <c r="O2" s="1397"/>
      <c r="P2" s="1388"/>
      <c r="Q2" s="2165"/>
      <c r="R2" s="2867">
        <v>1</v>
      </c>
      <c r="S2" s="2867">
        <f>ROUND(IF(G3&gt;1,IF(R2&lt;7,SUMPRODUCT((B93:B98=R2)*(C92:N92=G2)*(C93:N98)),SUMIF(C92:N92,G2,C100:N100)),IF(R2&lt;7,SUMPRODUCT((B102:B107=R2)*(C92:N92=G2)*(C102:N107)),SUMIF(C92:N92,G2,C109:N109))),4)</f>
        <v>0</v>
      </c>
      <c r="T2" s="2867" t="e">
        <f>ROUND($C$5*$C$18*$C$19*$C$20*S2*$C$24,0)</f>
        <v>#DIV/0!</v>
      </c>
      <c r="U2" s="2856"/>
      <c r="V2" s="2867" t="e">
        <f>ROUND(T2*U2/10000,0)</f>
        <v>#DIV/0!</v>
      </c>
      <c r="W2" s="2165"/>
      <c r="X2" s="2165"/>
      <c r="Y2" s="2165"/>
      <c r="Z2" s="2165"/>
      <c r="AA2" s="2165"/>
      <c r="AB2" s="2165"/>
      <c r="AC2" s="2166"/>
    </row>
    <row r="3" spans="1:39" ht="15.75">
      <c r="A3" s="1398" t="s">
        <v>1665</v>
      </c>
      <c r="B3" s="1029" t="e">
        <f>ROUND(B2*10000/D1,0)</f>
        <v>#DIV/0!</v>
      </c>
      <c r="C3" s="1394" t="s">
        <v>905</v>
      </c>
      <c r="D3" s="1395" t="s">
        <v>906</v>
      </c>
      <c r="E3" s="1399"/>
      <c r="F3" s="1400"/>
      <c r="G3" s="1030">
        <f>IF(F3="宗地容积率",'数据-汇总表'!I4,IF(F3="估价对象容积率",'数据-汇总表'!I6,'数据-汇总表'!I7))</f>
        <v>4</v>
      </c>
      <c r="H3" s="1401" t="s">
        <v>907</v>
      </c>
      <c r="I3" s="1031">
        <v>8</v>
      </c>
      <c r="J3" s="1397" t="s">
        <v>908</v>
      </c>
      <c r="K3" s="1397"/>
      <c r="L3" s="1861" t="s">
        <v>2216</v>
      </c>
      <c r="M3" s="1862">
        <f>SUMPRODUCT((区片价!B29:B48=I2)*(区片价!C3:F3=E2)*(区片价!C29:F48))</f>
        <v>0</v>
      </c>
      <c r="N3" s="1863">
        <f>SUMPRODUCT((因素修正幅度!B29:B48=I2)*(因素修正幅度!C3:F3=E2)*(因素修正幅度!C29:F48))</f>
        <v>0</v>
      </c>
      <c r="O3" s="1397"/>
      <c r="P3" s="1388"/>
      <c r="Q3" s="2165"/>
      <c r="R3" s="2867">
        <v>2</v>
      </c>
      <c r="S3" s="2867">
        <f>ROUND(IF(G3&gt;1,IF(R3&lt;7,SUMPRODUCT((B93:B98=R3)*(C92:N92=G2)*(C93:N98)),SUMIF(C92:N92,G2,C100:N100)),IF(R3&lt;7,SUMPRODUCT((B102:B107=R3)*(C92:N92=G2)*(C102:N107)),SUMIF(C92:N92,G2,C109:N109))),4)</f>
        <v>0</v>
      </c>
      <c r="T3" s="2867" t="e">
        <f t="shared" ref="T3:T16" si="0">ROUND($C$5*$C$18*$C$19*$C$20*S3*$C$24,0)</f>
        <v>#DIV/0!</v>
      </c>
      <c r="U3" s="2856"/>
      <c r="V3" s="2867" t="e">
        <f t="shared" ref="V3:V16" si="1">ROUND(T3*U3/10000,0)</f>
        <v>#DIV/0!</v>
      </c>
      <c r="W3" s="2165"/>
      <c r="X3" s="2165"/>
      <c r="Y3" s="2165"/>
      <c r="Z3" s="2165"/>
      <c r="AA3" s="2165"/>
      <c r="AB3" s="2165"/>
      <c r="AC3" s="2166"/>
    </row>
    <row r="4" spans="1:39" ht="28.5">
      <c r="A4" s="1867" t="s">
        <v>2256</v>
      </c>
      <c r="B4" s="2392" t="e">
        <f>ROUND(B2*10000/F1,0)</f>
        <v>#DIV/0!</v>
      </c>
      <c r="C4" s="1870" t="s">
        <v>2230</v>
      </c>
      <c r="D4" s="1870" t="e">
        <f>ROUND(B2/(F1/666.67),0)</f>
        <v>#DIV/0!</v>
      </c>
      <c r="E4" s="1870" t="s">
        <v>2231</v>
      </c>
      <c r="F4" s="1868"/>
      <c r="G4" s="1868"/>
      <c r="H4" s="1868"/>
      <c r="I4" s="1868"/>
      <c r="J4" s="1869"/>
      <c r="K4" s="3123"/>
      <c r="L4" s="1861" t="s">
        <v>2217</v>
      </c>
      <c r="M4" s="1862">
        <f>SUMPRODUCT((区片价!B49:B75=I2)*(区片价!C3:F3=E2)*(区片价!C49:F75))</f>
        <v>0</v>
      </c>
      <c r="N4" s="1863">
        <f>SUMPRODUCT((因素修正幅度!B49:B75=I2)*(因素修正幅度!C3:F3=E2)*(因素修正幅度!C49:F75))</f>
        <v>0</v>
      </c>
      <c r="O4" s="3123"/>
      <c r="P4" s="1388"/>
      <c r="Q4" s="2165"/>
      <c r="R4" s="2867">
        <v>3</v>
      </c>
      <c r="S4" s="2867">
        <f>ROUND(IF(G3&gt;1,IF(R4&lt;7,SUMPRODUCT((B93:B98=R4)*(C92:N92=G2)*(C93:N98)),SUMIF(C92:N92,G2,C100:N100)),IF(R4&lt;7,SUMPRODUCT((B102:B107=R4)*(C92:N92=G2)*(C102:N107)),SUMIF(C92:N92,G2,C109:N109))),4)</f>
        <v>0</v>
      </c>
      <c r="T4" s="2867" t="e">
        <f t="shared" si="0"/>
        <v>#DIV/0!</v>
      </c>
      <c r="U4" s="2856"/>
      <c r="V4" s="2867" t="e">
        <f t="shared" si="1"/>
        <v>#DIV/0!</v>
      </c>
      <c r="W4" s="2165"/>
      <c r="X4" s="2165"/>
      <c r="Y4" s="2165"/>
      <c r="Z4" s="2165"/>
      <c r="AA4" s="2165"/>
      <c r="AB4" s="2165"/>
      <c r="AC4" s="2166"/>
    </row>
    <row r="5" spans="1:39" s="1408" customFormat="1" ht="15.75" thickBot="1">
      <c r="A5" s="1614" t="s">
        <v>1801</v>
      </c>
      <c r="B5" s="1402" t="s">
        <v>909</v>
      </c>
      <c r="C5" s="1032" t="e">
        <f>ROUND(IF(E2="商业",C6*C7+C16,(IF(E2="住宅",C6*C12+C16,C6+C16))),0)</f>
        <v>#DIV/0!</v>
      </c>
      <c r="D5" s="3047" t="e">
        <f>ROUND(C6+C16,0)</f>
        <v>#DIV/0!</v>
      </c>
      <c r="E5" s="3047"/>
      <c r="F5" s="1403"/>
      <c r="G5" s="1404"/>
      <c r="H5" s="1404"/>
      <c r="I5" s="1404"/>
      <c r="J5" s="1405"/>
      <c r="K5" s="3124"/>
      <c r="L5" s="1861" t="s">
        <v>2218</v>
      </c>
      <c r="M5" s="1862">
        <f>SUMPRODUCT((区片价!B76:B109=I2)*(区片价!C3:F3=E2)*(区片价!C76:F109))</f>
        <v>0</v>
      </c>
      <c r="N5" s="1863">
        <f>SUMPRODUCT((因素修正幅度!B76:B109=I2)*(因素修正幅度!C3:F3=E2)*(因素修正幅度!C76:F109))</f>
        <v>0</v>
      </c>
      <c r="O5" s="3124"/>
      <c r="P5" s="1571"/>
      <c r="Q5" s="2165"/>
      <c r="R5" s="2867">
        <v>4</v>
      </c>
      <c r="S5" s="2867">
        <f>ROUND(IF(G3&gt;1,IF(R5&lt;7,SUMPRODUCT((B93:B98=R5)*(C92:N92=G2)*(C93:N98)),SUMIF(C92:N92,G2,C100:N100)),IF(R5&lt;7,SUMPRODUCT((B102:B107=R5)*(C92:N92=G2)*(C102:N107)),SUMIF(C92:N92,G2,C109:N109))),4)</f>
        <v>0</v>
      </c>
      <c r="T5" s="2867" t="e">
        <f t="shared" si="0"/>
        <v>#DIV/0!</v>
      </c>
      <c r="U5" s="2856"/>
      <c r="V5" s="2867" t="e">
        <f t="shared" si="1"/>
        <v>#DIV/0!</v>
      </c>
      <c r="W5" s="2165"/>
      <c r="X5" s="2165"/>
      <c r="Y5" s="2165"/>
      <c r="Z5" s="2165"/>
      <c r="AA5" s="2165"/>
      <c r="AB5" s="2165"/>
      <c r="AC5" s="2167"/>
      <c r="AD5" s="1406"/>
      <c r="AE5" s="1406"/>
      <c r="AF5" s="1406"/>
      <c r="AG5" s="1406"/>
      <c r="AH5" s="1406"/>
      <c r="AI5" s="1406"/>
      <c r="AJ5" s="1407"/>
      <c r="AK5" s="1407"/>
      <c r="AL5" s="1407"/>
      <c r="AM5" s="1407"/>
    </row>
    <row r="6" spans="1:39" ht="15.75" thickBot="1">
      <c r="A6" s="1615" t="s">
        <v>1848</v>
      </c>
      <c r="B6" s="1409" t="s">
        <v>909</v>
      </c>
      <c r="C6" s="1033">
        <f>SUMIF(L1:L12,基准地价!G2,M1:M12)</f>
        <v>0</v>
      </c>
      <c r="D6" s="1410" t="s">
        <v>1673</v>
      </c>
      <c r="E6" s="1411"/>
      <c r="F6" s="1411"/>
      <c r="G6" s="1412"/>
      <c r="H6" s="1412"/>
      <c r="I6" s="1412"/>
      <c r="J6" s="1413"/>
      <c r="K6" s="1443"/>
      <c r="L6" s="1861" t="s">
        <v>2219</v>
      </c>
      <c r="M6" s="1862">
        <f>SUMPRODUCT((区片价!B110:B157=I2)*(区片价!C3:F3=E2)*(区片价!C110:F157))</f>
        <v>0</v>
      </c>
      <c r="N6" s="1863">
        <f>SUMPRODUCT((因素修正幅度!B110:B157=I2)*(因素修正幅度!C3:F3=E2)*(因素修正幅度!C110:F157))</f>
        <v>0</v>
      </c>
      <c r="O6" s="1443"/>
      <c r="P6" s="1572"/>
      <c r="Q6" s="2165"/>
      <c r="R6" s="2867">
        <v>5</v>
      </c>
      <c r="S6" s="2867">
        <f>ROUND(IF(G3&gt;1,IF(R6&lt;7,SUMPRODUCT((B93:B98=R6)*(C92:N92=G2)*(C93:N98)),SUMIF(C92:N92,G2,C100:N100)),IF(R6&lt;7,SUMPRODUCT((B102:B107=R6)*(C92:N92=G2)*(C102:N107)),SUMIF(C92:N92,G2,C109:N109))),4)</f>
        <v>0</v>
      </c>
      <c r="T6" s="2867" t="e">
        <f t="shared" si="0"/>
        <v>#DIV/0!</v>
      </c>
      <c r="U6" s="2856"/>
      <c r="V6" s="2867" t="e">
        <f t="shared" si="1"/>
        <v>#DIV/0!</v>
      </c>
      <c r="W6" s="2165"/>
      <c r="X6" s="2165"/>
      <c r="Y6" s="2165"/>
      <c r="Z6" s="2165"/>
      <c r="AA6" s="2165"/>
      <c r="AB6" s="2165"/>
      <c r="AC6" s="2167"/>
      <c r="AD6" s="1406"/>
      <c r="AE6" s="1406"/>
      <c r="AF6" s="1406"/>
      <c r="AG6" s="1406"/>
      <c r="AH6" s="1406"/>
      <c r="AI6" s="1406"/>
      <c r="AJ6" s="1407"/>
    </row>
    <row r="7" spans="1:39" ht="24">
      <c r="A7" s="3826" t="str">
        <f>IF(E2="商业",IF(C8="不临58条商业街","",2),"")</f>
        <v/>
      </c>
      <c r="B7" s="1414" t="s">
        <v>910</v>
      </c>
      <c r="C7" s="1034" t="e">
        <f>IF(C8="不临58条商业街",1,ROUND(1+(1.6*E8+1.2*E9+0.8*E10+0.4*E11)*C9,4))</f>
        <v>#DIV/0!</v>
      </c>
      <c r="D7" s="1415" t="s">
        <v>911</v>
      </c>
      <c r="E7" s="1035"/>
      <c r="F7" s="1416"/>
      <c r="G7" s="1417"/>
      <c r="H7" s="1417"/>
      <c r="I7" s="1417"/>
      <c r="J7" s="1418"/>
      <c r="K7" s="1443"/>
      <c r="L7" s="1861" t="s">
        <v>2220</v>
      </c>
      <c r="M7" s="1862">
        <f>SUMPRODUCT((区片价!B158:B205=I2)*(区片价!C3:F3=E2)*(区片价!C158:F205))</f>
        <v>0</v>
      </c>
      <c r="N7" s="1863">
        <f>SUMPRODUCT((因素修正幅度!B158:B205=I2)*(因素修正幅度!C3:F3=E2)*(因素修正幅度!C158:F205))</f>
        <v>0</v>
      </c>
      <c r="O7" s="1443"/>
      <c r="P7" s="1572"/>
      <c r="Q7" s="2165"/>
      <c r="R7" s="2867">
        <v>6</v>
      </c>
      <c r="S7" s="2867">
        <f>ROUND(IF(G3&gt;1,IF(R7&lt;7,SUMPRODUCT((B93:B98=R7)*(C92:N92=G2)*(C93:N98)),SUMIF(C92:N92,G2,C100:N100)),IF(R7&lt;7,SUMPRODUCT((B102:B107=R7)*(C92:N92=G2)*(C102:N107)),SUMIF(C92:N92,G2,C109:N109))),4)</f>
        <v>0</v>
      </c>
      <c r="T7" s="2867" t="e">
        <f t="shared" si="0"/>
        <v>#DIV/0!</v>
      </c>
      <c r="U7" s="2856"/>
      <c r="V7" s="2867" t="e">
        <f t="shared" si="1"/>
        <v>#DIV/0!</v>
      </c>
      <c r="W7" s="2865" t="s">
        <v>2739</v>
      </c>
      <c r="X7" s="2857">
        <f>G2</f>
        <v>0</v>
      </c>
      <c r="Y7" s="2857" t="s">
        <v>2740</v>
      </c>
      <c r="Z7" s="2858">
        <f>G3</f>
        <v>4</v>
      </c>
      <c r="AA7" s="2168"/>
      <c r="AB7" s="2168"/>
      <c r="AC7" s="2169"/>
      <c r="AD7" s="2859"/>
      <c r="AE7" s="2859"/>
      <c r="AF7" s="2859"/>
      <c r="AG7" s="2859"/>
      <c r="AH7" s="2859"/>
      <c r="AI7" s="2859"/>
      <c r="AJ7" s="2860"/>
    </row>
    <row r="8" spans="1:39" ht="15">
      <c r="A8" s="3827"/>
      <c r="B8" s="1401" t="s">
        <v>912</v>
      </c>
      <c r="C8" s="1507"/>
      <c r="D8" s="1036" t="s">
        <v>913</v>
      </c>
      <c r="E8" s="1037" t="e">
        <f>ROUND(C11/E7,4)</f>
        <v>#DIV/0!</v>
      </c>
      <c r="F8" s="1419" t="s">
        <v>914</v>
      </c>
      <c r="G8" s="1420"/>
      <c r="H8" s="1420"/>
      <c r="I8" s="1420"/>
      <c r="J8" s="1421"/>
      <c r="K8" s="1443"/>
      <c r="L8" s="1861" t="s">
        <v>2221</v>
      </c>
      <c r="M8" s="1862">
        <f>SUMPRODUCT((区片价!B206:B244=I2)*(区片价!C3:F3=E2)*(区片价!C206:F244))</f>
        <v>0</v>
      </c>
      <c r="N8" s="1863">
        <f>SUMPRODUCT((因素修正幅度!B206:B244=I2)*(因素修正幅度!C3:F3=E2)*(因素修正幅度!C206:F244))</f>
        <v>0</v>
      </c>
      <c r="O8" s="1443"/>
      <c r="P8" s="1388"/>
      <c r="Q8" s="2165"/>
      <c r="R8" s="2867">
        <v>7</v>
      </c>
      <c r="S8" s="2856"/>
      <c r="T8" s="2867" t="e">
        <f t="shared" si="0"/>
        <v>#DIV/0!</v>
      </c>
      <c r="U8" s="2856"/>
      <c r="V8" s="2867" t="e">
        <f t="shared" si="1"/>
        <v>#DIV/0!</v>
      </c>
      <c r="W8" s="3837" t="s">
        <v>2757</v>
      </c>
      <c r="X8" s="3838"/>
      <c r="Y8" s="1825" t="s">
        <v>2741</v>
      </c>
      <c r="Z8" s="1825" t="s">
        <v>2742</v>
      </c>
      <c r="AA8" s="1825" t="s">
        <v>2743</v>
      </c>
      <c r="AB8" s="1825" t="s">
        <v>2744</v>
      </c>
      <c r="AC8" s="1825" t="s">
        <v>2745</v>
      </c>
      <c r="AD8" s="1825" t="s">
        <v>2746</v>
      </c>
      <c r="AE8" s="1825" t="s">
        <v>2747</v>
      </c>
      <c r="AF8" s="1825" t="s">
        <v>2748</v>
      </c>
      <c r="AG8" s="1825" t="s">
        <v>2749</v>
      </c>
      <c r="AH8" s="1825" t="s">
        <v>2750</v>
      </c>
      <c r="AI8" s="1825" t="s">
        <v>2751</v>
      </c>
      <c r="AJ8" s="1825" t="s">
        <v>2752</v>
      </c>
    </row>
    <row r="9" spans="1:39" ht="15">
      <c r="A9" s="3827"/>
      <c r="B9" s="1401" t="s">
        <v>915</v>
      </c>
      <c r="C9" s="1038">
        <f>SUMIF(修正!C59:C119,C8,修正!E59:E119)</f>
        <v>0</v>
      </c>
      <c r="D9" s="1039" t="s">
        <v>916</v>
      </c>
      <c r="E9" s="1039" t="e">
        <f>ROUND(C11/E7,4)</f>
        <v>#DIV/0!</v>
      </c>
      <c r="F9" s="1419" t="s">
        <v>917</v>
      </c>
      <c r="G9" s="1420"/>
      <c r="H9" s="1420"/>
      <c r="I9" s="1420"/>
      <c r="J9" s="1421"/>
      <c r="K9" s="1443"/>
      <c r="L9" s="1861" t="s">
        <v>2222</v>
      </c>
      <c r="M9" s="1862">
        <f>SUMPRODUCT((区片价!B245:B289=I2)*(区片价!C3:F3=E2)*(区片价!C245:F289))</f>
        <v>0</v>
      </c>
      <c r="N9" s="1863">
        <f>SUMPRODUCT((因素修正幅度!B245:B289=I2)*(因素修正幅度!C3:F3=E2)*(因素修正幅度!C245:F289))</f>
        <v>0</v>
      </c>
      <c r="O9" s="1443"/>
      <c r="P9" s="1388"/>
      <c r="Q9" s="2165"/>
      <c r="R9" s="2867">
        <v>8</v>
      </c>
      <c r="S9" s="2856"/>
      <c r="T9" s="2867" t="e">
        <f t="shared" si="0"/>
        <v>#DIV/0!</v>
      </c>
      <c r="U9" s="2856"/>
      <c r="V9" s="2867" t="e">
        <f t="shared" si="1"/>
        <v>#DIV/0!</v>
      </c>
      <c r="W9" s="3836" t="s">
        <v>2753</v>
      </c>
      <c r="X9" s="2861" t="s">
        <v>2754</v>
      </c>
      <c r="Y9" s="3025"/>
      <c r="Z9" s="2862">
        <f t="shared" ref="Z9:AJ9" si="2">$Y$9</f>
        <v>0</v>
      </c>
      <c r="AA9" s="2862">
        <f t="shared" si="2"/>
        <v>0</v>
      </c>
      <c r="AB9" s="2862">
        <f t="shared" si="2"/>
        <v>0</v>
      </c>
      <c r="AC9" s="2862">
        <f t="shared" si="2"/>
        <v>0</v>
      </c>
      <c r="AD9" s="2862">
        <f t="shared" si="2"/>
        <v>0</v>
      </c>
      <c r="AE9" s="2862">
        <f t="shared" si="2"/>
        <v>0</v>
      </c>
      <c r="AF9" s="2862">
        <f t="shared" si="2"/>
        <v>0</v>
      </c>
      <c r="AG9" s="2862">
        <f t="shared" si="2"/>
        <v>0</v>
      </c>
      <c r="AH9" s="2862">
        <f t="shared" si="2"/>
        <v>0</v>
      </c>
      <c r="AI9" s="2862">
        <f t="shared" si="2"/>
        <v>0</v>
      </c>
      <c r="AJ9" s="2862">
        <f t="shared" si="2"/>
        <v>0</v>
      </c>
    </row>
    <row r="10" spans="1:39" ht="15">
      <c r="A10" s="3827"/>
      <c r="B10" s="1401" t="s">
        <v>918</v>
      </c>
      <c r="C10" s="1039">
        <f>SUMIF(修正!C59:C119,C8,修正!F59:F119)</f>
        <v>0</v>
      </c>
      <c r="D10" s="1039" t="s">
        <v>919</v>
      </c>
      <c r="E10" s="1039" t="e">
        <f>ROUND(C11/E7,4)</f>
        <v>#DIV/0!</v>
      </c>
      <c r="F10" s="1419" t="s">
        <v>920</v>
      </c>
      <c r="G10" s="1420"/>
      <c r="H10" s="1420"/>
      <c r="I10" s="1420"/>
      <c r="J10" s="1421"/>
      <c r="K10" s="1443"/>
      <c r="L10" s="1861" t="s">
        <v>2223</v>
      </c>
      <c r="M10" s="1862">
        <f>SUMPRODUCT((区片价!B290:B316=I2)*(区片价!C3:F3=E2)*(区片价!C290:F316))</f>
        <v>0</v>
      </c>
      <c r="N10" s="1863">
        <f>SUMPRODUCT((因素修正幅度!B290:B316=I2)*(因素修正幅度!C3:F3=E2)*(因素修正幅度!C290:F316))</f>
        <v>0</v>
      </c>
      <c r="O10" s="1443"/>
      <c r="P10" s="1388"/>
      <c r="Q10" s="2165"/>
      <c r="R10" s="2867">
        <v>9</v>
      </c>
      <c r="S10" s="2856"/>
      <c r="T10" s="2867" t="e">
        <f t="shared" si="0"/>
        <v>#DIV/0!</v>
      </c>
      <c r="U10" s="2856"/>
      <c r="V10" s="2867" t="e">
        <f t="shared" si="1"/>
        <v>#DIV/0!</v>
      </c>
      <c r="W10" s="3836"/>
      <c r="X10" s="2861">
        <v>7</v>
      </c>
      <c r="Y10" s="2863">
        <f>(-0.163*(Y9^2)-0.59*Y9+7617)*(10^(-4))</f>
        <v>0.76170000000000004</v>
      </c>
      <c r="Z10" s="2863">
        <f>(-0.163*(Z9^2)-0.59*Z9+7617)*(10^(-4))</f>
        <v>0.76170000000000004</v>
      </c>
      <c r="AA10" s="2863">
        <f>(-0.161*(AA9^2)-7.509*AA9+6533)*(10^(-4))</f>
        <v>0.65329999999999999</v>
      </c>
      <c r="AB10" s="2863">
        <f>(-0.161*(AB9^2)-7.509*AB9+6533)*(10^(-4))</f>
        <v>0.65329999999999999</v>
      </c>
      <c r="AC10" s="2863">
        <f>(-0.161*(AC9^2)-7.509*AC9+6533)*(10^(-4))</f>
        <v>0.65329999999999999</v>
      </c>
      <c r="AD10" s="2863">
        <f>(-0.161*(AD9^2)-7.509*AD9+6533)*(10^(-4))</f>
        <v>0.65329999999999999</v>
      </c>
      <c r="AE10" s="2863">
        <f>(-0.161*(AE9^2)-7.509*AE9+6533)*(10^(-4))</f>
        <v>0.65329999999999999</v>
      </c>
      <c r="AF10" s="2863">
        <f>(-0.214*(AF9^2)-21.991*AF9+4665)*(10^(-4))</f>
        <v>0.46650000000000003</v>
      </c>
      <c r="AG10" s="2863">
        <f>(-0.214*(AG9^2)-21.991*AG9+4665)*(10^(-4))</f>
        <v>0.46650000000000003</v>
      </c>
      <c r="AH10" s="2863">
        <f>(-0.214*(AH9^2)-21.991*AH9+4665)*(10^(-4))</f>
        <v>0.46650000000000003</v>
      </c>
      <c r="AI10" s="2863">
        <f>(-0.214*(AI9^2)-21.991*AI9+4665)*(10^(-4))</f>
        <v>0.46650000000000003</v>
      </c>
      <c r="AJ10" s="2863">
        <f>(-0.214*(AJ9^2)-21.991*AJ9+4665)*(10^(-4))</f>
        <v>0.46650000000000003</v>
      </c>
    </row>
    <row r="11" spans="1:39" ht="15.75" customHeight="1" thickBot="1">
      <c r="A11" s="3827"/>
      <c r="B11" s="1422" t="s">
        <v>921</v>
      </c>
      <c r="C11" s="1040">
        <f>C10/4</f>
        <v>0</v>
      </c>
      <c r="D11" s="1040" t="s">
        <v>922</v>
      </c>
      <c r="E11" s="1040" t="e">
        <f>ROUND(C11/E7,4)</f>
        <v>#DIV/0!</v>
      </c>
      <c r="F11" s="1423" t="s">
        <v>923</v>
      </c>
      <c r="G11" s="1424"/>
      <c r="H11" s="1424"/>
      <c r="I11" s="1424"/>
      <c r="J11" s="1425"/>
      <c r="K11" s="1443"/>
      <c r="L11" s="1861" t="s">
        <v>2224</v>
      </c>
      <c r="M11" s="1862">
        <f>SUMPRODUCT((区片价!B317:B337=I2)*(区片价!C3:F3=E2)*(区片价!C317:F337))</f>
        <v>0</v>
      </c>
      <c r="N11" s="1863">
        <f>SUMPRODUCT((因素修正幅度!B317:B337=I2)*(因素修正幅度!C3:F3=E2)*(因素修正幅度!C317:F337))</f>
        <v>0</v>
      </c>
      <c r="O11" s="1443"/>
      <c r="P11" s="1388"/>
      <c r="Q11" s="2165"/>
      <c r="R11" s="2867">
        <v>10</v>
      </c>
      <c r="S11" s="2856"/>
      <c r="T11" s="2867" t="e">
        <f t="shared" si="0"/>
        <v>#DIV/0!</v>
      </c>
      <c r="U11" s="2856"/>
      <c r="V11" s="2867" t="e">
        <f t="shared" si="1"/>
        <v>#DIV/0!</v>
      </c>
      <c r="W11" s="3836" t="s">
        <v>2755</v>
      </c>
      <c r="X11" s="1039" t="s">
        <v>2740</v>
      </c>
      <c r="Y11" s="1629">
        <f>$G$3</f>
        <v>4</v>
      </c>
      <c r="Z11" s="1629">
        <f t="shared" ref="Z11:AJ11" si="3">$G$3</f>
        <v>4</v>
      </c>
      <c r="AA11" s="1629">
        <f t="shared" si="3"/>
        <v>4</v>
      </c>
      <c r="AB11" s="1629">
        <f t="shared" si="3"/>
        <v>4</v>
      </c>
      <c r="AC11" s="1629">
        <f t="shared" si="3"/>
        <v>4</v>
      </c>
      <c r="AD11" s="1629">
        <f t="shared" si="3"/>
        <v>4</v>
      </c>
      <c r="AE11" s="1629">
        <f t="shared" si="3"/>
        <v>4</v>
      </c>
      <c r="AF11" s="1629">
        <f t="shared" si="3"/>
        <v>4</v>
      </c>
      <c r="AG11" s="1629">
        <f t="shared" si="3"/>
        <v>4</v>
      </c>
      <c r="AH11" s="1629">
        <f t="shared" si="3"/>
        <v>4</v>
      </c>
      <c r="AI11" s="1629">
        <f t="shared" si="3"/>
        <v>4</v>
      </c>
      <c r="AJ11" s="1629">
        <f t="shared" si="3"/>
        <v>4</v>
      </c>
    </row>
    <row r="12" spans="1:39" ht="25.5" thickBot="1">
      <c r="A12" s="3826" t="s">
        <v>1849</v>
      </c>
      <c r="B12" s="1426" t="s">
        <v>924</v>
      </c>
      <c r="C12" s="1034">
        <f>ROUND(C15*D15*E15*F15*G15*H15*I15*J15,4)</f>
        <v>1</v>
      </c>
      <c r="D12" s="1427" t="s">
        <v>925</v>
      </c>
      <c r="E12" s="1428"/>
      <c r="F12" s="1428"/>
      <c r="G12" s="1429"/>
      <c r="H12" s="1429"/>
      <c r="I12" s="1429"/>
      <c r="J12" s="1430"/>
      <c r="K12" s="1443"/>
      <c r="L12" s="1864" t="s">
        <v>2225</v>
      </c>
      <c r="M12" s="1865">
        <f>SUMPRODUCT((区片价!B338:B344=I2)*(区片价!C3:F3=E2)*(区片价!C338:F344))</f>
        <v>0</v>
      </c>
      <c r="N12" s="1866">
        <f>SUMPRODUCT((因素修正幅度!B338:B344=I2)*(因素修正幅度!C3:F3=E2)*(因素修正幅度!C338:F344))</f>
        <v>0</v>
      </c>
      <c r="O12" s="1443"/>
      <c r="P12" s="1388"/>
      <c r="Q12" s="2165"/>
      <c r="R12" s="2867">
        <v>11</v>
      </c>
      <c r="S12" s="2856"/>
      <c r="T12" s="2867" t="e">
        <f t="shared" si="0"/>
        <v>#DIV/0!</v>
      </c>
      <c r="U12" s="2856"/>
      <c r="V12" s="2867" t="e">
        <f t="shared" si="1"/>
        <v>#DIV/0!</v>
      </c>
      <c r="W12" s="3836"/>
      <c r="X12" s="2864" t="s">
        <v>2756</v>
      </c>
      <c r="Y12" s="2862">
        <f t="shared" ref="Y12:AJ12" si="4">Y9</f>
        <v>0</v>
      </c>
      <c r="Z12" s="2862">
        <f t="shared" si="4"/>
        <v>0</v>
      </c>
      <c r="AA12" s="2862">
        <f t="shared" si="4"/>
        <v>0</v>
      </c>
      <c r="AB12" s="2862">
        <f t="shared" si="4"/>
        <v>0</v>
      </c>
      <c r="AC12" s="2862">
        <f t="shared" si="4"/>
        <v>0</v>
      </c>
      <c r="AD12" s="2862">
        <f t="shared" si="4"/>
        <v>0</v>
      </c>
      <c r="AE12" s="2862">
        <f t="shared" si="4"/>
        <v>0</v>
      </c>
      <c r="AF12" s="2862">
        <f t="shared" si="4"/>
        <v>0</v>
      </c>
      <c r="AG12" s="2862">
        <f t="shared" si="4"/>
        <v>0</v>
      </c>
      <c r="AH12" s="2862">
        <f t="shared" si="4"/>
        <v>0</v>
      </c>
      <c r="AI12" s="2862">
        <f t="shared" si="4"/>
        <v>0</v>
      </c>
      <c r="AJ12" s="2862">
        <f t="shared" si="4"/>
        <v>0</v>
      </c>
    </row>
    <row r="13" spans="1:39" ht="24">
      <c r="A13" s="3828"/>
      <c r="B13" s="1431" t="s">
        <v>1674</v>
      </c>
      <c r="C13" s="1432" t="s">
        <v>1675</v>
      </c>
      <c r="D13" s="1076" t="s">
        <v>1676</v>
      </c>
      <c r="E13" s="1076" t="s">
        <v>1677</v>
      </c>
      <c r="F13" s="1433" t="s">
        <v>926</v>
      </c>
      <c r="G13" s="1434" t="s">
        <v>1620</v>
      </c>
      <c r="H13" s="1435" t="s">
        <v>1620</v>
      </c>
      <c r="I13" s="1436" t="s">
        <v>1620</v>
      </c>
      <c r="J13" s="1437" t="s">
        <v>1620</v>
      </c>
      <c r="K13" s="3139"/>
      <c r="L13" s="3139"/>
      <c r="M13" s="3139"/>
      <c r="N13" s="3139"/>
      <c r="O13" s="3139"/>
      <c r="P13" s="1388"/>
      <c r="Q13" s="2165"/>
      <c r="R13" s="2867">
        <v>12</v>
      </c>
      <c r="S13" s="2856"/>
      <c r="T13" s="2867" t="e">
        <f t="shared" si="0"/>
        <v>#DIV/0!</v>
      </c>
      <c r="U13" s="2856"/>
      <c r="V13" s="2867" t="e">
        <f t="shared" si="1"/>
        <v>#DIV/0!</v>
      </c>
      <c r="W13" s="3836"/>
      <c r="X13" s="2864"/>
      <c r="Y13" s="2863">
        <f>(-0.163*(Y12^2)-0.59*Y12+7617)*(10^(-4))/Y11</f>
        <v>0.19042500000000001</v>
      </c>
      <c r="Z13" s="2863">
        <f t="shared" ref="Z13:AJ13" si="5">(-0.163*(Z12^2)-0.59*Z12+7617)*(10^(-4))/Z11</f>
        <v>0.19042500000000001</v>
      </c>
      <c r="AA13" s="2863">
        <f t="shared" si="5"/>
        <v>0.19042500000000001</v>
      </c>
      <c r="AB13" s="2863">
        <f t="shared" si="5"/>
        <v>0.19042500000000001</v>
      </c>
      <c r="AC13" s="2863">
        <f t="shared" si="5"/>
        <v>0.19042500000000001</v>
      </c>
      <c r="AD13" s="2863">
        <f t="shared" si="5"/>
        <v>0.19042500000000001</v>
      </c>
      <c r="AE13" s="2863">
        <f t="shared" si="5"/>
        <v>0.19042500000000001</v>
      </c>
      <c r="AF13" s="2863">
        <f t="shared" si="5"/>
        <v>0.19042500000000001</v>
      </c>
      <c r="AG13" s="2863">
        <f t="shared" si="5"/>
        <v>0.19042500000000001</v>
      </c>
      <c r="AH13" s="2863">
        <f t="shared" si="5"/>
        <v>0.19042500000000001</v>
      </c>
      <c r="AI13" s="2863">
        <f t="shared" si="5"/>
        <v>0.19042500000000001</v>
      </c>
      <c r="AJ13" s="2863">
        <f t="shared" si="5"/>
        <v>0.19042500000000001</v>
      </c>
    </row>
    <row r="14" spans="1:39" ht="12.75" customHeight="1">
      <c r="A14" s="3828"/>
      <c r="B14" s="1438"/>
      <c r="C14" s="1439"/>
      <c r="D14" s="1440"/>
      <c r="E14" s="1440"/>
      <c r="F14" s="1441"/>
      <c r="G14" s="1442" t="s">
        <v>927</v>
      </c>
      <c r="H14" s="1443"/>
      <c r="I14" s="1444"/>
      <c r="J14" s="1445"/>
      <c r="K14" s="3125"/>
      <c r="L14" s="3125"/>
      <c r="M14" s="3125"/>
      <c r="N14" s="3125"/>
      <c r="O14" s="3125"/>
      <c r="P14" s="1388"/>
      <c r="Q14" s="2165"/>
      <c r="R14" s="2867">
        <v>13</v>
      </c>
      <c r="S14" s="2856"/>
      <c r="T14" s="2867" t="e">
        <f t="shared" si="0"/>
        <v>#DIV/0!</v>
      </c>
      <c r="U14" s="2856"/>
      <c r="V14" s="2867" t="e">
        <f t="shared" si="1"/>
        <v>#DIV/0!</v>
      </c>
      <c r="W14" s="2165"/>
      <c r="X14" s="2165"/>
      <c r="Y14" s="2165"/>
      <c r="Z14" s="2165"/>
      <c r="AA14" s="2165"/>
      <c r="AB14" s="2165"/>
      <c r="AC14" s="2166"/>
    </row>
    <row r="15" spans="1:39" ht="13.5" customHeight="1" thickBot="1">
      <c r="A15" s="3829"/>
      <c r="B15" s="3144" t="s">
        <v>1678</v>
      </c>
      <c r="C15" s="1040">
        <f>IF(C14="有",1.1,1)</f>
        <v>1</v>
      </c>
      <c r="D15" s="1040">
        <f>IF(D14="有",1.1,1)</f>
        <v>1</v>
      </c>
      <c r="E15" s="1040">
        <f>IF(E14="有",1.1,1)</f>
        <v>1</v>
      </c>
      <c r="F15" s="1040">
        <f>IF(F14="500米范围内",1.2,IF(F14="500-1000米",1.1,1))</f>
        <v>1</v>
      </c>
      <c r="G15" s="3136">
        <v>1</v>
      </c>
      <c r="H15" s="3136">
        <v>1</v>
      </c>
      <c r="I15" s="3136">
        <v>1</v>
      </c>
      <c r="J15" s="3137">
        <v>1</v>
      </c>
      <c r="K15" s="3140"/>
      <c r="L15" s="3140"/>
      <c r="M15" s="3140"/>
      <c r="N15" s="3140"/>
      <c r="O15" s="3140"/>
      <c r="P15" s="1388"/>
      <c r="Q15" s="2165"/>
      <c r="R15" s="2867">
        <v>14</v>
      </c>
      <c r="S15" s="2856"/>
      <c r="T15" s="2867" t="e">
        <f t="shared" si="0"/>
        <v>#DIV/0!</v>
      </c>
      <c r="U15" s="2856"/>
      <c r="V15" s="2867" t="e">
        <f t="shared" si="1"/>
        <v>#DIV/0!</v>
      </c>
      <c r="W15" s="2165"/>
      <c r="X15" s="2165"/>
      <c r="Y15" s="2165"/>
      <c r="Z15" s="2165"/>
      <c r="AA15" s="2165"/>
      <c r="AB15" s="2165"/>
      <c r="AC15" s="2166"/>
    </row>
    <row r="16" spans="1:39" ht="24.6" customHeight="1">
      <c r="A16" s="3826" t="s">
        <v>1816</v>
      </c>
      <c r="B16" s="1414" t="s">
        <v>928</v>
      </c>
      <c r="C16" s="1043" t="e">
        <f>ROUND(IF(F17="与级别开发程度一致",0,(G17-E17)/C17),0)</f>
        <v>#DIV/0!</v>
      </c>
      <c r="D16" s="3844" t="s">
        <v>932</v>
      </c>
      <c r="E16" s="3845"/>
      <c r="F16" s="3844" t="s">
        <v>929</v>
      </c>
      <c r="G16" s="3845"/>
      <c r="H16" s="1446"/>
      <c r="I16" s="1446"/>
      <c r="J16" s="1446"/>
      <c r="K16" s="1446"/>
      <c r="L16" s="1446"/>
      <c r="M16" s="1446"/>
      <c r="N16" s="1446"/>
      <c r="O16" s="3149"/>
      <c r="P16" s="1388"/>
      <c r="Q16" s="2168"/>
      <c r="R16" s="2867">
        <v>15</v>
      </c>
      <c r="S16" s="2856"/>
      <c r="T16" s="2867" t="e">
        <f t="shared" si="0"/>
        <v>#DIV/0!</v>
      </c>
      <c r="U16" s="2856"/>
      <c r="V16" s="2867" t="e">
        <f t="shared" si="1"/>
        <v>#DIV/0!</v>
      </c>
      <c r="W16" s="2168"/>
      <c r="X16" s="2168"/>
      <c r="Y16" s="2168"/>
      <c r="Z16" s="2168"/>
      <c r="AA16" s="2168"/>
      <c r="AB16" s="2168"/>
      <c r="AC16" s="2169"/>
    </row>
    <row r="17" spans="1:40" ht="13.5" thickBot="1">
      <c r="A17" s="3830"/>
      <c r="B17" s="3150" t="s">
        <v>931</v>
      </c>
      <c r="C17" s="3151">
        <f>SUMPRODUCT((修正!A2:A5=E2)*(修正!B1:M1=G2)*(修正!B2:M5))</f>
        <v>0</v>
      </c>
      <c r="D17" s="3152" t="str">
        <f>IF(OR(G2="八级",G2="九级",G2="十级",G2="十一级",G2="十二级"),"五通一平","七通一平")</f>
        <v>七通一平</v>
      </c>
      <c r="E17" s="3142">
        <f>SUMPRODUCT((修正!B1:M1=G2)*(修正!B15:M15))</f>
        <v>0</v>
      </c>
      <c r="F17" s="3143"/>
      <c r="G17" s="3142">
        <f>SUM(H17:O17)</f>
        <v>0</v>
      </c>
      <c r="H17" s="1042">
        <f>SUMPRODUCT((七通一平=H16)*(修正!B1:M1=G2)*(修正!B6:M14))</f>
        <v>0</v>
      </c>
      <c r="I17" s="1042">
        <f>SUMPRODUCT((七通一平=I16)*(修正!B1:M1=G2)*(修正!B6:M14))</f>
        <v>0</v>
      </c>
      <c r="J17" s="1042">
        <f>SUMPRODUCT((七通一平=J16)*(修正!B1:M1=G2)*(修正!B6:M14))</f>
        <v>0</v>
      </c>
      <c r="K17" s="1042">
        <f>SUMPRODUCT((七通一平=K16)*(修正!B1:M1=G2)*(修正!B6:M14))</f>
        <v>0</v>
      </c>
      <c r="L17" s="1042">
        <f>SUMPRODUCT((七通一平=L16)*(修正!B1:M1=G2)*(修正!B6:M14))</f>
        <v>0</v>
      </c>
      <c r="M17" s="1042">
        <f>SUMPRODUCT((七通一平=M16)*(修正!B1:M1=G2)*(修正!B6:M14))</f>
        <v>0</v>
      </c>
      <c r="N17" s="1042">
        <f>SUMPRODUCT((七通一平=N16)*(修正!B1:M1=G2)*(修正!B6:M14))</f>
        <v>0</v>
      </c>
      <c r="O17" s="3153">
        <f>SUMPRODUCT((七通一平=O16)*(修正!B1:M1=G2)*(修正!B6:M14))</f>
        <v>0</v>
      </c>
      <c r="P17" s="1388"/>
      <c r="Q17" s="2168"/>
      <c r="R17" s="2169"/>
      <c r="S17" s="2169"/>
      <c r="T17" s="2169"/>
      <c r="U17" s="2169"/>
      <c r="V17" s="2169"/>
      <c r="W17" s="2168"/>
      <c r="X17" s="2168"/>
      <c r="Y17" s="2168"/>
      <c r="Z17" s="2168"/>
      <c r="AA17" s="2168"/>
      <c r="AB17" s="2168"/>
      <c r="AC17" s="2169"/>
      <c r="AH17" s="1389"/>
      <c r="AI17" s="1389"/>
      <c r="AJ17" s="1392"/>
      <c r="AK17" s="1392"/>
      <c r="AL17" s="1392"/>
      <c r="AM17" s="1392"/>
    </row>
    <row r="18" spans="1:40" s="1408" customFormat="1" ht="15.75" thickBot="1">
      <c r="A18" s="2709" t="s">
        <v>1807</v>
      </c>
      <c r="B18" s="3145" t="s">
        <v>933</v>
      </c>
      <c r="C18" s="3146">
        <f>SUMIF(修正!C18:C39,E3,修正!E18:E39)</f>
        <v>0</v>
      </c>
      <c r="D18" s="3147"/>
      <c r="E18" s="3148"/>
      <c r="F18" s="3130"/>
      <c r="G18" s="3124"/>
      <c r="H18" s="3124"/>
      <c r="I18" s="3124"/>
      <c r="J18" s="3138"/>
      <c r="K18" s="3124"/>
      <c r="L18" s="3124"/>
      <c r="M18" s="3124"/>
      <c r="N18" s="3124"/>
      <c r="O18" s="3124"/>
      <c r="P18" s="1460"/>
      <c r="Q18" s="2170"/>
      <c r="R18" s="2170"/>
      <c r="S18" s="2170"/>
      <c r="T18" s="2170"/>
      <c r="U18" s="2170"/>
      <c r="V18" s="2170"/>
      <c r="W18" s="2169"/>
      <c r="X18" s="2169"/>
      <c r="Y18" s="2169"/>
      <c r="Z18" s="2169"/>
      <c r="AA18" s="2168"/>
      <c r="AB18" s="2168"/>
      <c r="AC18" s="2171"/>
      <c r="AD18" s="1451"/>
      <c r="AE18" s="1451"/>
      <c r="AF18" s="1451"/>
      <c r="AG18" s="1451"/>
      <c r="AH18" s="1390"/>
      <c r="AI18" s="1390"/>
      <c r="AJ18" s="1391"/>
      <c r="AK18" s="1391"/>
      <c r="AL18" s="1391"/>
    </row>
    <row r="19" spans="1:40" s="1408" customFormat="1" ht="27.75" thickBot="1">
      <c r="A19" s="1616" t="s">
        <v>1813</v>
      </c>
      <c r="B19" s="1449" t="s">
        <v>934</v>
      </c>
      <c r="C19" s="1044">
        <f>ROUND(IF(H19="按公示增长率计算",SUMPRODUCT((地价!A3:A30=YEAR(G19)&amp;"-"&amp;ROUNDUP(MONTH(G19)/3,0))*(地价!X2:AB2=E2)*(地价!X3:AB30)),IF(H19="地价指数",M20/M19,(1+I19)^O19)),4)</f>
        <v>0</v>
      </c>
      <c r="D19" s="1453" t="s">
        <v>935</v>
      </c>
      <c r="E19" s="1045">
        <v>41640</v>
      </c>
      <c r="F19" s="1453" t="s">
        <v>936</v>
      </c>
      <c r="G19" s="1046">
        <f>'数据-取费表'!B2</f>
        <v>43933</v>
      </c>
      <c r="H19" s="1454" t="s">
        <v>2966</v>
      </c>
      <c r="I19" s="2715" t="str">
        <f>IF(H19="季度增幅（自定义）",SUMIF(N21:N24,E2,O21:O24),"")</f>
        <v/>
      </c>
      <c r="J19" s="1450"/>
      <c r="K19" s="3124"/>
      <c r="L19" s="2967" t="s">
        <v>2815</v>
      </c>
      <c r="M19" s="2968">
        <f>ROUND(SUMIF(地价!B2:F2,E2,地价!B30:F30),0)</f>
        <v>0</v>
      </c>
      <c r="N19" s="2717" t="s">
        <v>1654</v>
      </c>
      <c r="O19" s="2716">
        <f>ROUNDDOWN(DATEDIF(E19,G19,"M")/3,0)</f>
        <v>25</v>
      </c>
      <c r="P19" s="1573"/>
      <c r="Q19" s="2855"/>
      <c r="R19" s="2171"/>
      <c r="S19" s="2171"/>
      <c r="T19" s="2171"/>
      <c r="U19" s="2171"/>
      <c r="V19" s="2171"/>
      <c r="W19" s="2171"/>
      <c r="X19" s="2171"/>
      <c r="Y19" s="1390"/>
      <c r="Z19" s="1390"/>
      <c r="AA19" s="1390"/>
      <c r="AB19" s="1390"/>
      <c r="AC19" s="1451"/>
      <c r="AD19" s="1452"/>
      <c r="AE19" s="1456"/>
      <c r="AF19" s="1391"/>
      <c r="AG19" s="1407"/>
      <c r="AH19" s="1407"/>
      <c r="AI19" s="1407"/>
    </row>
    <row r="20" spans="1:40" s="1408" customFormat="1" ht="27.75" thickBot="1">
      <c r="A20" s="2709" t="s">
        <v>1814</v>
      </c>
      <c r="B20" s="2710" t="s">
        <v>949</v>
      </c>
      <c r="C20" s="2711" t="e">
        <f>ROUND(POWER(1+G20,J20-I20)*(POWER(1+G20,I20)-1)/(POWER(1+G20,J20)-1),4)</f>
        <v>#DIV/0!</v>
      </c>
      <c r="D20" s="2712" t="s">
        <v>950</v>
      </c>
      <c r="E20" s="3022">
        <f ca="1">存贷款利率!I4/100</f>
        <v>4.3499999999999997E-2</v>
      </c>
      <c r="F20" s="2712" t="s">
        <v>951</v>
      </c>
      <c r="G20" s="2713">
        <f>SUMIF(M26:P26,E2,M28:P28)</f>
        <v>0</v>
      </c>
      <c r="H20" s="2712" t="s">
        <v>952</v>
      </c>
      <c r="I20" s="2708" t="e">
        <f>SUMIF('数据-取费表'!C6:C15,E2,'数据-取费表'!F6:F15)/COUNTIF('数据-取费表'!C6:C15,E2)</f>
        <v>#DIV/0!</v>
      </c>
      <c r="J20" s="2714">
        <f>IF(E2="住宅",70,IF(E2="商业",40,50))</f>
        <v>50</v>
      </c>
      <c r="K20" s="3126"/>
      <c r="L20" s="2969" t="s">
        <v>2816</v>
      </c>
      <c r="M20" s="3133">
        <f>ROUND(SUMPRODUCT((地价!A4:A30=YEAR(G19)&amp;"-"&amp;ROUNDUP(MONTH(G19)/3,0))*(地价!B2:F2=E2)*(地价!B4:F30)),0)</f>
        <v>0</v>
      </c>
      <c r="N20" s="2720" t="s">
        <v>2619</v>
      </c>
      <c r="O20" s="2718" t="s">
        <v>2618</v>
      </c>
      <c r="P20" s="2719" t="s">
        <v>2624</v>
      </c>
      <c r="Q20" s="2855"/>
      <c r="R20" s="2171"/>
      <c r="S20" s="2171"/>
      <c r="T20" s="2171"/>
      <c r="U20" s="2171"/>
      <c r="V20" s="2171"/>
      <c r="W20" s="2171"/>
      <c r="X20" s="2171"/>
      <c r="Y20" s="1451"/>
      <c r="Z20" s="1451"/>
      <c r="AA20" s="1451"/>
      <c r="AB20" s="1451"/>
      <c r="AC20" s="1451"/>
      <c r="AD20" s="1451"/>
    </row>
    <row r="21" spans="1:40" s="1408" customFormat="1" ht="14.25">
      <c r="A21" s="1618" t="s">
        <v>1815</v>
      </c>
      <c r="B21" s="1459" t="s">
        <v>2735</v>
      </c>
      <c r="C21" s="1145">
        <f>IF(B21="容积率修正",IF(G3&lt;=10,D22,J22),C23)</f>
        <v>0</v>
      </c>
      <c r="D21" s="1460"/>
      <c r="E21" s="1460"/>
      <c r="F21" s="1460"/>
      <c r="G21" s="1460"/>
      <c r="H21" s="1460"/>
      <c r="I21" s="1460"/>
      <c r="J21" s="1461"/>
      <c r="K21" s="3124"/>
      <c r="L21" s="1460"/>
      <c r="M21" s="1460"/>
      <c r="N21" s="1457" t="s">
        <v>953</v>
      </c>
      <c r="O21" s="1520"/>
      <c r="P21" s="2707">
        <f>SUMPRODUCT((地价!A3:A30=YEAR(G19)&amp;"-"&amp;ROUNDUP(MONTH(G19)/3,0))*(地价!AD2:AH2=N21)*(地价!AD3:AH30))</f>
        <v>1.2800000000000001E-2</v>
      </c>
      <c r="Q21" s="2855"/>
      <c r="R21" s="2171"/>
      <c r="S21" s="2171"/>
      <c r="T21" s="2171"/>
      <c r="U21" s="2171"/>
      <c r="V21" s="2171"/>
      <c r="W21" s="2171"/>
      <c r="X21" s="2171"/>
      <c r="Y21" s="1390"/>
      <c r="Z21" s="1390"/>
      <c r="AA21" s="1390"/>
      <c r="AB21" s="1390"/>
      <c r="AC21" s="1451"/>
      <c r="AD21" s="1451"/>
    </row>
    <row r="22" spans="1:40" s="1408" customFormat="1" ht="14.25">
      <c r="A22" s="1619" t="s">
        <v>1848</v>
      </c>
      <c r="B22" s="1462" t="s">
        <v>954</v>
      </c>
      <c r="C22" s="1047" t="s">
        <v>1680</v>
      </c>
      <c r="D22" s="1047" t="b">
        <f>IF(E22=G22,F22,IF(G3&lt;=10,ROUND(F22+(H22-F22)*(G3-E22)/(G22-E22),4),"——"))</f>
        <v>0</v>
      </c>
      <c r="E22" s="1030">
        <f>ROUNDDOWN(G3,1)</f>
        <v>4</v>
      </c>
      <c r="F22" s="104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0">
        <f>ROUNDUP(G3,1)</f>
        <v>4</v>
      </c>
      <c r="H22" s="104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7" t="s">
        <v>955</v>
      </c>
      <c r="J22" s="1047" t="str">
        <f>IF(G3&gt;10,D113,"——")</f>
        <v>——</v>
      </c>
      <c r="K22" s="3127"/>
      <c r="L22" s="1460"/>
      <c r="M22" s="1460"/>
      <c r="N22" s="1457" t="s">
        <v>956</v>
      </c>
      <c r="O22" s="1520"/>
      <c r="P22" s="2707">
        <f>SUMPRODUCT((地价!A3:A30=YEAR(G19)&amp;"-"&amp;ROUNDUP(MONTH(G19)/3,0))*(地价!AD2:AH2=N22)*(地价!AD3:AH30))</f>
        <v>1.2800000000000001E-2</v>
      </c>
      <c r="Q22" s="2855"/>
      <c r="R22" s="2171"/>
      <c r="S22" s="2171"/>
      <c r="T22" s="2171"/>
      <c r="U22" s="2171"/>
      <c r="V22" s="2171"/>
      <c r="W22" s="2171"/>
      <c r="X22" s="2171"/>
      <c r="Y22" s="1451"/>
      <c r="Z22" s="1451"/>
      <c r="AA22" s="1451"/>
      <c r="AB22" s="1451"/>
      <c r="AC22" s="1451"/>
      <c r="AD22" s="1451"/>
    </row>
    <row r="23" spans="1:40" ht="15.75" thickBot="1">
      <c r="A23" s="1619" t="s">
        <v>1849</v>
      </c>
      <c r="B23" s="1462" t="s">
        <v>957</v>
      </c>
      <c r="C23" s="1048">
        <f>ROUND(IF(G3&gt;1,IF(I3&lt;7,SUMPRODUCT((B93:B98=I3)*(C92:N92=G2)*(C93:N98)),SUMIF(C92:N92,G2,C100:N100)),IF(I3&lt;7,SUMPRODUCT((B102:B107=I3)*(C92:N92=G2)*(C102:N107)),SUMIF(C92:N92,G2,C109:N109))),4)</f>
        <v>0</v>
      </c>
      <c r="D23" s="1508"/>
      <c r="E23" s="1508"/>
      <c r="F23" s="1509"/>
      <c r="G23" s="1510"/>
      <c r="H23" s="1511"/>
      <c r="I23" s="1512"/>
      <c r="J23" s="1512"/>
      <c r="K23" s="3128"/>
      <c r="L23" s="1388"/>
      <c r="M23" s="1388"/>
      <c r="N23" s="1457" t="s">
        <v>901</v>
      </c>
      <c r="O23" s="1520"/>
      <c r="P23" s="2707">
        <f>SUMPRODUCT((地价!A3:A30=YEAR(G19)&amp;"-"&amp;ROUNDUP(MONTH(G19)/3,0))*(地价!AD2:AH2=N23)*(地价!AD3:AH30))</f>
        <v>2.0299999999999999E-2</v>
      </c>
      <c r="Q23" s="2855"/>
      <c r="R23" s="2171"/>
      <c r="S23" s="2171"/>
      <c r="T23" s="2171"/>
      <c r="U23" s="2171"/>
      <c r="V23" s="2171"/>
      <c r="W23" s="2171"/>
      <c r="X23" s="2171"/>
      <c r="Y23" s="1390"/>
      <c r="Z23" s="1390"/>
      <c r="AA23" s="1390"/>
      <c r="AB23" s="1390"/>
      <c r="AC23" s="1390"/>
      <c r="AE23" s="1391"/>
      <c r="AF23" s="1391"/>
      <c r="AG23" s="1391"/>
      <c r="AH23" s="1391"/>
      <c r="AI23" s="1391"/>
      <c r="AJ23" s="1392"/>
      <c r="AK23" s="1392"/>
      <c r="AL23" s="1392"/>
      <c r="AM23" s="1392"/>
    </row>
    <row r="24" spans="1:40" s="1408" customFormat="1" ht="15.75" thickBot="1">
      <c r="A24" s="1617" t="s">
        <v>1850</v>
      </c>
      <c r="B24" s="1402" t="s">
        <v>958</v>
      </c>
      <c r="C24" s="1049">
        <f>SUMIF(A44:A87,E2,B44:B87)</f>
        <v>0</v>
      </c>
      <c r="D24" s="1513"/>
      <c r="E24" s="1514"/>
      <c r="F24" s="1514"/>
      <c r="G24" s="1514"/>
      <c r="H24" s="1514"/>
      <c r="I24" s="1514"/>
      <c r="J24" s="1514"/>
      <c r="K24" s="3128"/>
      <c r="L24" s="1460"/>
      <c r="M24" s="1460"/>
      <c r="N24" s="1457" t="s">
        <v>959</v>
      </c>
      <c r="O24" s="3132"/>
      <c r="P24" s="2707">
        <f>SUMPRODUCT((地价!A3:A30=YEAR(G19)&amp;"-"&amp;ROUNDUP(MONTH(G19)/3,0))*(地价!AD2:AH2=N24)*(地价!AD3:AH30))</f>
        <v>1.3100000000000001E-2</v>
      </c>
      <c r="Q24" s="2855"/>
      <c r="R24" s="2171"/>
      <c r="S24" s="2171"/>
      <c r="T24" s="2171"/>
      <c r="U24" s="2171"/>
      <c r="V24" s="2171"/>
      <c r="W24" s="2171"/>
      <c r="X24" s="2171"/>
      <c r="Y24" s="1451"/>
      <c r="Z24" s="1451"/>
      <c r="AA24" s="1451"/>
      <c r="AB24" s="1451"/>
      <c r="AC24" s="1451"/>
      <c r="AD24" s="1451"/>
    </row>
    <row r="25" spans="1:40" ht="15" thickBot="1">
      <c r="A25" s="1617" t="s">
        <v>1851</v>
      </c>
      <c r="B25" s="1464" t="s">
        <v>960</v>
      </c>
      <c r="C25" s="1465"/>
      <c r="D25" s="1417"/>
      <c r="E25" s="1417"/>
      <c r="F25" s="1466"/>
      <c r="G25" s="1417"/>
      <c r="H25" s="1417"/>
      <c r="I25" s="1417"/>
      <c r="J25" s="1418"/>
      <c r="K25" s="1443"/>
      <c r="L25" s="2171"/>
      <c r="M25" s="2171"/>
      <c r="N25" s="3134" t="s">
        <v>2622</v>
      </c>
      <c r="O25" s="3135"/>
      <c r="P25" s="2386">
        <f>SUMPRODUCT((地价!A3:A30=YEAR(G19)&amp;"-"&amp;ROUNDUP(MONTH(G19)/3,0))*(地价!AD2:AH2=N25)*(地价!AD3:AH30))</f>
        <v>1.8499999999999999E-2</v>
      </c>
      <c r="Q25" s="2855"/>
      <c r="R25" s="2171"/>
      <c r="S25" s="2171"/>
      <c r="T25" s="2171"/>
      <c r="U25" s="2171"/>
      <c r="V25" s="2171"/>
      <c r="W25" s="2171"/>
      <c r="X25" s="2171"/>
      <c r="Y25" s="1390"/>
      <c r="Z25" s="1390"/>
      <c r="AA25" s="1390"/>
      <c r="AB25" s="1390"/>
      <c r="AC25" s="1390"/>
      <c r="AE25" s="1391"/>
      <c r="AF25" s="1391"/>
      <c r="AG25" s="1391"/>
      <c r="AH25" s="1391"/>
      <c r="AI25" s="1392"/>
      <c r="AJ25" s="1392"/>
      <c r="AK25" s="1392"/>
      <c r="AL25" s="1392"/>
      <c r="AM25" s="1392"/>
    </row>
    <row r="26" spans="1:40" ht="14.25">
      <c r="A26" s="1467"/>
      <c r="B26" s="1462" t="s">
        <v>964</v>
      </c>
      <c r="C26" s="1050" t="e">
        <f>E29+SUM(E33:E39)</f>
        <v>#DIV/0!</v>
      </c>
      <c r="D26" s="1468"/>
      <c r="E26" s="1443"/>
      <c r="F26" s="1469"/>
      <c r="G26" s="1443"/>
      <c r="H26" s="1443"/>
      <c r="I26" s="1443"/>
      <c r="J26" s="1470"/>
      <c r="K26" s="1443"/>
      <c r="L26" s="1574" t="s">
        <v>876</v>
      </c>
      <c r="M26" s="1415" t="s">
        <v>961</v>
      </c>
      <c r="N26" s="1415" t="s">
        <v>962</v>
      </c>
      <c r="O26" s="1415" t="s">
        <v>880</v>
      </c>
      <c r="P26" s="1455" t="s">
        <v>963</v>
      </c>
      <c r="Q26" s="2855"/>
      <c r="R26" s="2171"/>
      <c r="S26" s="2171"/>
      <c r="T26" s="2171"/>
      <c r="U26" s="2171"/>
      <c r="V26" s="2171"/>
      <c r="W26" s="2171"/>
      <c r="X26" s="2171"/>
      <c r="Y26" s="1451"/>
      <c r="Z26" s="1451"/>
      <c r="AA26" s="1451"/>
      <c r="AB26" s="1451"/>
      <c r="AC26" s="1390"/>
      <c r="AE26" s="1391"/>
      <c r="AF26" s="1391"/>
      <c r="AG26" s="1391"/>
      <c r="AH26" s="1391"/>
      <c r="AI26" s="1392"/>
      <c r="AJ26" s="1392"/>
      <c r="AK26" s="1392"/>
      <c r="AL26" s="1392"/>
      <c r="AM26" s="1392"/>
    </row>
    <row r="27" spans="1:40" ht="15" thickBot="1">
      <c r="A27" s="1467"/>
      <c r="B27" s="1471" t="s">
        <v>966</v>
      </c>
      <c r="C27" s="1051" t="e">
        <f>E30+SUM(I33:I39)</f>
        <v>#DIV/0!</v>
      </c>
      <c r="D27" s="1472"/>
      <c r="E27" s="1473"/>
      <c r="F27" s="1474"/>
      <c r="G27" s="1473"/>
      <c r="H27" s="1473"/>
      <c r="I27" s="1473"/>
      <c r="J27" s="1475"/>
      <c r="K27" s="1443"/>
      <c r="L27" s="1447" t="s">
        <v>965</v>
      </c>
      <c r="M27" s="1038">
        <v>0.25</v>
      </c>
      <c r="N27" s="1038">
        <v>0.2</v>
      </c>
      <c r="O27" s="1038">
        <v>0.15</v>
      </c>
      <c r="P27" s="1517">
        <v>0.1</v>
      </c>
      <c r="Q27" s="2171"/>
      <c r="R27" s="2855"/>
      <c r="S27" s="2855"/>
      <c r="T27" s="2855"/>
      <c r="U27" s="2855"/>
      <c r="V27" s="2855"/>
      <c r="W27" s="2171"/>
      <c r="X27" s="2171"/>
      <c r="Y27" s="2171"/>
      <c r="Z27" s="2171"/>
      <c r="AA27" s="2171"/>
      <c r="AB27" s="2171"/>
      <c r="AC27" s="2171"/>
    </row>
    <row r="28" spans="1:40" ht="15" thickBot="1">
      <c r="A28" s="1463"/>
      <c r="B28" s="1476" t="s">
        <v>967</v>
      </c>
      <c r="C28" s="1477" t="s">
        <v>968</v>
      </c>
      <c r="D28" s="1477" t="s">
        <v>969</v>
      </c>
      <c r="E28" s="1478" t="s">
        <v>970</v>
      </c>
      <c r="F28" s="1479"/>
      <c r="G28" s="1429"/>
      <c r="H28" s="1429"/>
      <c r="I28" s="1429"/>
      <c r="J28" s="1430"/>
      <c r="K28" s="1443"/>
      <c r="L28" s="1448" t="s">
        <v>951</v>
      </c>
      <c r="M28" s="1518">
        <f ca="1">ROUND($E$20*(1+M27),3)</f>
        <v>5.3999999999999999E-2</v>
      </c>
      <c r="N28" s="1518">
        <f ca="1">ROUND($E$20*(1+N27),3)</f>
        <v>5.1999999999999998E-2</v>
      </c>
      <c r="O28" s="1518">
        <f ca="1">ROUND($E$20*(1+O27),3)</f>
        <v>0.05</v>
      </c>
      <c r="P28" s="1519">
        <f ca="1">ROUND($E$20*(1+P27),3)</f>
        <v>4.8000000000000001E-2</v>
      </c>
      <c r="Q28" s="2171"/>
      <c r="R28" s="2855"/>
      <c r="S28" s="2855"/>
      <c r="T28" s="2855"/>
      <c r="U28" s="2855"/>
      <c r="V28" s="2855"/>
      <c r="W28" s="2171"/>
      <c r="X28" s="2171"/>
      <c r="Y28" s="2171"/>
      <c r="Z28" s="2171"/>
      <c r="AA28" s="2171"/>
      <c r="AB28" s="2171"/>
      <c r="AC28" s="2171"/>
      <c r="AD28" s="1451"/>
      <c r="AE28" s="1451"/>
      <c r="AF28" s="1451"/>
      <c r="AG28" s="1451"/>
    </row>
    <row r="29" spans="1:40" ht="14.25">
      <c r="A29" s="1480"/>
      <c r="B29" s="1481" t="s">
        <v>971</v>
      </c>
      <c r="C29" s="1050" t="e">
        <f>ROUND(C5*C18*C19*C20*C21*C24,0)</f>
        <v>#DIV/0!</v>
      </c>
      <c r="D29" s="1482"/>
      <c r="E29" s="1825" t="e">
        <f>ROUND(C29*D29/10000,0)</f>
        <v>#DIV/0!</v>
      </c>
      <c r="F29" s="1483" t="s">
        <v>1679</v>
      </c>
      <c r="G29" s="1484"/>
      <c r="H29" s="1484"/>
      <c r="I29" s="1484"/>
      <c r="J29" s="1485"/>
      <c r="K29" s="3129"/>
      <c r="L29" s="3129"/>
      <c r="M29" s="3129"/>
      <c r="N29" s="3129"/>
      <c r="O29" s="3129"/>
      <c r="P29" s="1388"/>
      <c r="Q29" s="2171"/>
      <c r="R29" s="2171"/>
      <c r="S29" s="2171"/>
      <c r="T29" s="2171"/>
      <c r="U29" s="2171"/>
      <c r="V29" s="2171"/>
      <c r="W29" s="2855"/>
      <c r="X29" s="2855"/>
      <c r="Y29" s="2855"/>
      <c r="Z29" s="2855"/>
      <c r="AA29" s="2855"/>
      <c r="AB29" s="2171"/>
      <c r="AC29" s="2171"/>
      <c r="AD29" s="2171"/>
      <c r="AE29" s="2171"/>
      <c r="AF29" s="2171"/>
      <c r="AG29" s="2171"/>
      <c r="AH29" s="2171"/>
      <c r="AJ29" s="1390"/>
      <c r="AK29" s="1390"/>
      <c r="AL29" s="1390"/>
      <c r="AM29" s="1389"/>
      <c r="AN29" s="1389"/>
    </row>
    <row r="30" spans="1:40" ht="24.75" thickBot="1">
      <c r="A30" s="1486"/>
      <c r="B30" s="1487" t="s">
        <v>972</v>
      </c>
      <c r="C30" s="1042" t="e">
        <f>ROUND(IF(E2="工业",C29*M39,C29*M38),0)</f>
        <v>#DIV/0!</v>
      </c>
      <c r="D30" s="1488"/>
      <c r="E30" s="1825" t="e">
        <f>ROUND(C30*D30/10000,0)</f>
        <v>#DIV/0!</v>
      </c>
      <c r="F30" s="1489" t="s">
        <v>973</v>
      </c>
      <c r="G30" s="1490"/>
      <c r="H30" s="1490"/>
      <c r="I30" s="1490"/>
      <c r="J30" s="1491"/>
      <c r="K30" s="1443"/>
      <c r="L30" s="1443"/>
      <c r="M30" s="1443"/>
      <c r="N30" s="1443"/>
      <c r="O30" s="1443"/>
      <c r="P30" s="1388"/>
      <c r="Q30" s="2165"/>
      <c r="R30" s="2165"/>
      <c r="S30" s="2165"/>
      <c r="T30" s="2165"/>
      <c r="U30" s="2165"/>
      <c r="V30" s="2165"/>
      <c r="W30" s="2166"/>
      <c r="X30" s="2166"/>
      <c r="Y30" s="2166"/>
      <c r="Z30" s="2166"/>
      <c r="AA30" s="2166"/>
      <c r="AB30" s="2165"/>
      <c r="AC30" s="2165"/>
      <c r="AD30" s="2165"/>
      <c r="AE30" s="2165"/>
      <c r="AF30" s="2165"/>
      <c r="AG30" s="2165"/>
      <c r="AH30" s="2165"/>
      <c r="AI30" s="1451"/>
      <c r="AJ30" s="1451"/>
      <c r="AK30" s="1451"/>
      <c r="AL30" s="1451"/>
      <c r="AM30" s="1389"/>
      <c r="AN30" s="1389"/>
    </row>
    <row r="31" spans="1:40">
      <c r="A31" s="1492"/>
      <c r="B31" s="1493" t="s">
        <v>974</v>
      </c>
      <c r="C31" s="1494" t="s">
        <v>975</v>
      </c>
      <c r="D31" s="1429"/>
      <c r="E31" s="1494"/>
      <c r="F31" s="1494"/>
      <c r="G31" s="1427" t="s">
        <v>973</v>
      </c>
      <c r="H31" s="1429"/>
      <c r="I31" s="1495"/>
      <c r="J31" s="1430"/>
      <c r="K31" s="1443"/>
      <c r="L31" s="1443"/>
      <c r="M31" s="1443"/>
      <c r="N31" s="1443"/>
      <c r="O31" s="1443"/>
      <c r="P31" s="1388"/>
      <c r="Q31" s="2165"/>
      <c r="R31" s="2165"/>
      <c r="S31" s="2165"/>
      <c r="T31" s="2165"/>
      <c r="U31" s="2165"/>
      <c r="V31" s="2165"/>
      <c r="W31" s="2166"/>
      <c r="X31" s="2166"/>
      <c r="Y31" s="2166"/>
      <c r="Z31" s="2166"/>
      <c r="AA31" s="2166"/>
      <c r="AB31" s="2165"/>
      <c r="AC31" s="2165"/>
      <c r="AD31" s="2165"/>
      <c r="AE31" s="2165"/>
      <c r="AF31" s="2165"/>
      <c r="AG31" s="2165"/>
      <c r="AH31" s="2165"/>
      <c r="AJ31" s="1390"/>
      <c r="AK31" s="1390"/>
      <c r="AL31" s="1390"/>
      <c r="AM31" s="1389"/>
      <c r="AN31" s="1389"/>
    </row>
    <row r="32" spans="1:40" ht="24">
      <c r="A32" s="1480"/>
      <c r="B32" s="1496"/>
      <c r="C32" s="1497" t="s">
        <v>968</v>
      </c>
      <c r="D32" s="1498" t="s">
        <v>969</v>
      </c>
      <c r="E32" s="1498" t="s">
        <v>970</v>
      </c>
      <c r="F32" s="1499" t="s">
        <v>976</v>
      </c>
      <c r="G32" s="1458" t="s">
        <v>968</v>
      </c>
      <c r="H32" s="1458" t="s">
        <v>969</v>
      </c>
      <c r="I32" s="1458" t="s">
        <v>970</v>
      </c>
      <c r="J32" s="1500"/>
      <c r="K32" s="3130"/>
      <c r="L32" s="3130"/>
      <c r="M32" s="3130"/>
      <c r="N32" s="3130"/>
      <c r="O32" s="3130"/>
      <c r="P32" s="1388"/>
      <c r="Q32" s="2165"/>
      <c r="R32" s="2165"/>
      <c r="S32" s="2165"/>
      <c r="T32" s="2165"/>
      <c r="U32" s="2165"/>
      <c r="V32" s="2165"/>
      <c r="W32" s="2166"/>
      <c r="X32" s="2166"/>
      <c r="Y32" s="2166"/>
      <c r="Z32" s="2166"/>
      <c r="AA32" s="2166"/>
      <c r="AB32" s="2165"/>
      <c r="AC32" s="2165"/>
      <c r="AD32" s="2165"/>
      <c r="AE32" s="2165"/>
      <c r="AF32" s="2165"/>
      <c r="AG32" s="2165"/>
      <c r="AH32" s="2165"/>
      <c r="AI32" s="1389"/>
      <c r="AJ32" s="1389"/>
      <c r="AK32" s="1389"/>
      <c r="AL32" s="1389"/>
      <c r="AM32" s="1389"/>
      <c r="AN32" s="1389"/>
    </row>
    <row r="33" spans="1:44" ht="12.75">
      <c r="A33" s="3833" t="s">
        <v>2936</v>
      </c>
      <c r="B33" s="1502" t="s">
        <v>977</v>
      </c>
      <c r="C33" s="1050" t="e">
        <f>ROUND(D5*C19*C20*C24*F33,0)</f>
        <v>#DIV/0!</v>
      </c>
      <c r="D33" s="1515"/>
      <c r="E33" s="1039" t="e">
        <f>ROUND(C33*D33/10000,0)</f>
        <v>#DIV/0!</v>
      </c>
      <c r="F33" s="1039">
        <f>SUMIF(修正!A45:A56,G2,修正!B45:B56)</f>
        <v>0</v>
      </c>
      <c r="G33" s="1039" t="e">
        <f t="shared" ref="G33" si="6">ROUND(IF(E2="工业",C33*$M$39,C33*$M$38),0)</f>
        <v>#DIV/0!</v>
      </c>
      <c r="H33" s="1039">
        <f>D33</f>
        <v>0</v>
      </c>
      <c r="I33" s="1039" t="e">
        <f>ROUND(G33*H33/10000,0)</f>
        <v>#DIV/0!</v>
      </c>
      <c r="J33" s="1503"/>
      <c r="K33" s="3131"/>
      <c r="L33" s="3131"/>
      <c r="M33" s="3131"/>
      <c r="N33" s="3131"/>
      <c r="O33" s="3131"/>
      <c r="P33" s="1388"/>
      <c r="Q33" s="2165"/>
      <c r="R33" s="2165"/>
      <c r="S33" s="2165"/>
      <c r="T33" s="2165"/>
      <c r="U33" s="2165"/>
      <c r="V33" s="2165"/>
      <c r="W33" s="2166"/>
      <c r="X33" s="2166"/>
      <c r="Y33" s="2166"/>
      <c r="Z33" s="2166"/>
      <c r="AA33" s="2166"/>
      <c r="AB33" s="2165"/>
      <c r="AC33" s="2165"/>
      <c r="AD33" s="2165"/>
      <c r="AE33" s="2165"/>
      <c r="AF33" s="2165"/>
      <c r="AG33" s="2165"/>
      <c r="AH33" s="2166"/>
      <c r="AJ33" s="1390"/>
      <c r="AK33" s="1390"/>
      <c r="AL33" s="1390"/>
      <c r="AM33" s="1390"/>
      <c r="AN33" s="1390"/>
      <c r="AO33" s="1391"/>
      <c r="AP33" s="1391"/>
      <c r="AQ33" s="1391"/>
      <c r="AR33" s="1391"/>
    </row>
    <row r="34" spans="1:44" ht="12.75">
      <c r="A34" s="3834"/>
      <c r="B34" s="1432" t="s">
        <v>978</v>
      </c>
      <c r="C34" s="1050" t="e">
        <f>ROUND(D5*C19*C20*C24*F34,0)</f>
        <v>#DIV/0!</v>
      </c>
      <c r="D34" s="1515"/>
      <c r="E34" s="1039" t="e">
        <f t="shared" ref="E34:E39" si="7">ROUND(C34*D34/10000,0)</f>
        <v>#DIV/0!</v>
      </c>
      <c r="F34" s="1039">
        <f>SUMIF(修正!A45:A56,G2,修正!C45:C56)</f>
        <v>0</v>
      </c>
      <c r="G34" s="1039" t="e">
        <f>ROUND(IF(E2="工业",C34*$M$39,C34*$M$38),0)</f>
        <v>#DIV/0!</v>
      </c>
      <c r="H34" s="1039">
        <f t="shared" ref="H34:H39" si="8">D34</f>
        <v>0</v>
      </c>
      <c r="I34" s="1039" t="e">
        <f t="shared" ref="I34:I39" si="9">ROUND(G34*H34/10000,0)</f>
        <v>#DIV/0!</v>
      </c>
      <c r="J34" s="1503"/>
      <c r="K34" s="3131"/>
      <c r="L34" s="3131"/>
      <c r="M34" s="3131"/>
      <c r="N34" s="3131"/>
      <c r="O34" s="3131"/>
      <c r="P34" s="1388"/>
      <c r="Q34" s="2165"/>
      <c r="R34" s="2165"/>
      <c r="S34" s="2165"/>
      <c r="T34" s="2165"/>
      <c r="U34" s="2165"/>
      <c r="V34" s="2165"/>
      <c r="W34" s="2166"/>
      <c r="X34" s="2166"/>
      <c r="Y34" s="2166"/>
      <c r="Z34" s="2166"/>
      <c r="AA34" s="2166"/>
      <c r="AB34" s="2165"/>
      <c r="AC34" s="2165"/>
      <c r="AD34" s="2165"/>
      <c r="AE34" s="2165"/>
      <c r="AF34" s="2165"/>
      <c r="AG34" s="2165"/>
      <c r="AH34" s="2166"/>
      <c r="AJ34" s="1390"/>
      <c r="AK34" s="1390"/>
      <c r="AL34" s="1390"/>
      <c r="AM34" s="1390"/>
      <c r="AN34" s="1390"/>
      <c r="AO34" s="1391"/>
      <c r="AP34" s="1391"/>
      <c r="AQ34" s="1391"/>
      <c r="AR34" s="1391"/>
    </row>
    <row r="35" spans="1:44" ht="12.75">
      <c r="A35" s="3834"/>
      <c r="B35" s="1432" t="s">
        <v>979</v>
      </c>
      <c r="C35" s="1050" t="e">
        <f>ROUND(D5*C19*C20*C24*F35,0)</f>
        <v>#DIV/0!</v>
      </c>
      <c r="D35" s="1515"/>
      <c r="E35" s="1039" t="e">
        <f t="shared" si="7"/>
        <v>#DIV/0!</v>
      </c>
      <c r="F35" s="1039">
        <f>SUMIF(修正!A45:A56,G2,修正!D45:D56)</f>
        <v>0</v>
      </c>
      <c r="G35" s="1039" t="e">
        <f>ROUND(IF(E2="工业",C35*$M$39,C35*$M$38),0)</f>
        <v>#DIV/0!</v>
      </c>
      <c r="H35" s="1039">
        <f t="shared" si="8"/>
        <v>0</v>
      </c>
      <c r="I35" s="1039" t="e">
        <f t="shared" si="9"/>
        <v>#DIV/0!</v>
      </c>
      <c r="J35" s="1503"/>
      <c r="K35" s="3131"/>
      <c r="L35" s="3131"/>
      <c r="M35" s="3131"/>
      <c r="N35" s="3131"/>
      <c r="O35" s="3131"/>
      <c r="P35" s="1388"/>
      <c r="Q35" s="2165"/>
      <c r="R35" s="2165"/>
      <c r="S35" s="2165"/>
      <c r="T35" s="2165"/>
      <c r="U35" s="2165"/>
      <c r="V35" s="2165"/>
      <c r="W35" s="2166"/>
      <c r="X35" s="2166"/>
      <c r="Y35" s="2166"/>
      <c r="Z35" s="2166"/>
      <c r="AA35" s="2166"/>
      <c r="AB35" s="2165"/>
      <c r="AC35" s="2165"/>
      <c r="AD35" s="2165"/>
      <c r="AE35" s="2165"/>
      <c r="AF35" s="2165"/>
      <c r="AG35" s="2165"/>
      <c r="AH35" s="2166"/>
      <c r="AJ35" s="1390"/>
      <c r="AK35" s="1390"/>
      <c r="AL35" s="1390"/>
      <c r="AM35" s="1390"/>
      <c r="AN35" s="1390"/>
      <c r="AO35" s="1391"/>
      <c r="AP35" s="1391"/>
      <c r="AQ35" s="1391"/>
      <c r="AR35" s="1391"/>
    </row>
    <row r="36" spans="1:44" ht="13.5" thickBot="1">
      <c r="A36" s="3835"/>
      <c r="B36" s="1432" t="s">
        <v>980</v>
      </c>
      <c r="C36" s="1050" t="e">
        <f>ROUND(D5*C19*C20*C24*F36,0)</f>
        <v>#DIV/0!</v>
      </c>
      <c r="D36" s="1515"/>
      <c r="E36" s="1039" t="e">
        <f t="shared" si="7"/>
        <v>#DIV/0!</v>
      </c>
      <c r="F36" s="1039">
        <f>SUMIF(修正!A45:A56,G2,修正!E45:E56)</f>
        <v>0</v>
      </c>
      <c r="G36" s="1039" t="e">
        <f>ROUND(IF(E2="工业",C36*$M$39,C36*$M$38),0)</f>
        <v>#DIV/0!</v>
      </c>
      <c r="H36" s="1039">
        <f t="shared" si="8"/>
        <v>0</v>
      </c>
      <c r="I36" s="1039" t="e">
        <f t="shared" si="9"/>
        <v>#DIV/0!</v>
      </c>
      <c r="J36" s="1503"/>
      <c r="K36" s="3131"/>
      <c r="L36" s="3131"/>
      <c r="M36" s="3131"/>
      <c r="N36" s="3131"/>
      <c r="O36" s="3131"/>
      <c r="P36" s="1388"/>
      <c r="Q36" s="2165"/>
      <c r="R36" s="2165"/>
      <c r="S36" s="2165"/>
      <c r="T36" s="2165"/>
      <c r="U36" s="2165"/>
      <c r="V36" s="2165"/>
      <c r="W36" s="2166"/>
      <c r="X36" s="2166"/>
      <c r="Y36" s="2166"/>
      <c r="Z36" s="2166"/>
      <c r="AA36" s="2166"/>
      <c r="AB36" s="2165"/>
      <c r="AC36" s="2165"/>
      <c r="AD36" s="2165"/>
      <c r="AE36" s="2165"/>
      <c r="AF36" s="2165"/>
      <c r="AG36" s="2165"/>
      <c r="AH36" s="2166"/>
      <c r="AJ36" s="1390"/>
      <c r="AK36" s="1390"/>
      <c r="AL36" s="1390"/>
      <c r="AM36" s="1390"/>
      <c r="AN36" s="1390"/>
      <c r="AO36" s="1391"/>
      <c r="AP36" s="1391"/>
      <c r="AQ36" s="1391"/>
      <c r="AR36" s="1391"/>
    </row>
    <row r="37" spans="1:44" ht="12.75">
      <c r="A37" s="1501"/>
      <c r="B37" s="1432" t="s">
        <v>981</v>
      </c>
      <c r="C37" s="1039" t="e">
        <f>ROUND(D5*C19*C20*C24*F37,0)</f>
        <v>#DIV/0!</v>
      </c>
      <c r="D37" s="1515"/>
      <c r="E37" s="1039" t="e">
        <f t="shared" si="7"/>
        <v>#DIV/0!</v>
      </c>
      <c r="F37" s="1050">
        <f>SUMIF(修正!A45:A56,G2,修正!F45:F56)</f>
        <v>0</v>
      </c>
      <c r="G37" s="1039" t="e">
        <f>ROUND(IF(E2="工业",C37*$M$39,C37*$M$38),0)</f>
        <v>#DIV/0!</v>
      </c>
      <c r="H37" s="1039">
        <f t="shared" si="8"/>
        <v>0</v>
      </c>
      <c r="I37" s="1039" t="e">
        <f t="shared" si="9"/>
        <v>#DIV/0!</v>
      </c>
      <c r="J37" s="1503"/>
      <c r="K37" s="1388"/>
      <c r="L37" s="1521" t="s">
        <v>1681</v>
      </c>
      <c r="M37" s="1522"/>
      <c r="N37" s="2165"/>
      <c r="O37" s="2165"/>
      <c r="P37" s="2165"/>
      <c r="Q37" s="2165"/>
      <c r="R37" s="2166"/>
      <c r="S37" s="2166"/>
      <c r="T37" s="2166"/>
      <c r="U37" s="2166"/>
      <c r="V37" s="2166"/>
      <c r="W37" s="2165"/>
      <c r="X37" s="2165"/>
      <c r="Y37" s="2165"/>
      <c r="Z37" s="2165"/>
      <c r="AA37" s="2165"/>
      <c r="AB37" s="2165"/>
      <c r="AC37" s="2166"/>
    </row>
    <row r="38" spans="1:44" ht="12.75">
      <c r="A38" s="1501"/>
      <c r="B38" s="1432" t="s">
        <v>982</v>
      </c>
      <c r="C38" s="1039" t="e">
        <f>ROUND(D5*C19*C41*C24*F38,0)</f>
        <v>#DIV/0!</v>
      </c>
      <c r="D38" s="1515"/>
      <c r="E38" s="1039" t="e">
        <f t="shared" si="7"/>
        <v>#DIV/0!</v>
      </c>
      <c r="F38" s="1050">
        <f>SUMIF(修正!A45:A56,G2,修正!G45:G56)</f>
        <v>0</v>
      </c>
      <c r="G38" s="1039" t="e">
        <f>ROUND(IF(E2="工业",C38*$M$39,C38*$M$38),0)</f>
        <v>#DIV/0!</v>
      </c>
      <c r="H38" s="1039">
        <f t="shared" si="8"/>
        <v>0</v>
      </c>
      <c r="I38" s="1039" t="e">
        <f t="shared" si="9"/>
        <v>#DIV/0!</v>
      </c>
      <c r="J38" s="1503"/>
      <c r="K38" s="1388"/>
      <c r="L38" s="1523" t="s">
        <v>1683</v>
      </c>
      <c r="M38" s="1524">
        <v>0.25</v>
      </c>
      <c r="N38" s="2165"/>
      <c r="O38" s="2165"/>
      <c r="P38" s="2165"/>
      <c r="Q38" s="2165"/>
      <c r="R38" s="2166"/>
      <c r="S38" s="2166"/>
      <c r="T38" s="2166"/>
      <c r="U38" s="2166"/>
      <c r="V38" s="2166"/>
      <c r="W38" s="2165"/>
      <c r="X38" s="2165"/>
      <c r="Y38" s="2165"/>
      <c r="Z38" s="2165"/>
      <c r="AA38" s="2165"/>
      <c r="AB38" s="2165"/>
      <c r="AC38" s="2166"/>
    </row>
    <row r="39" spans="1:44" ht="13.5" thickBot="1">
      <c r="A39" s="1486"/>
      <c r="B39" s="1504" t="s">
        <v>983</v>
      </c>
      <c r="C39" s="1042" t="e">
        <f>ROUND(D5*C19*C41*C24*F39,0)</f>
        <v>#DIV/0!</v>
      </c>
      <c r="D39" s="1516"/>
      <c r="E39" s="1042" t="e">
        <f t="shared" si="7"/>
        <v>#DIV/0!</v>
      </c>
      <c r="F39" s="1052">
        <f>SUMIF(修正!A45:A56,G2,修正!H45:H56)</f>
        <v>0</v>
      </c>
      <c r="G39" s="1042" t="e">
        <f>ROUND(IF(E2="工业",C39*$M$39,C39*$M$38),0)</f>
        <v>#DIV/0!</v>
      </c>
      <c r="H39" s="1042">
        <f t="shared" si="8"/>
        <v>0</v>
      </c>
      <c r="I39" s="1042" t="e">
        <f t="shared" si="9"/>
        <v>#DIV/0!</v>
      </c>
      <c r="J39" s="1505"/>
      <c r="K39" s="1388"/>
      <c r="L39" s="1525" t="s">
        <v>1682</v>
      </c>
      <c r="M39" s="1526">
        <v>0.15</v>
      </c>
      <c r="N39" s="2165"/>
      <c r="O39" s="2165"/>
      <c r="P39" s="2165"/>
      <c r="Q39" s="2165"/>
      <c r="R39" s="2166"/>
      <c r="S39" s="2166"/>
      <c r="T39" s="2166"/>
      <c r="U39" s="2166"/>
      <c r="V39" s="2166"/>
      <c r="W39" s="2165"/>
      <c r="X39" s="2165"/>
      <c r="Y39" s="2165"/>
      <c r="Z39" s="2165"/>
      <c r="AA39" s="2165"/>
      <c r="AB39" s="2165"/>
      <c r="AC39" s="2166"/>
    </row>
    <row r="40" spans="1:44" s="1389" customFormat="1">
      <c r="B40" s="2172"/>
      <c r="C40" s="2172"/>
      <c r="D40" s="2172"/>
      <c r="E40" s="2172"/>
      <c r="F40" s="2172"/>
      <c r="G40" s="2172"/>
      <c r="H40" s="2172"/>
      <c r="I40" s="2172"/>
      <c r="J40" s="2172"/>
      <c r="K40" s="2172"/>
      <c r="L40" s="2172"/>
      <c r="M40" s="2172"/>
      <c r="N40" s="2172"/>
      <c r="O40" s="2172"/>
      <c r="P40" s="2172"/>
      <c r="Q40" s="2172"/>
      <c r="R40" s="2173"/>
      <c r="S40" s="2173"/>
      <c r="T40" s="2173"/>
      <c r="U40" s="2173"/>
      <c r="V40" s="2173"/>
      <c r="W40" s="2172"/>
      <c r="X40" s="2172"/>
      <c r="Y40" s="2172"/>
      <c r="Z40" s="2172"/>
      <c r="AA40" s="2172"/>
      <c r="AB40" s="2172"/>
      <c r="AC40" s="2173"/>
      <c r="AD40" s="1390"/>
      <c r="AE40" s="1390"/>
      <c r="AF40" s="1390"/>
      <c r="AG40" s="1390"/>
      <c r="AH40" s="1390"/>
      <c r="AI40" s="1390"/>
      <c r="AJ40" s="1390"/>
      <c r="AK40" s="1390"/>
      <c r="AL40" s="1390"/>
      <c r="AM40" s="1390"/>
    </row>
    <row r="41" spans="1:44" s="1389" customFormat="1" ht="12.75">
      <c r="A41" s="1390"/>
      <c r="B41" s="3122" t="s">
        <v>2960</v>
      </c>
      <c r="C41" s="839" t="e">
        <f>ROUND(POWER(1+E41,H41-G41)*(POWER(1+E41,G41)-1)/(POWER(1+E41,H41)-1),4)</f>
        <v>#DIV/0!</v>
      </c>
      <c r="D41" s="378" t="s">
        <v>2958</v>
      </c>
      <c r="E41" s="3121">
        <f>G20</f>
        <v>0</v>
      </c>
      <c r="F41" s="378" t="s">
        <v>2959</v>
      </c>
      <c r="G41" s="396"/>
      <c r="H41" s="378">
        <v>50</v>
      </c>
      <c r="I41" s="2172"/>
      <c r="J41" s="2172"/>
      <c r="K41" s="2172"/>
      <c r="L41" s="2172"/>
      <c r="M41" s="2172"/>
      <c r="N41" s="2172"/>
      <c r="O41" s="2172"/>
      <c r="P41" s="2172"/>
      <c r="Q41" s="2172"/>
      <c r="R41" s="2173"/>
      <c r="S41" s="2173"/>
      <c r="T41" s="2173"/>
      <c r="U41" s="2173"/>
      <c r="V41" s="2173"/>
      <c r="W41" s="2172"/>
      <c r="X41" s="2172"/>
      <c r="Y41" s="2172"/>
      <c r="Z41" s="2172"/>
      <c r="AA41" s="2172"/>
      <c r="AB41" s="2172"/>
      <c r="AC41" s="2173"/>
      <c r="AD41" s="1390"/>
      <c r="AE41" s="1390"/>
      <c r="AF41" s="1390"/>
      <c r="AG41" s="1390"/>
      <c r="AH41" s="1390"/>
      <c r="AI41" s="1390"/>
      <c r="AJ41" s="1390"/>
      <c r="AK41" s="1390"/>
      <c r="AL41" s="1390"/>
      <c r="AM41" s="1390"/>
    </row>
    <row r="42" spans="1:44" s="1389" customFormat="1">
      <c r="A42" s="1390"/>
      <c r="B42" s="2174"/>
      <c r="C42" s="2172"/>
      <c r="D42" s="2172"/>
      <c r="E42" s="2172"/>
      <c r="F42" s="2172"/>
      <c r="G42" s="2172"/>
      <c r="H42" s="2172"/>
      <c r="I42" s="2172"/>
      <c r="J42" s="2172"/>
      <c r="K42" s="2172"/>
      <c r="L42" s="2172"/>
      <c r="M42" s="2172"/>
      <c r="N42" s="2172"/>
      <c r="O42" s="2172"/>
      <c r="P42" s="2172"/>
      <c r="Q42" s="2172"/>
      <c r="R42" s="2173"/>
      <c r="S42" s="2173"/>
      <c r="T42" s="2173"/>
      <c r="U42" s="2173"/>
      <c r="V42" s="2173"/>
      <c r="W42" s="2172"/>
      <c r="X42" s="2172"/>
      <c r="Y42" s="2172"/>
      <c r="Z42" s="2172"/>
      <c r="AA42" s="2172"/>
      <c r="AB42" s="2172"/>
      <c r="AC42" s="2173"/>
      <c r="AD42" s="1390"/>
      <c r="AE42" s="1390"/>
      <c r="AF42" s="1390"/>
      <c r="AG42" s="1390"/>
      <c r="AH42" s="1390"/>
      <c r="AI42" s="1390"/>
      <c r="AJ42" s="1390"/>
      <c r="AK42" s="1390"/>
      <c r="AL42" s="1390"/>
      <c r="AM42" s="1390"/>
    </row>
    <row r="43" spans="1:44" s="1389" customFormat="1">
      <c r="A43" s="1390"/>
      <c r="B43" s="2174"/>
      <c r="C43" s="2172"/>
      <c r="D43" s="2172"/>
      <c r="E43" s="2172"/>
      <c r="F43" s="2172"/>
      <c r="G43" s="2172"/>
      <c r="H43" s="2172"/>
      <c r="I43" s="2172"/>
      <c r="J43" s="2172"/>
      <c r="K43" s="2172"/>
      <c r="L43" s="2172"/>
      <c r="M43" s="2172"/>
      <c r="N43" s="2172"/>
      <c r="O43" s="2172"/>
      <c r="P43" s="2172"/>
      <c r="Q43" s="2172"/>
      <c r="R43" s="2173"/>
      <c r="S43" s="2173"/>
      <c r="T43" s="2173"/>
      <c r="U43" s="2173"/>
      <c r="V43" s="2173"/>
      <c r="W43" s="2172"/>
      <c r="X43" s="2172"/>
      <c r="Y43" s="2172"/>
      <c r="Z43" s="2172"/>
      <c r="AA43" s="2172"/>
      <c r="AB43" s="2172"/>
      <c r="AC43" s="2173"/>
      <c r="AD43" s="1390"/>
      <c r="AE43" s="1390"/>
      <c r="AF43" s="1390"/>
      <c r="AG43" s="1390"/>
      <c r="AH43" s="1390"/>
      <c r="AI43" s="1390"/>
      <c r="AJ43" s="1390"/>
      <c r="AK43" s="1390"/>
      <c r="AL43" s="1390"/>
      <c r="AM43" s="1390"/>
    </row>
    <row r="44" spans="1:44" s="1389" customFormat="1" ht="15" thickBot="1">
      <c r="A44" s="2358" t="s">
        <v>984</v>
      </c>
      <c r="B44" s="2359"/>
      <c r="C44" s="2360"/>
      <c r="D44" s="2361"/>
      <c r="E44" s="2361"/>
      <c r="F44" s="2362"/>
      <c r="G44" s="1053"/>
      <c r="H44" s="2362"/>
      <c r="I44" s="1053"/>
      <c r="J44" s="1053"/>
      <c r="K44" s="1053"/>
      <c r="L44" s="1053"/>
      <c r="M44" s="1053"/>
      <c r="O44" s="2172"/>
      <c r="P44" s="2172"/>
      <c r="Q44" s="2172"/>
      <c r="R44" s="2173"/>
      <c r="S44" s="2173"/>
      <c r="T44" s="2173"/>
      <c r="U44" s="2173"/>
      <c r="V44" s="2173"/>
      <c r="W44" s="2172"/>
      <c r="X44" s="2172"/>
      <c r="Y44" s="2172"/>
      <c r="Z44" s="2172"/>
      <c r="AA44" s="2172"/>
      <c r="AB44" s="2172"/>
      <c r="AC44" s="2173"/>
      <c r="AD44" s="1390"/>
      <c r="AE44" s="1390"/>
      <c r="AF44" s="1390"/>
      <c r="AG44" s="1390"/>
      <c r="AH44" s="1390"/>
      <c r="AI44" s="1390"/>
      <c r="AJ44" s="1390"/>
      <c r="AK44" s="1390"/>
      <c r="AL44" s="1390"/>
      <c r="AM44" s="1390"/>
    </row>
    <row r="45" spans="1:44" s="1389" customFormat="1" ht="15">
      <c r="A45" s="2363" t="s">
        <v>985</v>
      </c>
      <c r="B45" s="2364">
        <f>1+E47</f>
        <v>1</v>
      </c>
      <c r="C45" s="2365"/>
      <c r="D45" s="2366"/>
      <c r="E45" s="2367"/>
      <c r="F45" s="2368"/>
      <c r="G45" s="2362"/>
      <c r="H45" s="2362"/>
      <c r="I45" s="1053"/>
      <c r="J45" s="1053"/>
      <c r="K45" s="1053"/>
      <c r="L45" s="1053"/>
      <c r="M45" s="1053"/>
      <c r="O45" s="2172"/>
      <c r="P45" s="2172"/>
      <c r="Q45" s="2172"/>
      <c r="R45" s="2173"/>
      <c r="S45" s="2173"/>
      <c r="T45" s="2173"/>
      <c r="U45" s="2173"/>
      <c r="V45" s="2173"/>
      <c r="W45" s="2172"/>
      <c r="X45" s="2172"/>
      <c r="Y45" s="2172"/>
      <c r="Z45" s="2172"/>
      <c r="AA45" s="2172"/>
      <c r="AB45" s="2172"/>
      <c r="AC45" s="2173"/>
      <c r="AD45" s="1390"/>
      <c r="AE45" s="1390"/>
      <c r="AF45" s="1390"/>
      <c r="AG45" s="1390"/>
      <c r="AH45" s="1390"/>
      <c r="AI45" s="1390"/>
      <c r="AJ45" s="1390"/>
      <c r="AK45" s="1390"/>
      <c r="AL45" s="1390"/>
      <c r="AM45" s="1390"/>
    </row>
    <row r="46" spans="1:44" s="1389" customFormat="1" ht="24">
      <c r="A46" s="1054" t="s">
        <v>986</v>
      </c>
      <c r="B46" s="2347" t="s">
        <v>987</v>
      </c>
      <c r="C46" s="2369" t="s">
        <v>988</v>
      </c>
      <c r="D46" s="2370" t="s">
        <v>989</v>
      </c>
      <c r="E46" s="2371" t="s">
        <v>991</v>
      </c>
      <c r="F46" s="2372" t="s">
        <v>2226</v>
      </c>
      <c r="G46" s="2370" t="s">
        <v>992</v>
      </c>
      <c r="H46" s="2353" t="s">
        <v>2393</v>
      </c>
      <c r="I46" s="2370" t="s">
        <v>990</v>
      </c>
      <c r="J46" s="2373" t="s">
        <v>993</v>
      </c>
      <c r="K46" s="2373" t="s">
        <v>994</v>
      </c>
      <c r="L46" s="2373" t="s">
        <v>995</v>
      </c>
      <c r="M46" s="2373" t="s">
        <v>996</v>
      </c>
      <c r="N46" s="2373" t="s">
        <v>997</v>
      </c>
      <c r="P46" s="2172"/>
      <c r="Q46" s="2172"/>
      <c r="R46" s="2173"/>
      <c r="S46" s="2173"/>
      <c r="T46" s="2173"/>
      <c r="U46" s="2173"/>
      <c r="V46" s="2173"/>
      <c r="W46" s="2172"/>
      <c r="X46" s="2172"/>
      <c r="Y46" s="2172"/>
      <c r="Z46" s="2172"/>
      <c r="AA46" s="2172"/>
      <c r="AB46" s="2172"/>
      <c r="AC46" s="2172"/>
      <c r="AD46" s="2173"/>
      <c r="AE46" s="1390"/>
      <c r="AF46" s="1390"/>
      <c r="AG46" s="1390"/>
      <c r="AH46" s="1390"/>
      <c r="AI46" s="1390"/>
      <c r="AJ46" s="1390"/>
      <c r="AK46" s="1390"/>
      <c r="AL46" s="1390"/>
      <c r="AM46" s="1390"/>
      <c r="AN46" s="1390"/>
    </row>
    <row r="47" spans="1:44" s="1389" customFormat="1" ht="36">
      <c r="A47" s="1054" t="s">
        <v>998</v>
      </c>
      <c r="B47" s="2350" t="str">
        <f>估价对象房地状况!C16</f>
        <v>估价对象位于XX商圈，周边商业氛围成熟，人流量大，商业繁华度好</v>
      </c>
      <c r="C47" s="1041"/>
      <c r="D47" s="2356">
        <f t="shared" ref="D47:D55" si="10">SUMIF($J$46:$N$46,C47,J47:N47)</f>
        <v>0</v>
      </c>
      <c r="E47" s="2375">
        <f>ROUND(SUM(D47:D55),4)</f>
        <v>0</v>
      </c>
      <c r="F47" s="2376" t="str">
        <f>IF(E2="商业",SUMIF(L1:L12,G2,N1:N12),"——")</f>
        <v>——</v>
      </c>
      <c r="G47" s="2354"/>
      <c r="H47" s="2400" t="str">
        <f t="shared" ref="H47:H55" si="11">IFERROR(ROUNDDOWN(($F$47*I47/2),4),"——")</f>
        <v>——</v>
      </c>
      <c r="I47" s="2374">
        <v>0.33</v>
      </c>
      <c r="J47" s="2377">
        <f t="shared" ref="J47:J55" si="12">K47+$G47</f>
        <v>0</v>
      </c>
      <c r="K47" s="2377">
        <f t="shared" ref="K47:K55" si="13">$L47+$G47</f>
        <v>0</v>
      </c>
      <c r="L47" s="2377">
        <v>0</v>
      </c>
      <c r="M47" s="2377">
        <f t="shared" ref="M47:N55" si="14">L47-$G47</f>
        <v>0</v>
      </c>
      <c r="N47" s="2377">
        <f t="shared" si="14"/>
        <v>0</v>
      </c>
      <c r="P47" s="2172"/>
      <c r="Q47" s="2172"/>
      <c r="R47" s="2173"/>
      <c r="S47" s="2173"/>
      <c r="T47" s="2173"/>
      <c r="U47" s="2173"/>
      <c r="V47" s="2173"/>
      <c r="W47" s="2172"/>
      <c r="X47" s="2172"/>
      <c r="Y47" s="2172"/>
      <c r="Z47" s="2172"/>
      <c r="AA47" s="2172"/>
      <c r="AB47" s="2172"/>
      <c r="AC47" s="2172"/>
      <c r="AD47" s="2173"/>
      <c r="AE47" s="1390"/>
      <c r="AF47" s="1390"/>
      <c r="AG47" s="1390"/>
      <c r="AH47" s="1390"/>
      <c r="AI47" s="1390"/>
      <c r="AJ47" s="1390"/>
      <c r="AK47" s="1390"/>
      <c r="AL47" s="1390"/>
      <c r="AM47" s="1390"/>
      <c r="AN47" s="1390"/>
    </row>
    <row r="48" spans="1:44" s="1389" customFormat="1" ht="48">
      <c r="A48" s="1054" t="s">
        <v>999</v>
      </c>
      <c r="B48" s="2347" t="str">
        <f>估价对象房地状况!C18</f>
        <v>估价对象周边道路状况、公共交通通达情况、停车便捷程度，综合评价交通便捷度较好</v>
      </c>
      <c r="C48" s="1041"/>
      <c r="D48" s="2356">
        <f t="shared" si="10"/>
        <v>0</v>
      </c>
      <c r="E48" s="2378"/>
      <c r="F48" s="2376"/>
      <c r="G48" s="2354"/>
      <c r="H48" s="2400" t="str">
        <f t="shared" si="11"/>
        <v>——</v>
      </c>
      <c r="I48" s="2374">
        <v>0.25</v>
      </c>
      <c r="J48" s="2377">
        <f t="shared" si="12"/>
        <v>0</v>
      </c>
      <c r="K48" s="2377">
        <f t="shared" si="13"/>
        <v>0</v>
      </c>
      <c r="L48" s="2377">
        <v>0</v>
      </c>
      <c r="M48" s="2377">
        <f t="shared" si="14"/>
        <v>0</v>
      </c>
      <c r="N48" s="2377">
        <f t="shared" si="14"/>
        <v>0</v>
      </c>
      <c r="P48" s="2172"/>
      <c r="Q48" s="2172"/>
      <c r="R48" s="2173"/>
      <c r="S48" s="2173"/>
      <c r="T48" s="2173"/>
      <c r="U48" s="2173"/>
      <c r="V48" s="2173"/>
      <c r="W48" s="2172"/>
      <c r="X48" s="2172"/>
      <c r="Y48" s="2172"/>
      <c r="Z48" s="2172"/>
      <c r="AA48" s="2172"/>
      <c r="AB48" s="2172"/>
      <c r="AC48" s="2172"/>
      <c r="AD48" s="2173"/>
      <c r="AE48" s="1390"/>
      <c r="AF48" s="1390"/>
      <c r="AG48" s="1390"/>
      <c r="AH48" s="1390"/>
      <c r="AI48" s="1390"/>
      <c r="AJ48" s="1390"/>
      <c r="AK48" s="1390"/>
      <c r="AL48" s="1390"/>
      <c r="AM48" s="1390"/>
      <c r="AN48" s="1390"/>
    </row>
    <row r="49" spans="1:40" s="1389" customFormat="1" ht="24">
      <c r="A49" s="1054" t="s">
        <v>1000</v>
      </c>
      <c r="B49" s="2347">
        <f>估价对象房地状况!C19</f>
        <v>0</v>
      </c>
      <c r="C49" s="1041"/>
      <c r="D49" s="2356">
        <f t="shared" si="10"/>
        <v>0</v>
      </c>
      <c r="E49" s="2378"/>
      <c r="F49" s="2376"/>
      <c r="G49" s="2354"/>
      <c r="H49" s="2400" t="str">
        <f t="shared" si="11"/>
        <v>——</v>
      </c>
      <c r="I49" s="2374">
        <v>0.05</v>
      </c>
      <c r="J49" s="2377">
        <f t="shared" si="12"/>
        <v>0</v>
      </c>
      <c r="K49" s="2377">
        <f t="shared" si="13"/>
        <v>0</v>
      </c>
      <c r="L49" s="2377">
        <v>0</v>
      </c>
      <c r="M49" s="2377">
        <f t="shared" si="14"/>
        <v>0</v>
      </c>
      <c r="N49" s="2377">
        <f t="shared" si="14"/>
        <v>0</v>
      </c>
      <c r="P49" s="2172"/>
      <c r="Q49" s="2172"/>
      <c r="R49" s="2173"/>
      <c r="S49" s="2173"/>
      <c r="T49" s="2173"/>
      <c r="U49" s="2173"/>
      <c r="V49" s="2173"/>
      <c r="W49" s="2172"/>
      <c r="X49" s="2172"/>
      <c r="Y49" s="2172"/>
      <c r="Z49" s="2172"/>
      <c r="AA49" s="2172"/>
      <c r="AB49" s="2172"/>
      <c r="AC49" s="2172"/>
      <c r="AD49" s="2173"/>
      <c r="AE49" s="1390"/>
      <c r="AF49" s="1390"/>
      <c r="AG49" s="1390"/>
      <c r="AH49" s="1390"/>
      <c r="AI49" s="1390"/>
      <c r="AJ49" s="1390"/>
      <c r="AK49" s="1390"/>
      <c r="AL49" s="1390"/>
      <c r="AM49" s="1390"/>
      <c r="AN49" s="1390"/>
    </row>
    <row r="50" spans="1:40" s="1389" customFormat="1" ht="36">
      <c r="A50" s="1054" t="s">
        <v>1001</v>
      </c>
      <c r="B50" s="3024" t="s">
        <v>2913</v>
      </c>
      <c r="C50" s="1041"/>
      <c r="D50" s="2356">
        <f t="shared" si="10"/>
        <v>0</v>
      </c>
      <c r="E50" s="2378"/>
      <c r="F50" s="2376"/>
      <c r="G50" s="2354"/>
      <c r="H50" s="2400" t="str">
        <f t="shared" si="11"/>
        <v>——</v>
      </c>
      <c r="I50" s="2374">
        <v>0.05</v>
      </c>
      <c r="J50" s="2377">
        <f t="shared" si="12"/>
        <v>0</v>
      </c>
      <c r="K50" s="2377">
        <f t="shared" si="13"/>
        <v>0</v>
      </c>
      <c r="L50" s="2377">
        <v>0</v>
      </c>
      <c r="M50" s="2377">
        <f t="shared" si="14"/>
        <v>0</v>
      </c>
      <c r="N50" s="2377">
        <f t="shared" si="14"/>
        <v>0</v>
      </c>
      <c r="P50" s="2172"/>
      <c r="Q50" s="2172"/>
      <c r="R50" s="2173"/>
      <c r="S50" s="2173"/>
      <c r="T50" s="2173"/>
      <c r="U50" s="2173"/>
      <c r="V50" s="2173"/>
      <c r="W50" s="2172"/>
      <c r="X50" s="2172"/>
      <c r="Y50" s="2172"/>
      <c r="Z50" s="2172"/>
      <c r="AA50" s="2172"/>
      <c r="AB50" s="2172"/>
      <c r="AC50" s="2172"/>
      <c r="AD50" s="2173"/>
      <c r="AE50" s="1390"/>
      <c r="AF50" s="1390"/>
      <c r="AG50" s="1390"/>
      <c r="AH50" s="1390"/>
      <c r="AI50" s="1390"/>
      <c r="AJ50" s="1390"/>
      <c r="AK50" s="1390"/>
      <c r="AL50" s="1390"/>
      <c r="AM50" s="1390"/>
      <c r="AN50" s="1390"/>
    </row>
    <row r="51" spans="1:40" s="1389" customFormat="1" ht="24">
      <c r="A51" s="1054" t="s">
        <v>1002</v>
      </c>
      <c r="B51" s="2347">
        <f>估价对象房地状况!C24</f>
        <v>0</v>
      </c>
      <c r="C51" s="1041"/>
      <c r="D51" s="2356">
        <f t="shared" si="10"/>
        <v>0</v>
      </c>
      <c r="E51" s="2378"/>
      <c r="F51" s="2376"/>
      <c r="G51" s="2354"/>
      <c r="H51" s="2400" t="str">
        <f t="shared" si="11"/>
        <v>——</v>
      </c>
      <c r="I51" s="2374">
        <v>0.08</v>
      </c>
      <c r="J51" s="2377">
        <f t="shared" si="12"/>
        <v>0</v>
      </c>
      <c r="K51" s="2377">
        <f t="shared" si="13"/>
        <v>0</v>
      </c>
      <c r="L51" s="2377">
        <v>0</v>
      </c>
      <c r="M51" s="2377">
        <f t="shared" si="14"/>
        <v>0</v>
      </c>
      <c r="N51" s="2377">
        <f t="shared" si="14"/>
        <v>0</v>
      </c>
      <c r="P51" s="2172"/>
      <c r="Q51" s="2172"/>
      <c r="R51" s="2173"/>
      <c r="S51" s="2173"/>
      <c r="T51" s="2173"/>
      <c r="U51" s="2173"/>
      <c r="V51" s="2173"/>
      <c r="W51" s="2172"/>
      <c r="X51" s="2172"/>
      <c r="Y51" s="2172"/>
      <c r="Z51" s="2172"/>
      <c r="AA51" s="2172"/>
      <c r="AB51" s="2172"/>
      <c r="AC51" s="2172"/>
      <c r="AD51" s="2173"/>
      <c r="AE51" s="1390"/>
      <c r="AF51" s="1390"/>
      <c r="AG51" s="1390"/>
      <c r="AH51" s="1390"/>
      <c r="AI51" s="1390"/>
      <c r="AJ51" s="1390"/>
      <c r="AK51" s="1390"/>
      <c r="AL51" s="1390"/>
      <c r="AM51" s="1390"/>
      <c r="AN51" s="1390"/>
    </row>
    <row r="52" spans="1:40" s="1389" customFormat="1" ht="24">
      <c r="A52" s="1054" t="s">
        <v>1003</v>
      </c>
      <c r="B52" s="3023" t="s">
        <v>2912</v>
      </c>
      <c r="C52" s="1041"/>
      <c r="D52" s="2356">
        <f t="shared" si="10"/>
        <v>0</v>
      </c>
      <c r="E52" s="2378"/>
      <c r="F52" s="2376"/>
      <c r="G52" s="2354"/>
      <c r="H52" s="2400" t="str">
        <f t="shared" si="11"/>
        <v>——</v>
      </c>
      <c r="I52" s="2374">
        <v>0.03</v>
      </c>
      <c r="J52" s="2377">
        <f t="shared" si="12"/>
        <v>0</v>
      </c>
      <c r="K52" s="2377">
        <f t="shared" si="13"/>
        <v>0</v>
      </c>
      <c r="L52" s="2377">
        <v>0</v>
      </c>
      <c r="M52" s="2377">
        <f t="shared" si="14"/>
        <v>0</v>
      </c>
      <c r="N52" s="2377">
        <f t="shared" si="14"/>
        <v>0</v>
      </c>
      <c r="P52" s="2172"/>
      <c r="Q52" s="2172"/>
      <c r="R52" s="2173"/>
      <c r="S52" s="2173"/>
      <c r="T52" s="2173"/>
      <c r="U52" s="2173"/>
      <c r="V52" s="2173"/>
      <c r="W52" s="2172"/>
      <c r="X52" s="2172"/>
      <c r="Y52" s="2172"/>
      <c r="Z52" s="2172"/>
      <c r="AA52" s="2172"/>
      <c r="AB52" s="2172"/>
      <c r="AC52" s="2172"/>
      <c r="AD52" s="2173"/>
      <c r="AE52" s="1390"/>
      <c r="AF52" s="1390"/>
      <c r="AG52" s="1390"/>
      <c r="AH52" s="1390"/>
      <c r="AI52" s="1390"/>
      <c r="AJ52" s="1390"/>
      <c r="AK52" s="1390"/>
      <c r="AL52" s="1390"/>
      <c r="AM52" s="1390"/>
      <c r="AN52" s="1390"/>
    </row>
    <row r="53" spans="1:40" s="1389" customFormat="1" ht="24">
      <c r="A53" s="2379" t="s">
        <v>1004</v>
      </c>
      <c r="B53" s="2348" t="str">
        <f>估价对象房地状况!C21</f>
        <v>估价对象所在区域公共配套设施齐备情况</v>
      </c>
      <c r="C53" s="1041"/>
      <c r="D53" s="2356">
        <f t="shared" si="10"/>
        <v>0</v>
      </c>
      <c r="E53" s="2378"/>
      <c r="F53" s="2376"/>
      <c r="G53" s="2354"/>
      <c r="H53" s="2400" t="str">
        <f t="shared" si="11"/>
        <v>——</v>
      </c>
      <c r="I53" s="2374">
        <v>0.05</v>
      </c>
      <c r="J53" s="2377">
        <f t="shared" si="12"/>
        <v>0</v>
      </c>
      <c r="K53" s="2377">
        <f t="shared" si="13"/>
        <v>0</v>
      </c>
      <c r="L53" s="2377">
        <v>0</v>
      </c>
      <c r="M53" s="2377">
        <f t="shared" si="14"/>
        <v>0</v>
      </c>
      <c r="N53" s="2377">
        <f t="shared" si="14"/>
        <v>0</v>
      </c>
      <c r="P53" s="2172"/>
      <c r="Q53" s="2172"/>
      <c r="R53" s="2173"/>
      <c r="S53" s="2173"/>
      <c r="T53" s="2173"/>
      <c r="U53" s="2173"/>
      <c r="V53" s="2173"/>
      <c r="W53" s="2172"/>
      <c r="X53" s="2172"/>
      <c r="Y53" s="2172"/>
      <c r="Z53" s="2172"/>
      <c r="AA53" s="2172"/>
      <c r="AB53" s="2172"/>
      <c r="AC53" s="2172"/>
      <c r="AD53" s="2173"/>
      <c r="AE53" s="1390"/>
      <c r="AF53" s="1390"/>
      <c r="AG53" s="1390"/>
      <c r="AH53" s="1390"/>
      <c r="AI53" s="1390"/>
      <c r="AJ53" s="1390"/>
      <c r="AK53" s="1390"/>
      <c r="AL53" s="1390"/>
      <c r="AM53" s="1390"/>
      <c r="AN53" s="1390"/>
    </row>
    <row r="54" spans="1:40" s="1389" customFormat="1" ht="24">
      <c r="A54" s="2379" t="s">
        <v>1005</v>
      </c>
      <c r="B54" s="2347" t="str">
        <f>估价对象房地状况!C22</f>
        <v>估价对象所在区域基础设施水平</v>
      </c>
      <c r="C54" s="1041"/>
      <c r="D54" s="2356">
        <f t="shared" si="10"/>
        <v>0</v>
      </c>
      <c r="E54" s="2378"/>
      <c r="F54" s="2376"/>
      <c r="G54" s="2354"/>
      <c r="H54" s="2400" t="str">
        <f t="shared" si="11"/>
        <v>——</v>
      </c>
      <c r="I54" s="2374">
        <v>0.1</v>
      </c>
      <c r="J54" s="2377">
        <f t="shared" si="12"/>
        <v>0</v>
      </c>
      <c r="K54" s="2377">
        <f t="shared" si="13"/>
        <v>0</v>
      </c>
      <c r="L54" s="2377">
        <v>0</v>
      </c>
      <c r="M54" s="2377">
        <f t="shared" si="14"/>
        <v>0</v>
      </c>
      <c r="N54" s="2377">
        <f t="shared" si="14"/>
        <v>0</v>
      </c>
      <c r="P54" s="2172"/>
      <c r="Q54" s="2172"/>
      <c r="R54" s="2173"/>
      <c r="S54" s="2173"/>
      <c r="T54" s="2173"/>
      <c r="U54" s="2173"/>
      <c r="V54" s="2173"/>
      <c r="W54" s="2172"/>
      <c r="X54" s="2172"/>
      <c r="Y54" s="2172"/>
      <c r="Z54" s="2172"/>
      <c r="AA54" s="2172"/>
      <c r="AB54" s="2172"/>
      <c r="AC54" s="2172"/>
      <c r="AD54" s="2173"/>
      <c r="AE54" s="1390"/>
      <c r="AF54" s="1390"/>
      <c r="AG54" s="1390"/>
      <c r="AH54" s="1390"/>
      <c r="AI54" s="1390"/>
      <c r="AJ54" s="1390"/>
      <c r="AK54" s="1390"/>
      <c r="AL54" s="1390"/>
      <c r="AM54" s="1390"/>
      <c r="AN54" s="1390"/>
    </row>
    <row r="55" spans="1:40" s="1389" customFormat="1" ht="24.75" thickBot="1">
      <c r="A55" s="2380" t="s">
        <v>1006</v>
      </c>
      <c r="B55" s="2351" t="str">
        <f>估价对象房地状况!C20</f>
        <v>区域自然环境：；人文环境；综合评价环境状况一般</v>
      </c>
      <c r="C55" s="1041"/>
      <c r="D55" s="2356">
        <f t="shared" si="10"/>
        <v>0</v>
      </c>
      <c r="E55" s="2382"/>
      <c r="F55" s="2376"/>
      <c r="G55" s="2354"/>
      <c r="H55" s="2400" t="str">
        <f t="shared" si="11"/>
        <v>——</v>
      </c>
      <c r="I55" s="2381">
        <v>0.06</v>
      </c>
      <c r="J55" s="2377">
        <f t="shared" si="12"/>
        <v>0</v>
      </c>
      <c r="K55" s="2377">
        <f t="shared" si="13"/>
        <v>0</v>
      </c>
      <c r="L55" s="2377">
        <v>0</v>
      </c>
      <c r="M55" s="2377">
        <f t="shared" si="14"/>
        <v>0</v>
      </c>
      <c r="N55" s="2377">
        <f t="shared" si="14"/>
        <v>0</v>
      </c>
      <c r="P55" s="2172"/>
      <c r="Q55" s="2172"/>
      <c r="R55" s="2173"/>
      <c r="S55" s="2173"/>
      <c r="T55" s="2173"/>
      <c r="U55" s="2173"/>
      <c r="V55" s="2173"/>
      <c r="W55" s="2172"/>
      <c r="X55" s="2172"/>
      <c r="Y55" s="2172"/>
      <c r="Z55" s="2172"/>
      <c r="AA55" s="2172"/>
      <c r="AB55" s="2172"/>
      <c r="AC55" s="2172"/>
      <c r="AD55" s="2173"/>
      <c r="AE55" s="1390"/>
      <c r="AF55" s="1390"/>
      <c r="AG55" s="1390"/>
      <c r="AH55" s="1390"/>
      <c r="AI55" s="1390"/>
      <c r="AJ55" s="1390"/>
      <c r="AK55" s="1390"/>
      <c r="AL55" s="1390"/>
      <c r="AM55" s="1390"/>
      <c r="AN55" s="1390"/>
    </row>
    <row r="56" spans="1:40" s="1389" customFormat="1" ht="15">
      <c r="A56" s="2363" t="s">
        <v>1007</v>
      </c>
      <c r="B56" s="2364">
        <f>1+E58</f>
        <v>1</v>
      </c>
      <c r="C56" s="2383"/>
      <c r="D56" s="2366"/>
      <c r="E56" s="2367"/>
      <c r="F56" s="2368"/>
      <c r="G56" s="2362"/>
      <c r="H56" s="2362"/>
      <c r="I56" s="2362"/>
      <c r="J56" s="1053"/>
      <c r="K56" s="1053"/>
      <c r="L56" s="1053"/>
      <c r="M56" s="1053"/>
      <c r="N56" s="1053"/>
      <c r="P56" s="2172"/>
      <c r="Q56" s="2172"/>
      <c r="R56" s="2173"/>
      <c r="S56" s="2173"/>
      <c r="T56" s="2173"/>
      <c r="U56" s="2173"/>
      <c r="V56" s="2173"/>
      <c r="W56" s="2172"/>
      <c r="X56" s="2172"/>
      <c r="Y56" s="2172"/>
      <c r="Z56" s="2172"/>
      <c r="AA56" s="2172"/>
      <c r="AB56" s="2172"/>
      <c r="AC56" s="2172"/>
      <c r="AD56" s="2173"/>
      <c r="AE56" s="1390"/>
      <c r="AF56" s="1390"/>
      <c r="AG56" s="1390"/>
      <c r="AH56" s="1390"/>
      <c r="AI56" s="1390"/>
      <c r="AJ56" s="1390"/>
      <c r="AK56" s="1390"/>
      <c r="AL56" s="1390"/>
      <c r="AM56" s="1390"/>
      <c r="AN56" s="1390"/>
    </row>
    <row r="57" spans="1:40" s="1389" customFormat="1" ht="24">
      <c r="A57" s="1054" t="s">
        <v>986</v>
      </c>
      <c r="B57" s="2347"/>
      <c r="C57" s="2369" t="s">
        <v>988</v>
      </c>
      <c r="D57" s="2370" t="s">
        <v>989</v>
      </c>
      <c r="E57" s="2371" t="s">
        <v>991</v>
      </c>
      <c r="F57" s="2372" t="s">
        <v>2227</v>
      </c>
      <c r="G57" s="2370" t="s">
        <v>992</v>
      </c>
      <c r="H57" s="2353" t="s">
        <v>2393</v>
      </c>
      <c r="I57" s="2370" t="s">
        <v>990</v>
      </c>
      <c r="J57" s="2373" t="s">
        <v>993</v>
      </c>
      <c r="K57" s="2373" t="s">
        <v>994</v>
      </c>
      <c r="L57" s="2373" t="s">
        <v>995</v>
      </c>
      <c r="M57" s="2373" t="s">
        <v>996</v>
      </c>
      <c r="N57" s="2373" t="s">
        <v>997</v>
      </c>
      <c r="P57" s="2172"/>
      <c r="Q57" s="2172"/>
      <c r="R57" s="2173"/>
      <c r="S57" s="2173"/>
      <c r="T57" s="2173"/>
      <c r="U57" s="2173"/>
      <c r="V57" s="2173"/>
      <c r="W57" s="2172"/>
      <c r="X57" s="2172"/>
      <c r="Y57" s="2172"/>
      <c r="Z57" s="2172"/>
      <c r="AA57" s="2172"/>
      <c r="AB57" s="2172"/>
      <c r="AC57" s="2172"/>
      <c r="AD57" s="2173"/>
      <c r="AE57" s="1390"/>
      <c r="AF57" s="1390"/>
      <c r="AG57" s="1390"/>
      <c r="AH57" s="1390"/>
      <c r="AI57" s="1390"/>
      <c r="AJ57" s="1390"/>
      <c r="AK57" s="1390"/>
      <c r="AL57" s="1390"/>
      <c r="AM57" s="1390"/>
      <c r="AN57" s="1390"/>
    </row>
    <row r="58" spans="1:40" s="1389" customFormat="1" ht="36">
      <c r="A58" s="1054" t="s">
        <v>1008</v>
      </c>
      <c r="B58" s="2350" t="str">
        <f>估价对象房地状况!C17</f>
        <v>估价对象位于XX商圈，周边办公楼项目较多，入驻率高，办公集聚程度较好</v>
      </c>
      <c r="C58" s="1041"/>
      <c r="D58" s="2356">
        <f t="shared" ref="D58:D66" si="15">SUMIF($J$57:$N$57,C58,J58:N58)</f>
        <v>0</v>
      </c>
      <c r="E58" s="2375">
        <f>ROUND(SUM(D58:D66),4)</f>
        <v>0</v>
      </c>
      <c r="F58" s="2376" t="str">
        <f>IF(E2="办公",SUMIF(L1:L12,G2,N1:N12),"——")</f>
        <v>——</v>
      </c>
      <c r="G58" s="2354"/>
      <c r="H58" s="2400" t="str">
        <f>IFERROR(ROUNDDOWN($F$58*I58/2,4),"——")</f>
        <v>——</v>
      </c>
      <c r="I58" s="2374">
        <v>0.24</v>
      </c>
      <c r="J58" s="2377">
        <f t="shared" ref="J58:J66" si="16">K58+$G58</f>
        <v>0</v>
      </c>
      <c r="K58" s="2377">
        <f t="shared" ref="K58:K66" si="17">$L58+$G58</f>
        <v>0</v>
      </c>
      <c r="L58" s="2377">
        <v>0</v>
      </c>
      <c r="M58" s="2377">
        <f t="shared" ref="M58:N66" si="18">L58-$G58</f>
        <v>0</v>
      </c>
      <c r="N58" s="2377">
        <f t="shared" si="18"/>
        <v>0</v>
      </c>
      <c r="P58" s="2172"/>
      <c r="Q58" s="2172"/>
      <c r="R58" s="2173"/>
      <c r="S58" s="2173"/>
      <c r="T58" s="2173"/>
      <c r="U58" s="2173"/>
      <c r="V58" s="2173"/>
      <c r="W58" s="2172"/>
      <c r="X58" s="2172"/>
      <c r="Y58" s="2172"/>
      <c r="Z58" s="2172"/>
      <c r="AA58" s="2172"/>
      <c r="AB58" s="2172"/>
      <c r="AC58" s="2172"/>
      <c r="AD58" s="2173"/>
      <c r="AE58" s="1390"/>
      <c r="AF58" s="1390"/>
      <c r="AG58" s="1390"/>
      <c r="AH58" s="1390"/>
      <c r="AI58" s="1390"/>
      <c r="AJ58" s="1390"/>
      <c r="AK58" s="1390"/>
      <c r="AL58" s="1390"/>
      <c r="AM58" s="1390"/>
      <c r="AN58" s="1390"/>
    </row>
    <row r="59" spans="1:40" s="1389" customFormat="1" ht="48">
      <c r="A59" s="1054" t="s">
        <v>999</v>
      </c>
      <c r="B59" s="2347" t="str">
        <f>估价对象房地状况!C18</f>
        <v>估价对象周边道路状况、公共交通通达情况、停车便捷程度，综合评价交通便捷度较好</v>
      </c>
      <c r="C59" s="1041"/>
      <c r="D59" s="2356">
        <f t="shared" si="15"/>
        <v>0</v>
      </c>
      <c r="E59" s="2378"/>
      <c r="F59" s="2376"/>
      <c r="G59" s="2354"/>
      <c r="H59" s="2355" t="str">
        <f t="shared" ref="H59:H66" si="19">IFERROR($F$58*I59/2,"——")</f>
        <v>——</v>
      </c>
      <c r="I59" s="2374">
        <v>0.3</v>
      </c>
      <c r="J59" s="2377">
        <f t="shared" si="16"/>
        <v>0</v>
      </c>
      <c r="K59" s="2377">
        <f t="shared" si="17"/>
        <v>0</v>
      </c>
      <c r="L59" s="2377">
        <v>0</v>
      </c>
      <c r="M59" s="2377">
        <f t="shared" si="18"/>
        <v>0</v>
      </c>
      <c r="N59" s="2377">
        <f t="shared" si="18"/>
        <v>0</v>
      </c>
      <c r="P59" s="2172"/>
      <c r="Q59" s="2172"/>
      <c r="R59" s="2173"/>
      <c r="S59" s="2173"/>
      <c r="T59" s="2173"/>
      <c r="U59" s="2173"/>
      <c r="V59" s="2173"/>
      <c r="W59" s="2172"/>
      <c r="X59" s="2172"/>
      <c r="Y59" s="2172"/>
      <c r="Z59" s="2172"/>
      <c r="AA59" s="2172"/>
      <c r="AB59" s="2172"/>
      <c r="AC59" s="2172"/>
      <c r="AD59" s="2173"/>
      <c r="AE59" s="1390"/>
      <c r="AF59" s="1390"/>
      <c r="AG59" s="1390"/>
      <c r="AH59" s="1390"/>
      <c r="AI59" s="1390"/>
      <c r="AJ59" s="1390"/>
      <c r="AK59" s="1390"/>
      <c r="AL59" s="1390"/>
      <c r="AM59" s="1390"/>
      <c r="AN59" s="1390"/>
    </row>
    <row r="60" spans="1:40" s="1389" customFormat="1" ht="24">
      <c r="A60" s="1054" t="s">
        <v>1000</v>
      </c>
      <c r="B60" s="2347">
        <f>估价对象房地状况!C19</f>
        <v>0</v>
      </c>
      <c r="C60" s="1041"/>
      <c r="D60" s="2356">
        <f t="shared" si="15"/>
        <v>0</v>
      </c>
      <c r="E60" s="2378"/>
      <c r="F60" s="2376"/>
      <c r="G60" s="2354"/>
      <c r="H60" s="2355" t="str">
        <f t="shared" si="19"/>
        <v>——</v>
      </c>
      <c r="I60" s="2374">
        <v>0.08</v>
      </c>
      <c r="J60" s="2377">
        <f t="shared" si="16"/>
        <v>0</v>
      </c>
      <c r="K60" s="2377">
        <f t="shared" si="17"/>
        <v>0</v>
      </c>
      <c r="L60" s="2377">
        <v>0</v>
      </c>
      <c r="M60" s="2377">
        <f t="shared" si="18"/>
        <v>0</v>
      </c>
      <c r="N60" s="2377">
        <f t="shared" si="18"/>
        <v>0</v>
      </c>
      <c r="P60" s="2172"/>
      <c r="Q60" s="2172"/>
      <c r="R60" s="2173"/>
      <c r="S60" s="2173"/>
      <c r="T60" s="2173"/>
      <c r="U60" s="2173"/>
      <c r="V60" s="2173"/>
      <c r="W60" s="2172"/>
      <c r="X60" s="2172"/>
      <c r="Y60" s="2172"/>
      <c r="Z60" s="2172"/>
      <c r="AA60" s="2172"/>
      <c r="AB60" s="2172"/>
      <c r="AC60" s="2172"/>
      <c r="AD60" s="2173"/>
      <c r="AE60" s="1390"/>
      <c r="AF60" s="1390"/>
      <c r="AG60" s="1390"/>
      <c r="AH60" s="1390"/>
      <c r="AI60" s="1390"/>
      <c r="AJ60" s="1390"/>
      <c r="AK60" s="1390"/>
      <c r="AL60" s="1390"/>
      <c r="AM60" s="1390"/>
      <c r="AN60" s="1390"/>
    </row>
    <row r="61" spans="1:40" s="1389" customFormat="1" ht="36">
      <c r="A61" s="1054" t="s">
        <v>1001</v>
      </c>
      <c r="B61" s="3024" t="s">
        <v>2914</v>
      </c>
      <c r="C61" s="1041"/>
      <c r="D61" s="2356">
        <f t="shared" si="15"/>
        <v>0</v>
      </c>
      <c r="E61" s="2378"/>
      <c r="F61" s="2376"/>
      <c r="G61" s="2354"/>
      <c r="H61" s="2355" t="str">
        <f t="shared" si="19"/>
        <v>——</v>
      </c>
      <c r="I61" s="2374">
        <v>0.04</v>
      </c>
      <c r="J61" s="2377">
        <f t="shared" si="16"/>
        <v>0</v>
      </c>
      <c r="K61" s="2377">
        <f t="shared" si="17"/>
        <v>0</v>
      </c>
      <c r="L61" s="2377">
        <v>0</v>
      </c>
      <c r="M61" s="2377">
        <f t="shared" si="18"/>
        <v>0</v>
      </c>
      <c r="N61" s="2377">
        <f t="shared" si="18"/>
        <v>0</v>
      </c>
      <c r="P61" s="2172"/>
      <c r="Q61" s="2172"/>
      <c r="R61" s="2173"/>
      <c r="S61" s="2173"/>
      <c r="T61" s="2173"/>
      <c r="U61" s="2173"/>
      <c r="V61" s="2173"/>
      <c r="W61" s="2172"/>
      <c r="X61" s="2172"/>
      <c r="Y61" s="2172"/>
      <c r="Z61" s="2172"/>
      <c r="AA61" s="2172"/>
      <c r="AB61" s="2172"/>
      <c r="AC61" s="2172"/>
      <c r="AD61" s="2173"/>
      <c r="AE61" s="1390"/>
      <c r="AF61" s="1390"/>
      <c r="AG61" s="1390"/>
      <c r="AH61" s="1390"/>
      <c r="AI61" s="1390"/>
      <c r="AJ61" s="1390"/>
      <c r="AK61" s="1390"/>
      <c r="AL61" s="1390"/>
      <c r="AM61" s="1390"/>
      <c r="AN61" s="1390"/>
    </row>
    <row r="62" spans="1:40" s="1389" customFormat="1" ht="24">
      <c r="A62" s="1054" t="s">
        <v>1002</v>
      </c>
      <c r="B62" s="2347">
        <f>估价对象房地状况!C24</f>
        <v>0</v>
      </c>
      <c r="C62" s="1041"/>
      <c r="D62" s="2356">
        <f t="shared" si="15"/>
        <v>0</v>
      </c>
      <c r="E62" s="2378"/>
      <c r="F62" s="2376"/>
      <c r="G62" s="2354"/>
      <c r="H62" s="2355" t="str">
        <f t="shared" si="19"/>
        <v>——</v>
      </c>
      <c r="I62" s="2374">
        <v>0.05</v>
      </c>
      <c r="J62" s="2377">
        <f t="shared" si="16"/>
        <v>0</v>
      </c>
      <c r="K62" s="2377">
        <f t="shared" si="17"/>
        <v>0</v>
      </c>
      <c r="L62" s="2377">
        <v>0</v>
      </c>
      <c r="M62" s="2377">
        <f t="shared" si="18"/>
        <v>0</v>
      </c>
      <c r="N62" s="2377">
        <f t="shared" si="18"/>
        <v>0</v>
      </c>
      <c r="P62" s="2172"/>
      <c r="Q62" s="2172"/>
      <c r="R62" s="2173"/>
      <c r="S62" s="2173"/>
      <c r="T62" s="2173"/>
      <c r="U62" s="2173"/>
      <c r="V62" s="2173"/>
      <c r="W62" s="2172"/>
      <c r="X62" s="2172"/>
      <c r="Y62" s="2172"/>
      <c r="Z62" s="2172"/>
      <c r="AA62" s="2172"/>
      <c r="AB62" s="2172"/>
      <c r="AC62" s="2172"/>
      <c r="AD62" s="2173"/>
      <c r="AE62" s="1390"/>
      <c r="AF62" s="1390"/>
      <c r="AG62" s="1390"/>
      <c r="AH62" s="1390"/>
      <c r="AI62" s="1390"/>
      <c r="AJ62" s="1390"/>
      <c r="AK62" s="1390"/>
      <c r="AL62" s="1390"/>
      <c r="AM62" s="1390"/>
      <c r="AN62" s="1390"/>
    </row>
    <row r="63" spans="1:40" s="1389" customFormat="1" ht="24">
      <c r="A63" s="1054" t="s">
        <v>1003</v>
      </c>
      <c r="B63" s="3023" t="s">
        <v>2912</v>
      </c>
      <c r="C63" s="1041"/>
      <c r="D63" s="2356">
        <f t="shared" si="15"/>
        <v>0</v>
      </c>
      <c r="E63" s="2378"/>
      <c r="F63" s="2376"/>
      <c r="G63" s="2354"/>
      <c r="H63" s="2355" t="str">
        <f t="shared" si="19"/>
        <v>——</v>
      </c>
      <c r="I63" s="2374">
        <v>0.05</v>
      </c>
      <c r="J63" s="2377">
        <f t="shared" si="16"/>
        <v>0</v>
      </c>
      <c r="K63" s="2377">
        <f t="shared" si="17"/>
        <v>0</v>
      </c>
      <c r="L63" s="2377">
        <v>0</v>
      </c>
      <c r="M63" s="2377">
        <f t="shared" si="18"/>
        <v>0</v>
      </c>
      <c r="N63" s="2377">
        <f t="shared" si="18"/>
        <v>0</v>
      </c>
      <c r="P63" s="2172"/>
      <c r="Q63" s="2172"/>
      <c r="R63" s="2173"/>
      <c r="S63" s="2173"/>
      <c r="T63" s="2173"/>
      <c r="U63" s="2173"/>
      <c r="V63" s="2173"/>
      <c r="W63" s="2172"/>
      <c r="X63" s="2172"/>
      <c r="Y63" s="2172"/>
      <c r="Z63" s="2172"/>
      <c r="AA63" s="2172"/>
      <c r="AB63" s="2172"/>
      <c r="AC63" s="2172"/>
      <c r="AD63" s="2173"/>
      <c r="AE63" s="1390"/>
      <c r="AF63" s="1390"/>
      <c r="AG63" s="1390"/>
      <c r="AH63" s="1390"/>
      <c r="AI63" s="1390"/>
      <c r="AJ63" s="1390"/>
      <c r="AK63" s="1390"/>
      <c r="AL63" s="1390"/>
      <c r="AM63" s="1390"/>
      <c r="AN63" s="1390"/>
    </row>
    <row r="64" spans="1:40" s="1389" customFormat="1" ht="24">
      <c r="A64" s="1054" t="s">
        <v>1004</v>
      </c>
      <c r="B64" s="2348" t="str">
        <f>估价对象房地状况!C21</f>
        <v>估价对象所在区域公共配套设施齐备情况</v>
      </c>
      <c r="C64" s="1041"/>
      <c r="D64" s="2356">
        <f t="shared" si="15"/>
        <v>0</v>
      </c>
      <c r="E64" s="2378"/>
      <c r="F64" s="2376"/>
      <c r="G64" s="2354"/>
      <c r="H64" s="2355" t="str">
        <f t="shared" si="19"/>
        <v>——</v>
      </c>
      <c r="I64" s="2374">
        <v>0.06</v>
      </c>
      <c r="J64" s="2377">
        <f t="shared" si="16"/>
        <v>0</v>
      </c>
      <c r="K64" s="2377">
        <f t="shared" si="17"/>
        <v>0</v>
      </c>
      <c r="L64" s="2377">
        <v>0</v>
      </c>
      <c r="M64" s="2377">
        <f t="shared" si="18"/>
        <v>0</v>
      </c>
      <c r="N64" s="2377">
        <f t="shared" si="18"/>
        <v>0</v>
      </c>
      <c r="P64" s="2172"/>
      <c r="Q64" s="2172"/>
      <c r="R64" s="2173"/>
      <c r="S64" s="2173"/>
      <c r="T64" s="2173"/>
      <c r="U64" s="2173"/>
      <c r="V64" s="2173"/>
      <c r="W64" s="2172"/>
      <c r="X64" s="2172"/>
      <c r="Y64" s="2172"/>
      <c r="Z64" s="2172"/>
      <c r="AA64" s="2172"/>
      <c r="AB64" s="2172"/>
      <c r="AC64" s="2172"/>
      <c r="AD64" s="2173"/>
      <c r="AE64" s="1390"/>
      <c r="AF64" s="1390"/>
      <c r="AG64" s="1390"/>
      <c r="AH64" s="1390"/>
      <c r="AI64" s="1390"/>
      <c r="AJ64" s="1390"/>
      <c r="AK64" s="1390"/>
      <c r="AL64" s="1390"/>
      <c r="AM64" s="1390"/>
      <c r="AN64" s="1390"/>
    </row>
    <row r="65" spans="1:40" s="1389" customFormat="1" ht="24">
      <c r="A65" s="1054" t="s">
        <v>1005</v>
      </c>
      <c r="B65" s="2348" t="str">
        <f>估价对象房地状况!C22</f>
        <v>估价对象所在区域基础设施水平</v>
      </c>
      <c r="C65" s="1041"/>
      <c r="D65" s="2356">
        <f t="shared" si="15"/>
        <v>0</v>
      </c>
      <c r="E65" s="2378"/>
      <c r="F65" s="2376"/>
      <c r="G65" s="2354"/>
      <c r="H65" s="2355" t="str">
        <f t="shared" si="19"/>
        <v>——</v>
      </c>
      <c r="I65" s="2374">
        <v>0.12</v>
      </c>
      <c r="J65" s="2377">
        <f t="shared" si="16"/>
        <v>0</v>
      </c>
      <c r="K65" s="2377">
        <f t="shared" si="17"/>
        <v>0</v>
      </c>
      <c r="L65" s="2377">
        <v>0</v>
      </c>
      <c r="M65" s="2377">
        <f t="shared" si="18"/>
        <v>0</v>
      </c>
      <c r="N65" s="2377">
        <f t="shared" si="18"/>
        <v>0</v>
      </c>
      <c r="P65" s="2172"/>
      <c r="Q65" s="2172"/>
      <c r="R65" s="2173"/>
      <c r="S65" s="2173"/>
      <c r="T65" s="2173"/>
      <c r="U65" s="2173"/>
      <c r="V65" s="2173"/>
      <c r="W65" s="2172"/>
      <c r="X65" s="2172"/>
      <c r="Y65" s="2172"/>
      <c r="Z65" s="2172"/>
      <c r="AA65" s="2172"/>
      <c r="AB65" s="2172"/>
      <c r="AC65" s="2172"/>
      <c r="AD65" s="2173"/>
      <c r="AE65" s="1390"/>
      <c r="AF65" s="1390"/>
      <c r="AG65" s="1390"/>
      <c r="AH65" s="1390"/>
      <c r="AI65" s="1390"/>
      <c r="AJ65" s="1390"/>
      <c r="AK65" s="1390"/>
      <c r="AL65" s="1390"/>
      <c r="AM65" s="1390"/>
      <c r="AN65" s="1390"/>
    </row>
    <row r="66" spans="1:40" s="1389" customFormat="1" ht="24.75" thickBot="1">
      <c r="A66" s="2380" t="s">
        <v>1006</v>
      </c>
      <c r="B66" s="2352" t="str">
        <f>估价对象房地状况!C20</f>
        <v>区域自然环境：；人文环境；综合评价环境状况一般</v>
      </c>
      <c r="C66" s="1041"/>
      <c r="D66" s="2356">
        <f t="shared" si="15"/>
        <v>0</v>
      </c>
      <c r="E66" s="2382"/>
      <c r="F66" s="2376"/>
      <c r="G66" s="2354"/>
      <c r="H66" s="2355" t="str">
        <f t="shared" si="19"/>
        <v>——</v>
      </c>
      <c r="I66" s="2381">
        <v>0.06</v>
      </c>
      <c r="J66" s="2377">
        <f t="shared" si="16"/>
        <v>0</v>
      </c>
      <c r="K66" s="2377">
        <f t="shared" si="17"/>
        <v>0</v>
      </c>
      <c r="L66" s="2377">
        <v>0</v>
      </c>
      <c r="M66" s="2377">
        <f t="shared" si="18"/>
        <v>0</v>
      </c>
      <c r="N66" s="2377">
        <f t="shared" si="18"/>
        <v>0</v>
      </c>
      <c r="P66" s="2172"/>
      <c r="Q66" s="2172"/>
      <c r="R66" s="2173"/>
      <c r="S66" s="2173"/>
      <c r="T66" s="2173"/>
      <c r="U66" s="2173"/>
      <c r="V66" s="2173"/>
      <c r="W66" s="2172"/>
      <c r="X66" s="2172"/>
      <c r="Y66" s="2172"/>
      <c r="Z66" s="2172"/>
      <c r="AA66" s="2172"/>
      <c r="AB66" s="2172"/>
      <c r="AC66" s="2172"/>
      <c r="AD66" s="2173"/>
      <c r="AE66" s="1390"/>
      <c r="AF66" s="1390"/>
      <c r="AG66" s="1390"/>
      <c r="AH66" s="1390"/>
      <c r="AI66" s="1390"/>
      <c r="AJ66" s="1390"/>
      <c r="AK66" s="1390"/>
      <c r="AL66" s="1390"/>
      <c r="AM66" s="1390"/>
      <c r="AN66" s="1390"/>
    </row>
    <row r="67" spans="1:40" s="1389" customFormat="1" ht="15">
      <c r="A67" s="2363" t="s">
        <v>1009</v>
      </c>
      <c r="B67" s="2364">
        <f>1+E69</f>
        <v>1</v>
      </c>
      <c r="C67" s="2383"/>
      <c r="D67" s="2366"/>
      <c r="E67" s="2367"/>
      <c r="F67" s="2368"/>
      <c r="G67" s="2362"/>
      <c r="H67" s="2362"/>
      <c r="I67" s="2362"/>
      <c r="J67" s="1053"/>
      <c r="K67" s="1053"/>
      <c r="L67" s="1053"/>
      <c r="M67" s="1053"/>
      <c r="N67" s="1053"/>
      <c r="P67" s="2172"/>
      <c r="Q67" s="2172"/>
      <c r="R67" s="2173"/>
      <c r="S67" s="2173"/>
      <c r="T67" s="2173"/>
      <c r="U67" s="2173"/>
      <c r="V67" s="2173"/>
      <c r="W67" s="2172"/>
      <c r="X67" s="2172"/>
      <c r="Y67" s="2172"/>
      <c r="Z67" s="2172"/>
      <c r="AA67" s="2172"/>
      <c r="AB67" s="2172"/>
      <c r="AC67" s="2172"/>
      <c r="AD67" s="2173"/>
      <c r="AE67" s="1390"/>
      <c r="AF67" s="1390"/>
      <c r="AG67" s="1390"/>
      <c r="AH67" s="1390"/>
      <c r="AI67" s="1390"/>
      <c r="AJ67" s="1390"/>
      <c r="AK67" s="1390"/>
      <c r="AL67" s="1390"/>
      <c r="AM67" s="1390"/>
      <c r="AN67" s="1390"/>
    </row>
    <row r="68" spans="1:40" s="1389" customFormat="1" ht="24">
      <c r="A68" s="1054" t="s">
        <v>986</v>
      </c>
      <c r="B68" s="2347"/>
      <c r="C68" s="2369" t="s">
        <v>988</v>
      </c>
      <c r="D68" s="2370" t="s">
        <v>989</v>
      </c>
      <c r="E68" s="2371" t="s">
        <v>991</v>
      </c>
      <c r="F68" s="2372" t="s">
        <v>2228</v>
      </c>
      <c r="G68" s="2370" t="s">
        <v>992</v>
      </c>
      <c r="H68" s="2353" t="s">
        <v>2393</v>
      </c>
      <c r="I68" s="2370" t="s">
        <v>990</v>
      </c>
      <c r="J68" s="2373" t="s">
        <v>993</v>
      </c>
      <c r="K68" s="2373" t="s">
        <v>994</v>
      </c>
      <c r="L68" s="2373" t="s">
        <v>995</v>
      </c>
      <c r="M68" s="2373" t="s">
        <v>996</v>
      </c>
      <c r="N68" s="2373" t="s">
        <v>997</v>
      </c>
      <c r="P68" s="2172"/>
      <c r="Q68" s="2172"/>
      <c r="R68" s="2173"/>
      <c r="S68" s="2173"/>
      <c r="T68" s="2173"/>
      <c r="U68" s="2173"/>
      <c r="V68" s="2173"/>
      <c r="W68" s="2172"/>
      <c r="X68" s="2172"/>
      <c r="Y68" s="2172"/>
      <c r="Z68" s="2172"/>
      <c r="AA68" s="2172"/>
      <c r="AB68" s="2172"/>
      <c r="AC68" s="2172"/>
      <c r="AD68" s="2173"/>
      <c r="AE68" s="1390"/>
      <c r="AF68" s="1390"/>
      <c r="AG68" s="1390"/>
      <c r="AH68" s="1390"/>
      <c r="AI68" s="1390"/>
      <c r="AJ68" s="1390"/>
      <c r="AK68" s="1390"/>
      <c r="AL68" s="1390"/>
      <c r="AM68" s="1390"/>
      <c r="AN68" s="1390"/>
    </row>
    <row r="69" spans="1:40" s="1389" customFormat="1" ht="48">
      <c r="A69" s="1054" t="s">
        <v>1010</v>
      </c>
      <c r="B69" s="2350" t="str">
        <f>估价对象房地状况!C15</f>
        <v>估价对象周边居住用地比例、居住小区规模和社区发展完善程度，综合评价居住社区成熟度一般</v>
      </c>
      <c r="C69" s="1146"/>
      <c r="D69" s="2356">
        <f t="shared" ref="D69:D77" si="20">SUMIF($J$68:$N$68,C69,J69:N69)</f>
        <v>0</v>
      </c>
      <c r="E69" s="2375">
        <f>ROUND(SUM(D69:D77),4)</f>
        <v>0</v>
      </c>
      <c r="F69" s="2376" t="str">
        <f>IF(E2="住宅",SUMIF(L1:L12,G2,N1:N12),"——")</f>
        <v>——</v>
      </c>
      <c r="G69" s="2357"/>
      <c r="H69" s="2401" t="str">
        <f t="shared" ref="H69:H77" si="21">IFERROR(ROUNDDOWN($F$69*I69/2,4),"——")</f>
        <v>——</v>
      </c>
      <c r="I69" s="2374">
        <v>0.14000000000000001</v>
      </c>
      <c r="J69" s="2377">
        <f t="shared" ref="J69:J77" si="22">K69+$G69</f>
        <v>0</v>
      </c>
      <c r="K69" s="2377">
        <f t="shared" ref="K69:K77" si="23">$L69+$G69</f>
        <v>0</v>
      </c>
      <c r="L69" s="2377">
        <v>0</v>
      </c>
      <c r="M69" s="2377">
        <f t="shared" ref="M69:N77" si="24">L69-$G69</f>
        <v>0</v>
      </c>
      <c r="N69" s="2377">
        <f t="shared" si="24"/>
        <v>0</v>
      </c>
      <c r="P69" s="2172"/>
      <c r="Q69" s="2172"/>
      <c r="R69" s="2173"/>
      <c r="S69" s="2173"/>
      <c r="T69" s="2173"/>
      <c r="U69" s="2173"/>
      <c r="V69" s="2173"/>
      <c r="W69" s="2172"/>
      <c r="X69" s="2172"/>
      <c r="Y69" s="2172"/>
      <c r="Z69" s="2172"/>
      <c r="AA69" s="2172"/>
      <c r="AB69" s="2172"/>
      <c r="AC69" s="2172"/>
      <c r="AD69" s="2173"/>
      <c r="AE69" s="1390"/>
      <c r="AF69" s="1390"/>
      <c r="AG69" s="1390"/>
      <c r="AH69" s="1390"/>
      <c r="AI69" s="1390"/>
      <c r="AJ69" s="1390"/>
      <c r="AK69" s="1390"/>
      <c r="AL69" s="1390"/>
      <c r="AM69" s="1390"/>
      <c r="AN69" s="1390"/>
    </row>
    <row r="70" spans="1:40" s="1389" customFormat="1" ht="48">
      <c r="A70" s="1054" t="s">
        <v>1011</v>
      </c>
      <c r="B70" s="2347" t="str">
        <f>估价对象房地状况!C18</f>
        <v>估价对象周边道路状况、公共交通通达情况、停车便捷程度，综合评价交通便捷度较好</v>
      </c>
      <c r="C70" s="1146"/>
      <c r="D70" s="2356">
        <f t="shared" si="20"/>
        <v>0</v>
      </c>
      <c r="E70" s="2384"/>
      <c r="F70" s="2385"/>
      <c r="G70" s="2357"/>
      <c r="H70" s="2401" t="str">
        <f t="shared" si="21"/>
        <v>——</v>
      </c>
      <c r="I70" s="2374">
        <v>0.3</v>
      </c>
      <c r="J70" s="2377">
        <f t="shared" si="22"/>
        <v>0</v>
      </c>
      <c r="K70" s="2377">
        <f t="shared" si="23"/>
        <v>0</v>
      </c>
      <c r="L70" s="2377">
        <v>0</v>
      </c>
      <c r="M70" s="2377">
        <f t="shared" si="24"/>
        <v>0</v>
      </c>
      <c r="N70" s="2377">
        <f t="shared" si="24"/>
        <v>0</v>
      </c>
      <c r="P70" s="2172"/>
      <c r="Q70" s="2172"/>
      <c r="R70" s="2173"/>
      <c r="S70" s="2173"/>
      <c r="T70" s="2173"/>
      <c r="U70" s="2173"/>
      <c r="V70" s="2173"/>
      <c r="W70" s="2172"/>
      <c r="X70" s="2172"/>
      <c r="Y70" s="2172"/>
      <c r="Z70" s="2172"/>
      <c r="AA70" s="2172"/>
      <c r="AB70" s="2172"/>
      <c r="AC70" s="2172"/>
      <c r="AD70" s="2173"/>
      <c r="AE70" s="1390"/>
      <c r="AF70" s="1390"/>
      <c r="AG70" s="1390"/>
      <c r="AH70" s="1390"/>
      <c r="AI70" s="1390"/>
      <c r="AJ70" s="1390"/>
      <c r="AK70" s="1390"/>
      <c r="AL70" s="1390"/>
      <c r="AM70" s="1390"/>
      <c r="AN70" s="1390"/>
    </row>
    <row r="71" spans="1:40" s="1389" customFormat="1" ht="24">
      <c r="A71" s="1054" t="s">
        <v>1000</v>
      </c>
      <c r="B71" s="2347">
        <f>估价对象房地状况!C19</f>
        <v>0</v>
      </c>
      <c r="C71" s="1146"/>
      <c r="D71" s="2356">
        <f t="shared" si="20"/>
        <v>0</v>
      </c>
      <c r="E71" s="2384"/>
      <c r="F71" s="2385"/>
      <c r="G71" s="2357"/>
      <c r="H71" s="2401" t="str">
        <f t="shared" si="21"/>
        <v>——</v>
      </c>
      <c r="I71" s="2374">
        <v>0.08</v>
      </c>
      <c r="J71" s="2377">
        <f t="shared" si="22"/>
        <v>0</v>
      </c>
      <c r="K71" s="2377">
        <f t="shared" si="23"/>
        <v>0</v>
      </c>
      <c r="L71" s="2377">
        <v>0</v>
      </c>
      <c r="M71" s="2377">
        <f t="shared" si="24"/>
        <v>0</v>
      </c>
      <c r="N71" s="2377">
        <f t="shared" si="24"/>
        <v>0</v>
      </c>
      <c r="P71" s="2172"/>
      <c r="Q71" s="2172"/>
      <c r="R71" s="2173"/>
      <c r="S71" s="2173"/>
      <c r="T71" s="2173"/>
      <c r="U71" s="2173"/>
      <c r="V71" s="2173"/>
      <c r="W71" s="2172"/>
      <c r="X71" s="2172"/>
      <c r="Y71" s="2172"/>
      <c r="Z71" s="2172"/>
      <c r="AA71" s="2172"/>
      <c r="AB71" s="2172"/>
      <c r="AC71" s="2172"/>
      <c r="AD71" s="2173"/>
      <c r="AE71" s="1390"/>
      <c r="AF71" s="1390"/>
      <c r="AG71" s="1390"/>
      <c r="AH71" s="1390"/>
      <c r="AI71" s="1390"/>
      <c r="AJ71" s="1390"/>
      <c r="AK71" s="1390"/>
      <c r="AL71" s="1390"/>
      <c r="AM71" s="1390"/>
      <c r="AN71" s="1390"/>
    </row>
    <row r="72" spans="1:40" s="1389" customFormat="1" ht="14.25">
      <c r="A72" s="1054" t="s">
        <v>1012</v>
      </c>
      <c r="B72" s="2347">
        <f>估价对象房地状况!C24</f>
        <v>0</v>
      </c>
      <c r="C72" s="1146"/>
      <c r="D72" s="2356">
        <f t="shared" si="20"/>
        <v>0</v>
      </c>
      <c r="E72" s="2384"/>
      <c r="F72" s="2385"/>
      <c r="G72" s="2357"/>
      <c r="H72" s="2401" t="str">
        <f t="shared" si="21"/>
        <v>——</v>
      </c>
      <c r="I72" s="2374">
        <v>0.04</v>
      </c>
      <c r="J72" s="2377">
        <f t="shared" si="22"/>
        <v>0</v>
      </c>
      <c r="K72" s="2377">
        <f t="shared" si="23"/>
        <v>0</v>
      </c>
      <c r="L72" s="2377">
        <v>0</v>
      </c>
      <c r="M72" s="2377">
        <f t="shared" si="24"/>
        <v>0</v>
      </c>
      <c r="N72" s="2377">
        <f t="shared" si="24"/>
        <v>0</v>
      </c>
      <c r="P72" s="2172"/>
      <c r="Q72" s="2172"/>
      <c r="R72" s="2173"/>
      <c r="S72" s="2173"/>
      <c r="T72" s="2173"/>
      <c r="U72" s="2173"/>
      <c r="V72" s="2173"/>
      <c r="W72" s="2172"/>
      <c r="X72" s="2172"/>
      <c r="Y72" s="2172"/>
      <c r="Z72" s="2172"/>
      <c r="AA72" s="2172"/>
      <c r="AB72" s="2172"/>
      <c r="AC72" s="2172"/>
      <c r="AD72" s="2173"/>
      <c r="AE72" s="1390"/>
      <c r="AF72" s="1390"/>
      <c r="AG72" s="1390"/>
      <c r="AH72" s="1390"/>
      <c r="AI72" s="1390"/>
      <c r="AJ72" s="1390"/>
      <c r="AK72" s="1390"/>
      <c r="AL72" s="1390"/>
      <c r="AM72" s="1390"/>
      <c r="AN72" s="1390"/>
    </row>
    <row r="73" spans="1:40" s="1389" customFormat="1" ht="24">
      <c r="A73" s="1054" t="s">
        <v>1004</v>
      </c>
      <c r="B73" s="2348" t="str">
        <f>估价对象房地状况!C21</f>
        <v>估价对象所在区域公共配套设施齐备情况</v>
      </c>
      <c r="C73" s="1146"/>
      <c r="D73" s="2356">
        <f t="shared" si="20"/>
        <v>0</v>
      </c>
      <c r="E73" s="2384"/>
      <c r="F73" s="2385"/>
      <c r="G73" s="2357"/>
      <c r="H73" s="2401" t="str">
        <f t="shared" si="21"/>
        <v>——</v>
      </c>
      <c r="I73" s="2374">
        <v>0.08</v>
      </c>
      <c r="J73" s="2377">
        <f t="shared" si="22"/>
        <v>0</v>
      </c>
      <c r="K73" s="2377">
        <f t="shared" si="23"/>
        <v>0</v>
      </c>
      <c r="L73" s="2377">
        <v>0</v>
      </c>
      <c r="M73" s="2377">
        <f t="shared" si="24"/>
        <v>0</v>
      </c>
      <c r="N73" s="2377">
        <f t="shared" si="24"/>
        <v>0</v>
      </c>
      <c r="P73" s="2172"/>
      <c r="Q73" s="2172"/>
      <c r="R73" s="2173"/>
      <c r="S73" s="2173"/>
      <c r="T73" s="2173"/>
      <c r="U73" s="2173"/>
      <c r="V73" s="2173"/>
      <c r="W73" s="2172"/>
      <c r="X73" s="2172"/>
      <c r="Y73" s="2172"/>
      <c r="Z73" s="2172"/>
      <c r="AA73" s="2172"/>
      <c r="AB73" s="2172"/>
      <c r="AC73" s="2172"/>
      <c r="AD73" s="2173"/>
      <c r="AE73" s="1390"/>
      <c r="AF73" s="1390"/>
      <c r="AG73" s="1390"/>
      <c r="AH73" s="1390"/>
      <c r="AI73" s="1390"/>
      <c r="AJ73" s="1390"/>
      <c r="AK73" s="1390"/>
      <c r="AL73" s="1390"/>
      <c r="AM73" s="1390"/>
      <c r="AN73" s="1390"/>
    </row>
    <row r="74" spans="1:40" s="1389" customFormat="1" ht="24">
      <c r="A74" s="1054" t="s">
        <v>1005</v>
      </c>
      <c r="B74" s="2348" t="str">
        <f>估价对象房地状况!C22</f>
        <v>估价对象所在区域基础设施水平</v>
      </c>
      <c r="C74" s="1146"/>
      <c r="D74" s="2356">
        <f t="shared" si="20"/>
        <v>0</v>
      </c>
      <c r="E74" s="2384"/>
      <c r="F74" s="2385"/>
      <c r="G74" s="2357"/>
      <c r="H74" s="2401" t="str">
        <f t="shared" si="21"/>
        <v>——</v>
      </c>
      <c r="I74" s="2374">
        <v>0.12</v>
      </c>
      <c r="J74" s="2377">
        <f t="shared" si="22"/>
        <v>0</v>
      </c>
      <c r="K74" s="2377">
        <f t="shared" si="23"/>
        <v>0</v>
      </c>
      <c r="L74" s="2377">
        <v>0</v>
      </c>
      <c r="M74" s="2377">
        <f t="shared" si="24"/>
        <v>0</v>
      </c>
      <c r="N74" s="2377">
        <f t="shared" si="24"/>
        <v>0</v>
      </c>
      <c r="P74" s="2172"/>
      <c r="Q74" s="2172"/>
      <c r="R74" s="2173"/>
      <c r="S74" s="2173"/>
      <c r="T74" s="2173"/>
      <c r="U74" s="2173"/>
      <c r="V74" s="2173"/>
      <c r="W74" s="2172"/>
      <c r="X74" s="2172"/>
      <c r="Y74" s="2172"/>
      <c r="Z74" s="2172"/>
      <c r="AA74" s="2172"/>
      <c r="AB74" s="2172"/>
      <c r="AC74" s="2172"/>
      <c r="AD74" s="2173"/>
      <c r="AE74" s="1390"/>
      <c r="AF74" s="1390"/>
      <c r="AG74" s="1390"/>
      <c r="AH74" s="1390"/>
      <c r="AI74" s="1390"/>
      <c r="AJ74" s="1390"/>
      <c r="AK74" s="1390"/>
      <c r="AL74" s="1390"/>
      <c r="AM74" s="1390"/>
      <c r="AN74" s="1390"/>
    </row>
    <row r="75" spans="1:40" s="1389" customFormat="1" ht="24">
      <c r="A75" s="1054" t="s">
        <v>1003</v>
      </c>
      <c r="B75" s="3023" t="s">
        <v>2912</v>
      </c>
      <c r="C75" s="1146"/>
      <c r="D75" s="2356">
        <f t="shared" si="20"/>
        <v>0</v>
      </c>
      <c r="E75" s="2384"/>
      <c r="F75" s="2385"/>
      <c r="G75" s="2357"/>
      <c r="H75" s="2401" t="str">
        <f t="shared" si="21"/>
        <v>——</v>
      </c>
      <c r="I75" s="2374">
        <v>0.05</v>
      </c>
      <c r="J75" s="2377">
        <f t="shared" si="22"/>
        <v>0</v>
      </c>
      <c r="K75" s="2377">
        <f t="shared" si="23"/>
        <v>0</v>
      </c>
      <c r="L75" s="2377">
        <v>0</v>
      </c>
      <c r="M75" s="2377">
        <f t="shared" si="24"/>
        <v>0</v>
      </c>
      <c r="N75" s="2377">
        <f t="shared" si="24"/>
        <v>0</v>
      </c>
      <c r="P75" s="2172"/>
      <c r="Q75" s="2172"/>
      <c r="R75" s="2173"/>
      <c r="S75" s="2173"/>
      <c r="T75" s="2173"/>
      <c r="U75" s="2173"/>
      <c r="V75" s="2173"/>
      <c r="W75" s="2172"/>
      <c r="X75" s="2172"/>
      <c r="Y75" s="2172"/>
      <c r="Z75" s="2172"/>
      <c r="AA75" s="2172"/>
      <c r="AB75" s="2172"/>
      <c r="AC75" s="2172"/>
      <c r="AD75" s="2173"/>
      <c r="AE75" s="1390"/>
      <c r="AF75" s="1390"/>
      <c r="AG75" s="1390"/>
      <c r="AH75" s="1390"/>
      <c r="AI75" s="1390"/>
      <c r="AJ75" s="1390"/>
      <c r="AK75" s="1390"/>
      <c r="AL75" s="1390"/>
      <c r="AM75" s="1390"/>
      <c r="AN75" s="1390"/>
    </row>
    <row r="76" spans="1:40" ht="24">
      <c r="A76" s="1054" t="s">
        <v>1006</v>
      </c>
      <c r="B76" s="2350" t="str">
        <f>估价对象房地状况!C20</f>
        <v>区域自然环境：；人文环境；综合评价环境状况一般</v>
      </c>
      <c r="C76" s="1146"/>
      <c r="D76" s="2356">
        <f t="shared" si="20"/>
        <v>0</v>
      </c>
      <c r="E76" s="2384"/>
      <c r="F76" s="2385"/>
      <c r="G76" s="2357"/>
      <c r="H76" s="2401" t="str">
        <f t="shared" si="21"/>
        <v>——</v>
      </c>
      <c r="I76" s="2374">
        <v>0.15</v>
      </c>
      <c r="J76" s="2377">
        <f t="shared" si="22"/>
        <v>0</v>
      </c>
      <c r="K76" s="2377">
        <f t="shared" si="23"/>
        <v>0</v>
      </c>
      <c r="L76" s="2377">
        <v>0</v>
      </c>
      <c r="M76" s="2377">
        <f t="shared" si="24"/>
        <v>0</v>
      </c>
      <c r="N76" s="2377">
        <f t="shared" si="24"/>
        <v>0</v>
      </c>
      <c r="P76" s="2175"/>
      <c r="Q76" s="2175"/>
      <c r="R76" s="2176"/>
      <c r="S76" s="2176"/>
      <c r="T76" s="2176"/>
      <c r="U76" s="2176"/>
      <c r="V76" s="2176"/>
      <c r="W76" s="2175"/>
      <c r="X76" s="2175"/>
      <c r="Y76" s="2175"/>
      <c r="Z76" s="2175"/>
      <c r="AA76" s="2175"/>
      <c r="AB76" s="2175"/>
      <c r="AC76" s="2175"/>
      <c r="AD76" s="2176"/>
      <c r="AJ76" s="1390"/>
      <c r="AN76" s="1391"/>
    </row>
    <row r="77" spans="1:40" ht="24.75" thickBot="1">
      <c r="A77" s="2380" t="s">
        <v>1013</v>
      </c>
      <c r="B77" s="1826"/>
      <c r="C77" s="1146"/>
      <c r="D77" s="2356">
        <f t="shared" si="20"/>
        <v>0</v>
      </c>
      <c r="E77" s="2386"/>
      <c r="F77" s="2385"/>
      <c r="G77" s="2357"/>
      <c r="H77" s="2401" t="str">
        <f t="shared" si="21"/>
        <v>——</v>
      </c>
      <c r="I77" s="2381">
        <v>0.04</v>
      </c>
      <c r="J77" s="2377">
        <f t="shared" si="22"/>
        <v>0</v>
      </c>
      <c r="K77" s="2377">
        <f t="shared" si="23"/>
        <v>0</v>
      </c>
      <c r="L77" s="2377">
        <v>0</v>
      </c>
      <c r="M77" s="2377">
        <f t="shared" si="24"/>
        <v>0</v>
      </c>
      <c r="N77" s="2377">
        <f t="shared" si="24"/>
        <v>0</v>
      </c>
      <c r="AC77" s="1392"/>
      <c r="AD77" s="1391"/>
      <c r="AJ77" s="1390"/>
      <c r="AN77" s="1391"/>
    </row>
    <row r="78" spans="1:40" ht="15">
      <c r="A78" s="2363" t="s">
        <v>1014</v>
      </c>
      <c r="B78" s="2364">
        <f>1+E80</f>
        <v>1</v>
      </c>
      <c r="C78" s="2383"/>
      <c r="D78" s="2366"/>
      <c r="E78" s="2367"/>
      <c r="F78" s="2368"/>
      <c r="G78" s="2362"/>
      <c r="H78" s="2362"/>
      <c r="I78" s="2362"/>
      <c r="J78" s="1053"/>
      <c r="K78" s="1053"/>
      <c r="L78" s="1053"/>
      <c r="M78" s="1053"/>
      <c r="N78" s="1053"/>
      <c r="AC78" s="1392"/>
      <c r="AD78" s="1391"/>
      <c r="AJ78" s="1390"/>
      <c r="AN78" s="1391"/>
    </row>
    <row r="79" spans="1:40" ht="24">
      <c r="A79" s="1054" t="s">
        <v>986</v>
      </c>
      <c r="B79" s="2347"/>
      <c r="C79" s="2369" t="s">
        <v>988</v>
      </c>
      <c r="D79" s="2370" t="s">
        <v>989</v>
      </c>
      <c r="E79" s="2371" t="s">
        <v>991</v>
      </c>
      <c r="F79" s="2372" t="s">
        <v>2229</v>
      </c>
      <c r="G79" s="2370" t="s">
        <v>992</v>
      </c>
      <c r="H79" s="2353" t="s">
        <v>2393</v>
      </c>
      <c r="I79" s="2370" t="s">
        <v>990</v>
      </c>
      <c r="J79" s="2373" t="s">
        <v>993</v>
      </c>
      <c r="K79" s="2373" t="s">
        <v>994</v>
      </c>
      <c r="L79" s="2373" t="s">
        <v>995</v>
      </c>
      <c r="M79" s="2373" t="s">
        <v>996</v>
      </c>
      <c r="N79" s="2373" t="s">
        <v>997</v>
      </c>
      <c r="AC79" s="1392"/>
      <c r="AD79" s="1391"/>
      <c r="AJ79" s="1390"/>
      <c r="AN79" s="1391"/>
    </row>
    <row r="80" spans="1:40" ht="36">
      <c r="A80" s="1054" t="s">
        <v>1015</v>
      </c>
      <c r="B80" s="2347" t="str">
        <f>估价对象房地状况!G15</f>
        <v>估价对象位于XX开发区，园区建设成熟度XX，产业集聚程度XX</v>
      </c>
      <c r="C80" s="1041"/>
      <c r="D80" s="2356">
        <f t="shared" ref="D80:D87" si="25">SUMIF($J$79:$N$79,C80,J80:N80)</f>
        <v>0</v>
      </c>
      <c r="E80" s="2375">
        <f>ROUND(SUM(D80:D87),4)</f>
        <v>0</v>
      </c>
      <c r="F80" s="2376" t="str">
        <f>IF(E2="工业",SUMIF(L1:L12,G2,N1:N12),"——")</f>
        <v>——</v>
      </c>
      <c r="G80" s="2354"/>
      <c r="H80" s="2400" t="str">
        <f t="shared" ref="H80:H87" si="26">IFERROR(ROUNDDOWN($F$80*I80/2,4),"——")</f>
        <v>——</v>
      </c>
      <c r="I80" s="2374">
        <v>0.26</v>
      </c>
      <c r="J80" s="2377">
        <f t="shared" ref="J80:J87" si="27">K80+$G80</f>
        <v>0</v>
      </c>
      <c r="K80" s="2377">
        <f t="shared" ref="K80:K87" si="28">$L80+$G80</f>
        <v>0</v>
      </c>
      <c r="L80" s="2377">
        <v>0</v>
      </c>
      <c r="M80" s="2377">
        <f t="shared" ref="M80:N87" si="29">L80-$G80</f>
        <v>0</v>
      </c>
      <c r="N80" s="2377">
        <f t="shared" si="29"/>
        <v>0</v>
      </c>
      <c r="AC80" s="1392"/>
      <c r="AD80" s="1391"/>
      <c r="AJ80" s="1390"/>
      <c r="AN80" s="1391"/>
    </row>
    <row r="81" spans="1:40" ht="48">
      <c r="A81" s="1054" t="s">
        <v>1011</v>
      </c>
      <c r="B81" s="2347" t="str">
        <f>估价对象房地状况!G16</f>
        <v>估价对象周边道路状况、公共交通通达情况、停车便捷程度，综合评价交通便捷度较好</v>
      </c>
      <c r="C81" s="1041"/>
      <c r="D81" s="2356">
        <f t="shared" si="25"/>
        <v>0</v>
      </c>
      <c r="E81" s="2384"/>
      <c r="F81" s="2385"/>
      <c r="G81" s="2354"/>
      <c r="H81" s="2400" t="str">
        <f t="shared" si="26"/>
        <v>——</v>
      </c>
      <c r="I81" s="2374">
        <v>0.33</v>
      </c>
      <c r="J81" s="2377">
        <f t="shared" si="27"/>
        <v>0</v>
      </c>
      <c r="K81" s="2377">
        <f t="shared" si="28"/>
        <v>0</v>
      </c>
      <c r="L81" s="2377">
        <v>0</v>
      </c>
      <c r="M81" s="2377">
        <f t="shared" si="29"/>
        <v>0</v>
      </c>
      <c r="N81" s="2377">
        <f t="shared" si="29"/>
        <v>0</v>
      </c>
      <c r="AC81" s="1392"/>
      <c r="AD81" s="1391"/>
      <c r="AJ81" s="1390"/>
      <c r="AN81" s="1391"/>
    </row>
    <row r="82" spans="1:40" ht="24">
      <c r="A82" s="1054" t="s">
        <v>1000</v>
      </c>
      <c r="B82" s="2347">
        <f>估价对象房地状况!G17</f>
        <v>0</v>
      </c>
      <c r="C82" s="1041"/>
      <c r="D82" s="2356">
        <f t="shared" si="25"/>
        <v>0</v>
      </c>
      <c r="E82" s="2384"/>
      <c r="F82" s="2385"/>
      <c r="G82" s="2354"/>
      <c r="H82" s="2400" t="str">
        <f t="shared" si="26"/>
        <v>——</v>
      </c>
      <c r="I82" s="2374">
        <v>0.05</v>
      </c>
      <c r="J82" s="2377">
        <f t="shared" si="27"/>
        <v>0</v>
      </c>
      <c r="K82" s="2377">
        <f t="shared" si="28"/>
        <v>0</v>
      </c>
      <c r="L82" s="2377">
        <v>0</v>
      </c>
      <c r="M82" s="2377">
        <f t="shared" si="29"/>
        <v>0</v>
      </c>
      <c r="N82" s="2377">
        <f t="shared" si="29"/>
        <v>0</v>
      </c>
      <c r="AC82" s="1392"/>
      <c r="AD82" s="1391"/>
      <c r="AJ82" s="1390"/>
      <c r="AN82" s="1391"/>
    </row>
    <row r="83" spans="1:40" ht="14.25">
      <c r="A83" s="1054" t="s">
        <v>1012</v>
      </c>
      <c r="B83" s="2347">
        <f>估价对象房地状况!G22</f>
        <v>0</v>
      </c>
      <c r="C83" s="1041"/>
      <c r="D83" s="2356">
        <f t="shared" si="25"/>
        <v>0</v>
      </c>
      <c r="E83" s="2384"/>
      <c r="F83" s="2385"/>
      <c r="G83" s="2354"/>
      <c r="H83" s="2400" t="str">
        <f t="shared" si="26"/>
        <v>——</v>
      </c>
      <c r="I83" s="2374">
        <v>0.04</v>
      </c>
      <c r="J83" s="2377">
        <f t="shared" si="27"/>
        <v>0</v>
      </c>
      <c r="K83" s="2377">
        <f t="shared" si="28"/>
        <v>0</v>
      </c>
      <c r="L83" s="2377">
        <v>0</v>
      </c>
      <c r="M83" s="2377">
        <f t="shared" si="29"/>
        <v>0</v>
      </c>
      <c r="N83" s="2377">
        <f t="shared" si="29"/>
        <v>0</v>
      </c>
      <c r="AC83" s="1392"/>
      <c r="AD83" s="1391"/>
      <c r="AJ83" s="1390"/>
      <c r="AN83" s="1391"/>
    </row>
    <row r="84" spans="1:40" ht="24">
      <c r="A84" s="1054" t="s">
        <v>1004</v>
      </c>
      <c r="B84" s="2348" t="str">
        <f>估价对象房地状况!G19</f>
        <v>估价对象所在区域公共配套设施齐备情况</v>
      </c>
      <c r="C84" s="1041"/>
      <c r="D84" s="2356">
        <f t="shared" si="25"/>
        <v>0</v>
      </c>
      <c r="E84" s="2384"/>
      <c r="F84" s="2385"/>
      <c r="G84" s="2354"/>
      <c r="H84" s="2400" t="str">
        <f t="shared" si="26"/>
        <v>——</v>
      </c>
      <c r="I84" s="2374">
        <v>0.06</v>
      </c>
      <c r="J84" s="2377">
        <f t="shared" si="27"/>
        <v>0</v>
      </c>
      <c r="K84" s="2377">
        <f t="shared" si="28"/>
        <v>0</v>
      </c>
      <c r="L84" s="2377">
        <v>0</v>
      </c>
      <c r="M84" s="2377">
        <f t="shared" si="29"/>
        <v>0</v>
      </c>
      <c r="N84" s="2377">
        <f t="shared" si="29"/>
        <v>0</v>
      </c>
      <c r="AC84" s="1392"/>
      <c r="AD84" s="1391"/>
      <c r="AJ84" s="1390"/>
      <c r="AN84" s="1391"/>
    </row>
    <row r="85" spans="1:40" ht="24">
      <c r="A85" s="1054" t="s">
        <v>1005</v>
      </c>
      <c r="B85" s="2348" t="str">
        <f>估价对象房地状况!G20</f>
        <v>估价对象所在区域基础设施水平</v>
      </c>
      <c r="C85" s="1041"/>
      <c r="D85" s="2356">
        <f t="shared" si="25"/>
        <v>0</v>
      </c>
      <c r="E85" s="2384"/>
      <c r="F85" s="2385"/>
      <c r="G85" s="2354"/>
      <c r="H85" s="2400" t="str">
        <f t="shared" si="26"/>
        <v>——</v>
      </c>
      <c r="I85" s="2374">
        <v>0.15</v>
      </c>
      <c r="J85" s="2377">
        <f t="shared" si="27"/>
        <v>0</v>
      </c>
      <c r="K85" s="2377">
        <f t="shared" si="28"/>
        <v>0</v>
      </c>
      <c r="L85" s="2377">
        <v>0</v>
      </c>
      <c r="M85" s="2377">
        <f t="shared" si="29"/>
        <v>0</v>
      </c>
      <c r="N85" s="2377">
        <f t="shared" si="29"/>
        <v>0</v>
      </c>
      <c r="AC85" s="1392"/>
      <c r="AD85" s="1391"/>
      <c r="AJ85" s="1390"/>
      <c r="AN85" s="1391"/>
    </row>
    <row r="86" spans="1:40" ht="24">
      <c r="A86" s="1054" t="s">
        <v>1003</v>
      </c>
      <c r="B86" s="3023" t="s">
        <v>2912</v>
      </c>
      <c r="C86" s="1041"/>
      <c r="D86" s="2356">
        <f t="shared" si="25"/>
        <v>0</v>
      </c>
      <c r="E86" s="2384"/>
      <c r="F86" s="2385"/>
      <c r="G86" s="2354"/>
      <c r="H86" s="2400" t="str">
        <f t="shared" si="26"/>
        <v>——</v>
      </c>
      <c r="I86" s="2374">
        <v>0.05</v>
      </c>
      <c r="J86" s="2377">
        <f t="shared" si="27"/>
        <v>0</v>
      </c>
      <c r="K86" s="2377">
        <f t="shared" si="28"/>
        <v>0</v>
      </c>
      <c r="L86" s="2377">
        <v>0</v>
      </c>
      <c r="M86" s="2377">
        <f t="shared" si="29"/>
        <v>0</v>
      </c>
      <c r="N86" s="2377">
        <f t="shared" si="29"/>
        <v>0</v>
      </c>
      <c r="AC86" s="1392"/>
      <c r="AD86" s="1391"/>
      <c r="AJ86" s="1390"/>
      <c r="AN86" s="1391"/>
    </row>
    <row r="87" spans="1:40" ht="36.75" thickBot="1">
      <c r="A87" s="2380" t="s">
        <v>1016</v>
      </c>
      <c r="B87" s="2349" t="str">
        <f>估价对象房地状况!G18</f>
        <v>该园区内是否有污染型企业，绿化情况，卫生条件，整体环境状况判断</v>
      </c>
      <c r="C87" s="1041"/>
      <c r="D87" s="2356">
        <f t="shared" si="25"/>
        <v>0</v>
      </c>
      <c r="E87" s="2386"/>
      <c r="F87" s="2385"/>
      <c r="G87" s="2354"/>
      <c r="H87" s="2400" t="str">
        <f t="shared" si="26"/>
        <v>——</v>
      </c>
      <c r="I87" s="2381">
        <v>0.06</v>
      </c>
      <c r="J87" s="2377">
        <f t="shared" si="27"/>
        <v>0</v>
      </c>
      <c r="K87" s="2377">
        <f t="shared" si="28"/>
        <v>0</v>
      </c>
      <c r="L87" s="2377">
        <v>0</v>
      </c>
      <c r="M87" s="2377">
        <f t="shared" si="29"/>
        <v>0</v>
      </c>
      <c r="N87" s="2377">
        <f t="shared" si="29"/>
        <v>0</v>
      </c>
      <c r="AC87" s="1392"/>
      <c r="AD87" s="1391"/>
      <c r="AJ87" s="1390"/>
      <c r="AN87" s="1391"/>
    </row>
    <row r="90" spans="1:40">
      <c r="A90" s="3831" t="s">
        <v>1611</v>
      </c>
      <c r="B90" s="3831"/>
      <c r="C90" s="3831"/>
      <c r="D90" s="3831"/>
      <c r="E90" s="3831"/>
      <c r="F90" s="3831"/>
      <c r="G90" s="3831"/>
      <c r="H90" s="3831"/>
      <c r="I90" s="3831"/>
      <c r="J90" s="3831"/>
      <c r="K90" s="2389"/>
      <c r="L90" s="2389"/>
      <c r="M90" s="2389"/>
      <c r="N90" s="2389"/>
    </row>
    <row r="91" spans="1:40">
      <c r="A91" s="3832" t="s">
        <v>1421</v>
      </c>
      <c r="B91" s="3832" t="s">
        <v>1612</v>
      </c>
      <c r="C91" s="1127" t="s">
        <v>1613</v>
      </c>
      <c r="D91" s="1128"/>
      <c r="E91" s="1128"/>
      <c r="F91" s="1128"/>
      <c r="G91" s="1128"/>
      <c r="H91" s="1128"/>
      <c r="I91" s="1128"/>
      <c r="J91" s="1129"/>
      <c r="K91" s="1121"/>
      <c r="L91" s="1121"/>
      <c r="M91" s="1121"/>
      <c r="N91" s="1121"/>
    </row>
    <row r="92" spans="1:40">
      <c r="A92" s="3832"/>
      <c r="B92" s="3832"/>
      <c r="C92" s="2388" t="s">
        <v>885</v>
      </c>
      <c r="D92" s="2388" t="s">
        <v>863</v>
      </c>
      <c r="E92" s="2388" t="s">
        <v>864</v>
      </c>
      <c r="F92" s="2388" t="s">
        <v>888</v>
      </c>
      <c r="G92" s="2388" t="s">
        <v>866</v>
      </c>
      <c r="H92" s="2388" t="s">
        <v>867</v>
      </c>
      <c r="I92" s="2388" t="s">
        <v>868</v>
      </c>
      <c r="J92" s="2388" t="s">
        <v>869</v>
      </c>
      <c r="K92" s="2388" t="s">
        <v>893</v>
      </c>
      <c r="L92" s="2388" t="s">
        <v>871</v>
      </c>
      <c r="M92" s="2388" t="s">
        <v>872</v>
      </c>
      <c r="N92" s="2388" t="s">
        <v>896</v>
      </c>
    </row>
    <row r="93" spans="1:40">
      <c r="A93" s="3839" t="s">
        <v>2738</v>
      </c>
      <c r="B93" s="1130">
        <v>1</v>
      </c>
      <c r="C93" s="1131">
        <v>1.9361999999999999</v>
      </c>
      <c r="D93" s="1131">
        <v>1.9361999999999999</v>
      </c>
      <c r="E93" s="1131">
        <v>1.8629</v>
      </c>
      <c r="F93" s="1131">
        <v>1.8629</v>
      </c>
      <c r="G93" s="1131">
        <v>1.8629</v>
      </c>
      <c r="H93" s="1131">
        <v>1.8629</v>
      </c>
      <c r="I93" s="1131">
        <v>1.8629</v>
      </c>
      <c r="J93" s="1131">
        <v>1.9419999999999999</v>
      </c>
      <c r="K93" s="1131">
        <v>1.9419999999999999</v>
      </c>
      <c r="L93" s="1131">
        <v>1.9419999999999999</v>
      </c>
      <c r="M93" s="1131">
        <v>1.9419999999999999</v>
      </c>
      <c r="N93" s="1131">
        <v>1.9419999999999999</v>
      </c>
    </row>
    <row r="94" spans="1:40">
      <c r="A94" s="3840"/>
      <c r="B94" s="1130">
        <v>2</v>
      </c>
      <c r="C94" s="1131">
        <v>1.4198</v>
      </c>
      <c r="D94" s="1131">
        <v>1.4198</v>
      </c>
      <c r="E94" s="1131">
        <v>1.3371999999999999</v>
      </c>
      <c r="F94" s="1131">
        <v>1.3371999999999999</v>
      </c>
      <c r="G94" s="1131">
        <v>1.3371999999999999</v>
      </c>
      <c r="H94" s="1131">
        <v>1.3371999999999999</v>
      </c>
      <c r="I94" s="1131">
        <v>1.3371999999999999</v>
      </c>
      <c r="J94" s="1131">
        <v>1.2799</v>
      </c>
      <c r="K94" s="1131">
        <v>1.2799</v>
      </c>
      <c r="L94" s="1131">
        <v>1.2799</v>
      </c>
      <c r="M94" s="1131">
        <v>1.2799</v>
      </c>
      <c r="N94" s="1131">
        <v>1.2799</v>
      </c>
    </row>
    <row r="95" spans="1:40">
      <c r="A95" s="3840"/>
      <c r="B95" s="1130">
        <v>3</v>
      </c>
      <c r="C95" s="1131">
        <v>1.1594</v>
      </c>
      <c r="D95" s="1131">
        <v>1.1594</v>
      </c>
      <c r="E95" s="1131">
        <v>1.0788</v>
      </c>
      <c r="F95" s="1131">
        <v>1.0788</v>
      </c>
      <c r="G95" s="1131">
        <v>1.0788</v>
      </c>
      <c r="H95" s="1131">
        <v>1.0788</v>
      </c>
      <c r="I95" s="1131">
        <v>1.0788</v>
      </c>
      <c r="J95" s="1131">
        <v>1.0072000000000001</v>
      </c>
      <c r="K95" s="1131">
        <v>1.0072000000000001</v>
      </c>
      <c r="L95" s="1131">
        <v>1.0072000000000001</v>
      </c>
      <c r="M95" s="1131">
        <v>1.0072000000000001</v>
      </c>
      <c r="N95" s="1131">
        <v>1.0072000000000001</v>
      </c>
    </row>
    <row r="96" spans="1:40">
      <c r="A96" s="3840"/>
      <c r="B96" s="1130">
        <v>4</v>
      </c>
      <c r="C96" s="1131">
        <v>0.96220000000000006</v>
      </c>
      <c r="D96" s="1131">
        <v>0.96220000000000006</v>
      </c>
      <c r="E96" s="1131">
        <v>0.86560000000000004</v>
      </c>
      <c r="F96" s="1131">
        <v>0.86560000000000004</v>
      </c>
      <c r="G96" s="1131">
        <v>0.86560000000000004</v>
      </c>
      <c r="H96" s="1131">
        <v>0.86560000000000004</v>
      </c>
      <c r="I96" s="1131">
        <v>0.86560000000000004</v>
      </c>
      <c r="J96" s="1131">
        <v>0.75249999999999995</v>
      </c>
      <c r="K96" s="1131">
        <v>0.75249999999999995</v>
      </c>
      <c r="L96" s="1131">
        <v>0.75249999999999995</v>
      </c>
      <c r="M96" s="1131">
        <v>0.75249999999999995</v>
      </c>
      <c r="N96" s="1131">
        <v>0.75249999999999995</v>
      </c>
    </row>
    <row r="97" spans="1:14">
      <c r="A97" s="3840"/>
      <c r="B97" s="1130">
        <v>5</v>
      </c>
      <c r="C97" s="1131">
        <v>0.8417</v>
      </c>
      <c r="D97" s="1131">
        <v>0.8417</v>
      </c>
      <c r="E97" s="1131">
        <v>0.73709999999999998</v>
      </c>
      <c r="F97" s="1131">
        <v>0.73709999999999998</v>
      </c>
      <c r="G97" s="1131">
        <v>0.73709999999999998</v>
      </c>
      <c r="H97" s="1131">
        <v>0.73709999999999998</v>
      </c>
      <c r="I97" s="1131">
        <v>0.73709999999999998</v>
      </c>
      <c r="J97" s="1131">
        <v>0.56589999999999996</v>
      </c>
      <c r="K97" s="1131">
        <v>0.56589999999999996</v>
      </c>
      <c r="L97" s="1131">
        <v>0.56589999999999996</v>
      </c>
      <c r="M97" s="1131">
        <v>0.56589999999999996</v>
      </c>
      <c r="N97" s="1131">
        <v>0.56589999999999996</v>
      </c>
    </row>
    <row r="98" spans="1:14">
      <c r="A98" s="3840"/>
      <c r="B98" s="1130">
        <v>6</v>
      </c>
      <c r="C98" s="1131">
        <v>0.76080000000000003</v>
      </c>
      <c r="D98" s="1131">
        <v>0.76080000000000003</v>
      </c>
      <c r="E98" s="1131">
        <v>0.6482</v>
      </c>
      <c r="F98" s="1131">
        <v>0.6482</v>
      </c>
      <c r="G98" s="1131">
        <v>0.6482</v>
      </c>
      <c r="H98" s="1131">
        <v>0.6482</v>
      </c>
      <c r="I98" s="1131">
        <v>0.6482</v>
      </c>
      <c r="J98" s="1131">
        <v>0.45250000000000001</v>
      </c>
      <c r="K98" s="1131">
        <v>0.45250000000000001</v>
      </c>
      <c r="L98" s="1131">
        <v>0.45250000000000001</v>
      </c>
      <c r="M98" s="1131">
        <v>0.45250000000000001</v>
      </c>
      <c r="N98" s="1131">
        <v>0.45250000000000001</v>
      </c>
    </row>
    <row r="99" spans="1:14">
      <c r="A99" s="3840"/>
      <c r="B99" s="1130" t="s">
        <v>1614</v>
      </c>
      <c r="C99" s="1132">
        <f>$I$3</f>
        <v>8</v>
      </c>
      <c r="D99" s="1132">
        <f t="shared" ref="D99:N99" si="30">$I$3</f>
        <v>8</v>
      </c>
      <c r="E99" s="1132">
        <f t="shared" si="30"/>
        <v>8</v>
      </c>
      <c r="F99" s="1132">
        <f t="shared" si="30"/>
        <v>8</v>
      </c>
      <c r="G99" s="1132">
        <f t="shared" si="30"/>
        <v>8</v>
      </c>
      <c r="H99" s="1132">
        <f t="shared" si="30"/>
        <v>8</v>
      </c>
      <c r="I99" s="1132">
        <f t="shared" si="30"/>
        <v>8</v>
      </c>
      <c r="J99" s="1132">
        <f t="shared" si="30"/>
        <v>8</v>
      </c>
      <c r="K99" s="1132">
        <f t="shared" si="30"/>
        <v>8</v>
      </c>
      <c r="L99" s="1132">
        <f t="shared" si="30"/>
        <v>8</v>
      </c>
      <c r="M99" s="1132">
        <f t="shared" si="30"/>
        <v>8</v>
      </c>
      <c r="N99" s="1132">
        <f t="shared" si="30"/>
        <v>8</v>
      </c>
    </row>
    <row r="100" spans="1:14">
      <c r="A100" s="3841"/>
      <c r="B100" s="1130">
        <v>7</v>
      </c>
      <c r="C100" s="1133">
        <f>(-0.163*(C99^2)-0.59*C99+7617)*(10^(-4))</f>
        <v>0.76018479999999999</v>
      </c>
      <c r="D100" s="1133">
        <f>(-0.163*(D99^2)-0.59*D99+7617)*(10^(-4))</f>
        <v>0.76018479999999999</v>
      </c>
      <c r="E100" s="1133">
        <f>(-0.161*(E99^2)-7.509*E99+6533)*(10^(-4))</f>
        <v>0.64626240000000001</v>
      </c>
      <c r="F100" s="1133">
        <f>(-0.161*(F99^2)-7.509*F99+6533)*(10^(-4))</f>
        <v>0.64626240000000001</v>
      </c>
      <c r="G100" s="1133">
        <f>(-0.161*(G99^2)-7.509*G99+6533)*(10^(-4))</f>
        <v>0.64626240000000001</v>
      </c>
      <c r="H100" s="1133">
        <f>(-0.161*(H99^2)-7.509*H99+6533)*(10^(-4))</f>
        <v>0.64626240000000001</v>
      </c>
      <c r="I100" s="1133">
        <f>(-0.161*(I99^2)-7.509*I99+6533)*(10^(-4))</f>
        <v>0.64626240000000001</v>
      </c>
      <c r="J100" s="1133">
        <f>(-0.214*(J99^2)-21.991*J99+4665)*(10^(-4))</f>
        <v>0.44753760000000004</v>
      </c>
      <c r="K100" s="1133">
        <f>(-0.214*(K99^2)-21.991*K99+4665)*(10^(-4))</f>
        <v>0.44753760000000004</v>
      </c>
      <c r="L100" s="1133">
        <f>(-0.214*(L99^2)-21.991*L99+4665)*(10^(-4))</f>
        <v>0.44753760000000004</v>
      </c>
      <c r="M100" s="1133">
        <f>(-0.214*(M99^2)-21.991*M99+4665)*(10^(-4))</f>
        <v>0.44753760000000004</v>
      </c>
      <c r="N100" s="1133">
        <f>(-0.214*(N99^2)-21.991*N99+4665)*(10^(-4))</f>
        <v>0.44753760000000004</v>
      </c>
    </row>
    <row r="101" spans="1:14">
      <c r="A101" s="3839" t="s">
        <v>1615</v>
      </c>
      <c r="B101" s="1134" t="s">
        <v>884</v>
      </c>
      <c r="C101" s="1135">
        <f>$G$3</f>
        <v>4</v>
      </c>
      <c r="D101" s="1135">
        <f t="shared" ref="D101:N101" si="31">$G$3</f>
        <v>4</v>
      </c>
      <c r="E101" s="1135">
        <f t="shared" si="31"/>
        <v>4</v>
      </c>
      <c r="F101" s="1135">
        <f t="shared" si="31"/>
        <v>4</v>
      </c>
      <c r="G101" s="1135">
        <f t="shared" si="31"/>
        <v>4</v>
      </c>
      <c r="H101" s="1135">
        <f t="shared" si="31"/>
        <v>4</v>
      </c>
      <c r="I101" s="1135">
        <f t="shared" si="31"/>
        <v>4</v>
      </c>
      <c r="J101" s="1135">
        <f t="shared" si="31"/>
        <v>4</v>
      </c>
      <c r="K101" s="1135">
        <f t="shared" si="31"/>
        <v>4</v>
      </c>
      <c r="L101" s="1135">
        <f t="shared" si="31"/>
        <v>4</v>
      </c>
      <c r="M101" s="1135">
        <f t="shared" si="31"/>
        <v>4</v>
      </c>
      <c r="N101" s="1135">
        <f t="shared" si="31"/>
        <v>4</v>
      </c>
    </row>
    <row r="102" spans="1:14">
      <c r="A102" s="3840"/>
      <c r="B102" s="1130">
        <v>1</v>
      </c>
      <c r="C102" s="1131">
        <f>1.9362/C101</f>
        <v>0.48404999999999998</v>
      </c>
      <c r="D102" s="1131">
        <f>1.9362/D101</f>
        <v>0.48404999999999998</v>
      </c>
      <c r="E102" s="1131">
        <f>1.8629/E101</f>
        <v>0.465725</v>
      </c>
      <c r="F102" s="1131">
        <f>1.8629/F101</f>
        <v>0.465725</v>
      </c>
      <c r="G102" s="1131">
        <f>1.8629/G101</f>
        <v>0.465725</v>
      </c>
      <c r="H102" s="1131">
        <f>1.8629/H101</f>
        <v>0.465725</v>
      </c>
      <c r="I102" s="1131">
        <f>1.8629/I101</f>
        <v>0.465725</v>
      </c>
      <c r="J102" s="1131">
        <f>1.942/J101</f>
        <v>0.48549999999999999</v>
      </c>
      <c r="K102" s="1131">
        <f>1.942/K101</f>
        <v>0.48549999999999999</v>
      </c>
      <c r="L102" s="1131">
        <f>1.942/L101</f>
        <v>0.48549999999999999</v>
      </c>
      <c r="M102" s="1131">
        <f>1.942/M101</f>
        <v>0.48549999999999999</v>
      </c>
      <c r="N102" s="1131">
        <f>1.942/N101</f>
        <v>0.48549999999999999</v>
      </c>
    </row>
    <row r="103" spans="1:14">
      <c r="A103" s="3840"/>
      <c r="B103" s="1130">
        <v>2</v>
      </c>
      <c r="C103" s="1131">
        <f>1.4198/C101</f>
        <v>0.35494999999999999</v>
      </c>
      <c r="D103" s="1131">
        <f>1.4198/D101</f>
        <v>0.35494999999999999</v>
      </c>
      <c r="E103" s="1131">
        <f>1.3372/E101</f>
        <v>0.33429999999999999</v>
      </c>
      <c r="F103" s="1131">
        <f>1.3372/F101</f>
        <v>0.33429999999999999</v>
      </c>
      <c r="G103" s="1131">
        <f>1.3372/G101</f>
        <v>0.33429999999999999</v>
      </c>
      <c r="H103" s="1131">
        <f>1.3372/H101</f>
        <v>0.33429999999999999</v>
      </c>
      <c r="I103" s="1131">
        <f>1.3372/I101</f>
        <v>0.33429999999999999</v>
      </c>
      <c r="J103" s="1131">
        <f>1.2799/J101</f>
        <v>0.31997500000000001</v>
      </c>
      <c r="K103" s="1131">
        <f>1.2799/K101</f>
        <v>0.31997500000000001</v>
      </c>
      <c r="L103" s="1131">
        <f>1.2799/L101</f>
        <v>0.31997500000000001</v>
      </c>
      <c r="M103" s="1131">
        <f>1.2799/M101</f>
        <v>0.31997500000000001</v>
      </c>
      <c r="N103" s="1131">
        <f>1.2799/N101</f>
        <v>0.31997500000000001</v>
      </c>
    </row>
    <row r="104" spans="1:14">
      <c r="A104" s="3840"/>
      <c r="B104" s="1130">
        <v>3</v>
      </c>
      <c r="C104" s="1131">
        <f>1.1594/C101</f>
        <v>0.28985</v>
      </c>
      <c r="D104" s="1131">
        <f>1.1594/D101</f>
        <v>0.28985</v>
      </c>
      <c r="E104" s="1131">
        <f>1.0788/E101</f>
        <v>0.2697</v>
      </c>
      <c r="F104" s="1131">
        <f>1.0788/F101</f>
        <v>0.2697</v>
      </c>
      <c r="G104" s="1131">
        <f>1.0788/G101</f>
        <v>0.2697</v>
      </c>
      <c r="H104" s="1131">
        <f>1.0788/H101</f>
        <v>0.2697</v>
      </c>
      <c r="I104" s="1131">
        <f>1.0788/I101</f>
        <v>0.2697</v>
      </c>
      <c r="J104" s="1131">
        <f>1.0072/J101</f>
        <v>0.25180000000000002</v>
      </c>
      <c r="K104" s="1131">
        <f>1.0072/K101</f>
        <v>0.25180000000000002</v>
      </c>
      <c r="L104" s="1131">
        <f>1.0072/L101</f>
        <v>0.25180000000000002</v>
      </c>
      <c r="M104" s="1131">
        <f>1.0072/M101</f>
        <v>0.25180000000000002</v>
      </c>
      <c r="N104" s="1131">
        <f>1.0072/N101</f>
        <v>0.25180000000000002</v>
      </c>
    </row>
    <row r="105" spans="1:14">
      <c r="A105" s="3840"/>
      <c r="B105" s="1130">
        <v>4</v>
      </c>
      <c r="C105" s="1131">
        <f>0.9622/C101</f>
        <v>0.24055000000000001</v>
      </c>
      <c r="D105" s="1131">
        <f>0.9622/D101</f>
        <v>0.24055000000000001</v>
      </c>
      <c r="E105" s="1131">
        <f>0.8656/E101</f>
        <v>0.21640000000000001</v>
      </c>
      <c r="F105" s="1131">
        <f>0.8656/F101</f>
        <v>0.21640000000000001</v>
      </c>
      <c r="G105" s="1131">
        <f>0.8656/G101</f>
        <v>0.21640000000000001</v>
      </c>
      <c r="H105" s="1131">
        <f>0.8656/H101</f>
        <v>0.21640000000000001</v>
      </c>
      <c r="I105" s="1131">
        <f>0.8656/I101</f>
        <v>0.21640000000000001</v>
      </c>
      <c r="J105" s="1131">
        <f>0.7525/J101</f>
        <v>0.18812499999999999</v>
      </c>
      <c r="K105" s="1131">
        <f>0.7525/K101</f>
        <v>0.18812499999999999</v>
      </c>
      <c r="L105" s="1131">
        <f>0.7525/L101</f>
        <v>0.18812499999999999</v>
      </c>
      <c r="M105" s="1131">
        <f>0.7525/M101</f>
        <v>0.18812499999999999</v>
      </c>
      <c r="N105" s="1131">
        <f>0.7525/N101</f>
        <v>0.18812499999999999</v>
      </c>
    </row>
    <row r="106" spans="1:14">
      <c r="A106" s="3840"/>
      <c r="B106" s="1130">
        <v>5</v>
      </c>
      <c r="C106" s="1131">
        <f>0.8417/C101</f>
        <v>0.210425</v>
      </c>
      <c r="D106" s="1131">
        <f>0.8417/D101</f>
        <v>0.210425</v>
      </c>
      <c r="E106" s="1131">
        <f>0.7371/E101</f>
        <v>0.18427499999999999</v>
      </c>
      <c r="F106" s="1131">
        <f>0.7371/F101</f>
        <v>0.18427499999999999</v>
      </c>
      <c r="G106" s="1131">
        <f>0.7371/G101</f>
        <v>0.18427499999999999</v>
      </c>
      <c r="H106" s="1131">
        <f>0.7371/H101</f>
        <v>0.18427499999999999</v>
      </c>
      <c r="I106" s="1131">
        <f>0.7371/I101</f>
        <v>0.18427499999999999</v>
      </c>
      <c r="J106" s="1131">
        <f>0.5659/J101</f>
        <v>0.14147499999999999</v>
      </c>
      <c r="K106" s="1131">
        <f>0.5659/K101</f>
        <v>0.14147499999999999</v>
      </c>
      <c r="L106" s="1131">
        <f>0.5659/L101</f>
        <v>0.14147499999999999</v>
      </c>
      <c r="M106" s="1131">
        <f>0.5659/M101</f>
        <v>0.14147499999999999</v>
      </c>
      <c r="N106" s="1131">
        <f>0.5659/N101</f>
        <v>0.14147499999999999</v>
      </c>
    </row>
    <row r="107" spans="1:14">
      <c r="A107" s="3840"/>
      <c r="B107" s="1130">
        <v>6</v>
      </c>
      <c r="C107" s="1131">
        <f>0.7608/C101</f>
        <v>0.19020000000000001</v>
      </c>
      <c r="D107" s="1131">
        <f>0.7608/D101</f>
        <v>0.19020000000000001</v>
      </c>
      <c r="E107" s="1131">
        <f>0.6482/E101</f>
        <v>0.16205</v>
      </c>
      <c r="F107" s="1131">
        <f>0.6482/F101</f>
        <v>0.16205</v>
      </c>
      <c r="G107" s="1131">
        <f>0.6482/G101</f>
        <v>0.16205</v>
      </c>
      <c r="H107" s="1131">
        <f>0.6482/H101</f>
        <v>0.16205</v>
      </c>
      <c r="I107" s="1131">
        <f>0.6482/I101</f>
        <v>0.16205</v>
      </c>
      <c r="J107" s="1131">
        <f>0.4525/J101</f>
        <v>0.113125</v>
      </c>
      <c r="K107" s="1131">
        <f>0.4525/K101</f>
        <v>0.113125</v>
      </c>
      <c r="L107" s="1131">
        <f>0.4525/L101</f>
        <v>0.113125</v>
      </c>
      <c r="M107" s="1131">
        <f>0.4525/M101</f>
        <v>0.113125</v>
      </c>
      <c r="N107" s="1131">
        <f>0.4525/N101</f>
        <v>0.113125</v>
      </c>
    </row>
    <row r="108" spans="1:14">
      <c r="A108" s="3840"/>
      <c r="B108" s="3842" t="s">
        <v>1616</v>
      </c>
      <c r="C108" s="1132">
        <f>C99</f>
        <v>8</v>
      </c>
      <c r="D108" s="1132">
        <f t="shared" ref="D108:N108" si="32">D99</f>
        <v>8</v>
      </c>
      <c r="E108" s="1132">
        <f t="shared" si="32"/>
        <v>8</v>
      </c>
      <c r="F108" s="1132">
        <f t="shared" si="32"/>
        <v>8</v>
      </c>
      <c r="G108" s="1132">
        <f t="shared" si="32"/>
        <v>8</v>
      </c>
      <c r="H108" s="1132">
        <f t="shared" si="32"/>
        <v>8</v>
      </c>
      <c r="I108" s="1132">
        <f t="shared" si="32"/>
        <v>8</v>
      </c>
      <c r="J108" s="1132">
        <f t="shared" si="32"/>
        <v>8</v>
      </c>
      <c r="K108" s="1132">
        <f t="shared" si="32"/>
        <v>8</v>
      </c>
      <c r="L108" s="1132">
        <f t="shared" si="32"/>
        <v>8</v>
      </c>
      <c r="M108" s="1132">
        <f t="shared" si="32"/>
        <v>8</v>
      </c>
      <c r="N108" s="1132">
        <f t="shared" si="32"/>
        <v>8</v>
      </c>
    </row>
    <row r="109" spans="1:14">
      <c r="A109" s="3841"/>
      <c r="B109" s="3843"/>
      <c r="C109" s="1133">
        <f>(-0.163*(C108^2)-0.59*C108+7617)*(10^(-4))/C101</f>
        <v>0.1900462</v>
      </c>
      <c r="D109" s="1133">
        <f>(-0.163*(D108^2)-0.59*D108+7617)*(10^(-4))/D101</f>
        <v>0.1900462</v>
      </c>
      <c r="E109" s="1133">
        <f>(-0.161*(E108^2)-7.509*E108+6533)*(10^(-4))/E101</f>
        <v>0.1615656</v>
      </c>
      <c r="F109" s="1133">
        <f>(-0.161*(F108^2)-7.509*F108+6533)*(10^(-4))/F101</f>
        <v>0.1615656</v>
      </c>
      <c r="G109" s="1133">
        <f>(-0.161*(G108^2)-7.509*G108+6533)*(10^(-4))/G101</f>
        <v>0.1615656</v>
      </c>
      <c r="H109" s="1133">
        <f>(-0.161*(H108^2)-7.509*H108+6533)*(10^(-4))/H101</f>
        <v>0.1615656</v>
      </c>
      <c r="I109" s="1133">
        <f>(-0.161*(I108^2)-7.509*I108+6533)*(10^(-4))/I101</f>
        <v>0.1615656</v>
      </c>
      <c r="J109" s="1133">
        <f>(-0.214*(J108^2)-21.991*J108+4665)*(10^(-4))/J101</f>
        <v>0.11188440000000001</v>
      </c>
      <c r="K109" s="1133">
        <f>(-0.214*(K108^2)-21.991*K108+4665)*(10^(-4))/K101</f>
        <v>0.11188440000000001</v>
      </c>
      <c r="L109" s="1133">
        <f>(-0.214*(L108^2)-21.991*L108+4665)*(10^(-4))/L101</f>
        <v>0.11188440000000001</v>
      </c>
      <c r="M109" s="1133">
        <f>(-0.214*(M108^2)-21.991*M108+4665)*(10^(-4))/M101</f>
        <v>0.11188440000000001</v>
      </c>
      <c r="N109" s="1133">
        <f>(-0.214*(N108^2)-21.991*N108+4665)*(10^(-4))/N101</f>
        <v>0.11188440000000001</v>
      </c>
    </row>
    <row r="110" spans="1:14">
      <c r="A110" s="3825" t="s">
        <v>1617</v>
      </c>
      <c r="B110" s="3825"/>
      <c r="C110" s="3825"/>
      <c r="D110" s="3825"/>
      <c r="E110" s="3825"/>
      <c r="F110" s="3825"/>
      <c r="G110" s="3825"/>
      <c r="H110" s="3825"/>
      <c r="I110" s="3825"/>
      <c r="J110" s="3825"/>
      <c r="K110" s="2387"/>
      <c r="L110" s="2387"/>
      <c r="M110" s="2387"/>
      <c r="N110" s="2387"/>
    </row>
    <row r="112" spans="1:14" ht="12.75" thickBot="1"/>
    <row r="113" spans="1:13" ht="25.5" thickBot="1">
      <c r="A113" s="1007" t="s">
        <v>874</v>
      </c>
      <c r="B113" s="2390">
        <f>G3</f>
        <v>4</v>
      </c>
      <c r="C113" s="1008" t="s">
        <v>875</v>
      </c>
      <c r="D113" s="1009">
        <f>SUMPRODUCT((A115:A118=F113)*(B114:M114=H113)*B115:M118)</f>
        <v>0</v>
      </c>
      <c r="E113" s="1010" t="s">
        <v>876</v>
      </c>
      <c r="F113" s="1011">
        <f>E2</f>
        <v>0</v>
      </c>
      <c r="G113" s="1010" t="s">
        <v>877</v>
      </c>
      <c r="H113" s="1011">
        <f>G2</f>
        <v>0</v>
      </c>
      <c r="I113" s="1010"/>
      <c r="J113" s="1002"/>
      <c r="K113" s="1002"/>
      <c r="L113" s="1002"/>
      <c r="M113" s="1002"/>
    </row>
    <row r="114" spans="1:13" ht="12.75">
      <c r="A114" s="1014"/>
      <c r="B114" s="1015" t="s">
        <v>862</v>
      </c>
      <c r="C114" s="1015" t="s">
        <v>863</v>
      </c>
      <c r="D114" s="1015" t="s">
        <v>864</v>
      </c>
      <c r="E114" s="1016" t="s">
        <v>865</v>
      </c>
      <c r="F114" s="1016" t="s">
        <v>866</v>
      </c>
      <c r="G114" s="1016" t="s">
        <v>867</v>
      </c>
      <c r="H114" s="1017" t="s">
        <v>868</v>
      </c>
      <c r="I114" s="1017" t="s">
        <v>869</v>
      </c>
      <c r="J114" s="1018" t="s">
        <v>870</v>
      </c>
      <c r="K114" s="1018" t="s">
        <v>871</v>
      </c>
      <c r="L114" s="1018" t="s">
        <v>872</v>
      </c>
      <c r="M114" s="1019" t="s">
        <v>873</v>
      </c>
    </row>
    <row r="115" spans="1:13" ht="12.75">
      <c r="A115" s="1020" t="s">
        <v>878</v>
      </c>
      <c r="B115" s="1021">
        <f>ROUND(0.9335-0.0094*B113,4)</f>
        <v>0.89590000000000003</v>
      </c>
      <c r="C115" s="1021">
        <f>B115</f>
        <v>0.89590000000000003</v>
      </c>
      <c r="D115" s="1021">
        <f>ROUND(0.8331-0.0109*B113,4)</f>
        <v>0.78949999999999998</v>
      </c>
      <c r="E115" s="1021">
        <f>D115</f>
        <v>0.78949999999999998</v>
      </c>
      <c r="F115" s="1021">
        <f>E115</f>
        <v>0.78949999999999998</v>
      </c>
      <c r="G115" s="1021">
        <f>F115</f>
        <v>0.78949999999999998</v>
      </c>
      <c r="H115" s="1021">
        <f>G115</f>
        <v>0.78949999999999998</v>
      </c>
      <c r="I115" s="1021">
        <f>ROUND(0.689-0.0155*B113,4)</f>
        <v>0.627</v>
      </c>
      <c r="J115" s="1021">
        <f t="shared" ref="J115:M118" si="33">I115</f>
        <v>0.627</v>
      </c>
      <c r="K115" s="1021">
        <f t="shared" si="33"/>
        <v>0.627</v>
      </c>
      <c r="L115" s="1021">
        <f t="shared" si="33"/>
        <v>0.627</v>
      </c>
      <c r="M115" s="1022">
        <f t="shared" si="33"/>
        <v>0.627</v>
      </c>
    </row>
    <row r="116" spans="1:13" ht="12.75">
      <c r="A116" s="1020" t="s">
        <v>879</v>
      </c>
      <c r="B116" s="1021">
        <f>ROUND(0.949-0.012*B113,4)</f>
        <v>0.90100000000000002</v>
      </c>
      <c r="C116" s="1021">
        <f>B116</f>
        <v>0.90100000000000002</v>
      </c>
      <c r="D116" s="1021">
        <f>ROUND(0.8567-0.013*B113,4)</f>
        <v>0.80469999999999997</v>
      </c>
      <c r="E116" s="1021">
        <f t="shared" ref="E116:H117" si="34">D116</f>
        <v>0.80469999999999997</v>
      </c>
      <c r="F116" s="1021">
        <f t="shared" si="34"/>
        <v>0.80469999999999997</v>
      </c>
      <c r="G116" s="1021">
        <f t="shared" si="34"/>
        <v>0.80469999999999997</v>
      </c>
      <c r="H116" s="1021">
        <f t="shared" si="34"/>
        <v>0.80469999999999997</v>
      </c>
      <c r="I116" s="1021">
        <f>ROUND(0.7694-0.014*B113,4)</f>
        <v>0.71340000000000003</v>
      </c>
      <c r="J116" s="1021">
        <f t="shared" si="33"/>
        <v>0.71340000000000003</v>
      </c>
      <c r="K116" s="1021">
        <f t="shared" si="33"/>
        <v>0.71340000000000003</v>
      </c>
      <c r="L116" s="1021">
        <f t="shared" si="33"/>
        <v>0.71340000000000003</v>
      </c>
      <c r="M116" s="1022">
        <f t="shared" si="33"/>
        <v>0.71340000000000003</v>
      </c>
    </row>
    <row r="117" spans="1:13" ht="12.75">
      <c r="A117" s="1023" t="s">
        <v>880</v>
      </c>
      <c r="B117" s="1021">
        <f>ROUND(0.8808-0.006*B113,4)</f>
        <v>0.85680000000000001</v>
      </c>
      <c r="C117" s="1021">
        <f>B117</f>
        <v>0.85680000000000001</v>
      </c>
      <c r="D117" s="1021">
        <f>ROUND(0.8748-0.008*B113,4)</f>
        <v>0.84279999999999999</v>
      </c>
      <c r="E117" s="1021">
        <f t="shared" si="34"/>
        <v>0.84279999999999999</v>
      </c>
      <c r="F117" s="1021">
        <f t="shared" si="34"/>
        <v>0.84279999999999999</v>
      </c>
      <c r="G117" s="1021">
        <f t="shared" si="34"/>
        <v>0.84279999999999999</v>
      </c>
      <c r="H117" s="1021">
        <f t="shared" si="34"/>
        <v>0.84279999999999999</v>
      </c>
      <c r="I117" s="1021">
        <f>ROUND(0.7412-0.0095*B113,4)</f>
        <v>0.70320000000000005</v>
      </c>
      <c r="J117" s="1021">
        <f t="shared" si="33"/>
        <v>0.70320000000000005</v>
      </c>
      <c r="K117" s="1021">
        <f t="shared" si="33"/>
        <v>0.70320000000000005</v>
      </c>
      <c r="L117" s="1021">
        <f t="shared" si="33"/>
        <v>0.70320000000000005</v>
      </c>
      <c r="M117" s="1022">
        <f t="shared" si="33"/>
        <v>0.70320000000000005</v>
      </c>
    </row>
    <row r="118" spans="1:13" ht="13.5" thickBot="1">
      <c r="A118" s="1024" t="s">
        <v>881</v>
      </c>
      <c r="B118" s="1025">
        <f>ROUND(0.7275-0.01*B113,4)</f>
        <v>0.6875</v>
      </c>
      <c r="C118" s="1025">
        <f>B118</f>
        <v>0.6875</v>
      </c>
      <c r="D118" s="1025">
        <f>ROUND(0.7043-0.012*B113,4)</f>
        <v>0.65629999999999999</v>
      </c>
      <c r="E118" s="1025">
        <f>D118</f>
        <v>0.65629999999999999</v>
      </c>
      <c r="F118" s="1025">
        <f>E118</f>
        <v>0.65629999999999999</v>
      </c>
      <c r="G118" s="1025">
        <f>ROUND(0.6299-0.0122*B113,4)</f>
        <v>0.58109999999999995</v>
      </c>
      <c r="H118" s="1025">
        <f>G118</f>
        <v>0.58109999999999995</v>
      </c>
      <c r="I118" s="1025">
        <f>ROUND(0.5667-0.0136*B113,4)</f>
        <v>0.51229999999999998</v>
      </c>
      <c r="J118" s="1025">
        <f t="shared" si="33"/>
        <v>0.51229999999999998</v>
      </c>
      <c r="K118" s="1025">
        <f t="shared" si="33"/>
        <v>0.51229999999999998</v>
      </c>
      <c r="L118" s="1025">
        <f t="shared" si="33"/>
        <v>0.51229999999999998</v>
      </c>
      <c r="M118" s="1026">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6"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53" customWidth="1"/>
    <col min="2" max="9" width="8.125" style="1092" customWidth="1"/>
    <col min="10" max="13" width="8.125" style="1053"/>
    <col min="14" max="14" width="10" style="1053" customWidth="1"/>
    <col min="15" max="16" width="8.125" style="1053"/>
    <col min="17" max="17" width="34.125" style="1053" customWidth="1"/>
    <col min="18" max="18" width="8.125" style="1053" customWidth="1"/>
    <col min="19" max="19" width="8.125" style="1053"/>
    <col min="20" max="20" width="11.625" style="1053" customWidth="1"/>
    <col min="21" max="16384" width="8.125" style="1053"/>
  </cols>
  <sheetData>
    <row r="1" spans="1:13" ht="19.5" customHeight="1" thickBot="1">
      <c r="A1" s="1093" t="s">
        <v>1409</v>
      </c>
      <c r="B1" s="1059" t="s">
        <v>885</v>
      </c>
      <c r="C1" s="1059" t="s">
        <v>886</v>
      </c>
      <c r="D1" s="1059" t="s">
        <v>887</v>
      </c>
      <c r="E1" s="1059" t="s">
        <v>888</v>
      </c>
      <c r="F1" s="1059" t="s">
        <v>889</v>
      </c>
      <c r="G1" s="1059" t="s">
        <v>890</v>
      </c>
      <c r="H1" s="1059" t="s">
        <v>891</v>
      </c>
      <c r="I1" s="1059" t="s">
        <v>892</v>
      </c>
      <c r="J1" s="1059" t="s">
        <v>893</v>
      </c>
      <c r="K1" s="1059" t="s">
        <v>894</v>
      </c>
      <c r="L1" s="1059" t="s">
        <v>895</v>
      </c>
      <c r="M1" s="1060" t="s">
        <v>896</v>
      </c>
    </row>
    <row r="2" spans="1:13" ht="19.5" customHeight="1">
      <c r="A2" s="1094" t="s">
        <v>985</v>
      </c>
      <c r="B2" s="1095">
        <v>3.5</v>
      </c>
      <c r="C2" s="1095">
        <v>3.5</v>
      </c>
      <c r="D2" s="1096">
        <v>2.5</v>
      </c>
      <c r="E2" s="1096">
        <v>2.5</v>
      </c>
      <c r="F2" s="1096">
        <v>2.5</v>
      </c>
      <c r="G2" s="1096">
        <v>2.5</v>
      </c>
      <c r="H2" s="1096">
        <v>2.5</v>
      </c>
      <c r="I2" s="1095">
        <v>2</v>
      </c>
      <c r="J2" s="1095">
        <v>2</v>
      </c>
      <c r="K2" s="1095">
        <v>2</v>
      </c>
      <c r="L2" s="1095">
        <v>2</v>
      </c>
      <c r="M2" s="1097">
        <v>2</v>
      </c>
    </row>
    <row r="3" spans="1:13" ht="19.5" customHeight="1">
      <c r="A3" s="1098" t="s">
        <v>1007</v>
      </c>
      <c r="B3" s="1099">
        <v>3.5</v>
      </c>
      <c r="C3" s="1099">
        <v>3.5</v>
      </c>
      <c r="D3" s="1100">
        <v>2.5</v>
      </c>
      <c r="E3" s="1100">
        <v>2.5</v>
      </c>
      <c r="F3" s="1100">
        <v>2.5</v>
      </c>
      <c r="G3" s="1100">
        <v>2.5</v>
      </c>
      <c r="H3" s="1100">
        <v>2.5</v>
      </c>
      <c r="I3" s="1099">
        <v>2</v>
      </c>
      <c r="J3" s="1099">
        <v>2</v>
      </c>
      <c r="K3" s="1099">
        <v>2</v>
      </c>
      <c r="L3" s="1099">
        <v>2</v>
      </c>
      <c r="M3" s="1101">
        <v>2</v>
      </c>
    </row>
    <row r="4" spans="1:13" ht="19.5" customHeight="1">
      <c r="A4" s="1098" t="s">
        <v>1009</v>
      </c>
      <c r="B4" s="1100">
        <v>2.5</v>
      </c>
      <c r="C4" s="1100">
        <v>2.5</v>
      </c>
      <c r="D4" s="1100">
        <v>2.5</v>
      </c>
      <c r="E4" s="1100">
        <v>2.5</v>
      </c>
      <c r="F4" s="1100">
        <v>2.5</v>
      </c>
      <c r="G4" s="1100">
        <v>2.5</v>
      </c>
      <c r="H4" s="1100">
        <v>2.5</v>
      </c>
      <c r="I4" s="1099">
        <v>1.5</v>
      </c>
      <c r="J4" s="1099">
        <v>1.5</v>
      </c>
      <c r="K4" s="1099">
        <v>1.5</v>
      </c>
      <c r="L4" s="1099">
        <v>1.5</v>
      </c>
      <c r="M4" s="1101">
        <v>1.5</v>
      </c>
    </row>
    <row r="5" spans="1:13" ht="19.5" customHeight="1" thickBot="1">
      <c r="A5" s="1102" t="s">
        <v>1410</v>
      </c>
      <c r="B5" s="1103">
        <v>1.5</v>
      </c>
      <c r="C5" s="1103">
        <v>1.5</v>
      </c>
      <c r="D5" s="1103">
        <v>1.5</v>
      </c>
      <c r="E5" s="1103">
        <v>1.5</v>
      </c>
      <c r="F5" s="1103">
        <v>1.5</v>
      </c>
      <c r="G5" s="1104">
        <v>1.2</v>
      </c>
      <c r="H5" s="1104">
        <v>1.2</v>
      </c>
      <c r="I5" s="1104">
        <v>1</v>
      </c>
      <c r="J5" s="1104">
        <v>1</v>
      </c>
      <c r="K5" s="1104">
        <v>1</v>
      </c>
      <c r="L5" s="1104">
        <v>1</v>
      </c>
      <c r="M5" s="1105">
        <v>1</v>
      </c>
    </row>
    <row r="6" spans="1:13" ht="19.5" customHeight="1">
      <c r="A6" s="1106" t="s">
        <v>1411</v>
      </c>
      <c r="B6" s="1107">
        <v>80</v>
      </c>
      <c r="C6" s="1107">
        <v>80</v>
      </c>
      <c r="D6" s="1107">
        <v>65</v>
      </c>
      <c r="E6" s="1107">
        <v>65</v>
      </c>
      <c r="F6" s="1107">
        <v>65</v>
      </c>
      <c r="G6" s="1107">
        <v>65</v>
      </c>
      <c r="H6" s="1107">
        <v>65</v>
      </c>
      <c r="I6" s="1107">
        <v>50</v>
      </c>
      <c r="J6" s="1107">
        <v>50</v>
      </c>
      <c r="K6" s="1107">
        <v>50</v>
      </c>
      <c r="L6" s="1107">
        <v>50</v>
      </c>
      <c r="M6" s="1108">
        <v>50</v>
      </c>
    </row>
    <row r="7" spans="1:13" ht="19.5" customHeight="1">
      <c r="A7" s="1054" t="s">
        <v>1412</v>
      </c>
      <c r="B7" s="1055">
        <v>70</v>
      </c>
      <c r="C7" s="1055">
        <v>70</v>
      </c>
      <c r="D7" s="1055">
        <v>55</v>
      </c>
      <c r="E7" s="1055">
        <v>55</v>
      </c>
      <c r="F7" s="1055">
        <v>55</v>
      </c>
      <c r="G7" s="1055">
        <v>55</v>
      </c>
      <c r="H7" s="1055">
        <v>55</v>
      </c>
      <c r="I7" s="1055">
        <v>40</v>
      </c>
      <c r="J7" s="1055">
        <v>40</v>
      </c>
      <c r="K7" s="1055">
        <v>40</v>
      </c>
      <c r="L7" s="1055">
        <v>40</v>
      </c>
      <c r="M7" s="1109">
        <v>40</v>
      </c>
    </row>
    <row r="8" spans="1:13" ht="19.5" customHeight="1">
      <c r="A8" s="1054" t="s">
        <v>1413</v>
      </c>
      <c r="B8" s="1055">
        <v>20</v>
      </c>
      <c r="C8" s="1055">
        <v>20</v>
      </c>
      <c r="D8" s="1055">
        <v>15</v>
      </c>
      <c r="E8" s="1055">
        <v>15</v>
      </c>
      <c r="F8" s="1055">
        <v>15</v>
      </c>
      <c r="G8" s="1055">
        <v>15</v>
      </c>
      <c r="H8" s="1055">
        <v>15</v>
      </c>
      <c r="I8" s="1055">
        <v>10</v>
      </c>
      <c r="J8" s="1055">
        <v>10</v>
      </c>
      <c r="K8" s="1055">
        <v>10</v>
      </c>
      <c r="L8" s="1055">
        <v>10</v>
      </c>
      <c r="M8" s="1109">
        <v>10</v>
      </c>
    </row>
    <row r="9" spans="1:13" ht="19.5" customHeight="1">
      <c r="A9" s="1054" t="s">
        <v>1414</v>
      </c>
      <c r="B9" s="1055">
        <v>30</v>
      </c>
      <c r="C9" s="1055">
        <v>30</v>
      </c>
      <c r="D9" s="1055">
        <v>25</v>
      </c>
      <c r="E9" s="1055">
        <v>25</v>
      </c>
      <c r="F9" s="1055">
        <v>25</v>
      </c>
      <c r="G9" s="1055">
        <v>25</v>
      </c>
      <c r="H9" s="1055">
        <v>25</v>
      </c>
      <c r="I9" s="1055">
        <v>20</v>
      </c>
      <c r="J9" s="1055">
        <v>20</v>
      </c>
      <c r="K9" s="1055">
        <v>20</v>
      </c>
      <c r="L9" s="1055">
        <v>20</v>
      </c>
      <c r="M9" s="1109">
        <v>20</v>
      </c>
    </row>
    <row r="10" spans="1:13" ht="19.5" customHeight="1">
      <c r="A10" s="1054" t="s">
        <v>1415</v>
      </c>
      <c r="B10" s="1055">
        <v>45</v>
      </c>
      <c r="C10" s="1055">
        <v>45</v>
      </c>
      <c r="D10" s="1055">
        <v>35</v>
      </c>
      <c r="E10" s="1055">
        <v>35</v>
      </c>
      <c r="F10" s="1055">
        <v>35</v>
      </c>
      <c r="G10" s="1055">
        <v>35</v>
      </c>
      <c r="H10" s="1055">
        <v>35</v>
      </c>
      <c r="I10" s="1055">
        <v>25</v>
      </c>
      <c r="J10" s="1055">
        <v>25</v>
      </c>
      <c r="K10" s="1055">
        <v>25</v>
      </c>
      <c r="L10" s="1055">
        <v>25</v>
      </c>
      <c r="M10" s="1109">
        <v>25</v>
      </c>
    </row>
    <row r="11" spans="1:13" ht="19.5" customHeight="1">
      <c r="A11" s="1054" t="s">
        <v>1416</v>
      </c>
      <c r="B11" s="1055">
        <v>60</v>
      </c>
      <c r="C11" s="1055">
        <v>60</v>
      </c>
      <c r="D11" s="1055">
        <v>50</v>
      </c>
      <c r="E11" s="1055">
        <v>50</v>
      </c>
      <c r="F11" s="1055">
        <v>50</v>
      </c>
      <c r="G11" s="1055">
        <v>50</v>
      </c>
      <c r="H11" s="1055">
        <v>50</v>
      </c>
      <c r="I11" s="1055">
        <v>40</v>
      </c>
      <c r="J11" s="1055">
        <v>40</v>
      </c>
      <c r="K11" s="1055">
        <v>40</v>
      </c>
      <c r="L11" s="1055">
        <v>40</v>
      </c>
      <c r="M11" s="1109">
        <v>40</v>
      </c>
    </row>
    <row r="12" spans="1:13" ht="19.5" customHeight="1">
      <c r="A12" s="1054" t="s">
        <v>1417</v>
      </c>
      <c r="B12" s="1055">
        <v>50</v>
      </c>
      <c r="C12" s="1055">
        <v>50</v>
      </c>
      <c r="D12" s="1055">
        <v>40</v>
      </c>
      <c r="E12" s="1055">
        <v>40</v>
      </c>
      <c r="F12" s="1055">
        <v>40</v>
      </c>
      <c r="G12" s="1055">
        <v>40</v>
      </c>
      <c r="H12" s="1055">
        <v>40</v>
      </c>
      <c r="I12" s="1055">
        <v>30</v>
      </c>
      <c r="J12" s="1055">
        <v>30</v>
      </c>
      <c r="K12" s="1055">
        <v>30</v>
      </c>
      <c r="L12" s="1055">
        <v>30</v>
      </c>
      <c r="M12" s="1109">
        <v>30</v>
      </c>
    </row>
    <row r="13" spans="1:13" ht="19.5" customHeight="1">
      <c r="A13" s="1110" t="s">
        <v>1418</v>
      </c>
      <c r="B13" s="1140">
        <v>20</v>
      </c>
      <c r="C13" s="1140">
        <v>20</v>
      </c>
      <c r="D13" s="1140">
        <v>15</v>
      </c>
      <c r="E13" s="1140">
        <v>15</v>
      </c>
      <c r="F13" s="1140">
        <v>15</v>
      </c>
      <c r="G13" s="1140">
        <v>15</v>
      </c>
      <c r="H13" s="1140">
        <v>15</v>
      </c>
      <c r="I13" s="1140">
        <v>10</v>
      </c>
      <c r="J13" s="1140">
        <v>10</v>
      </c>
      <c r="K13" s="1140">
        <v>10</v>
      </c>
      <c r="L13" s="1140">
        <v>10</v>
      </c>
      <c r="M13" s="1111">
        <v>10</v>
      </c>
    </row>
    <row r="14" spans="1:13" ht="19.5" customHeight="1">
      <c r="A14" s="1055" t="s">
        <v>1419</v>
      </c>
      <c r="B14" s="1112">
        <v>0</v>
      </c>
      <c r="C14" s="1112">
        <v>0</v>
      </c>
      <c r="D14" s="1112">
        <v>0</v>
      </c>
      <c r="E14" s="1112">
        <v>0</v>
      </c>
      <c r="F14" s="1112">
        <v>0</v>
      </c>
      <c r="G14" s="1112">
        <v>0</v>
      </c>
      <c r="H14" s="1112">
        <v>0</v>
      </c>
      <c r="I14" s="1112">
        <v>0</v>
      </c>
      <c r="J14" s="1112">
        <v>0</v>
      </c>
      <c r="K14" s="1112">
        <v>0</v>
      </c>
      <c r="L14" s="1112">
        <v>0</v>
      </c>
      <c r="M14" s="1112">
        <v>0</v>
      </c>
    </row>
    <row r="15" spans="1:13" ht="19.5" customHeight="1">
      <c r="A15" s="3141" t="s">
        <v>2963</v>
      </c>
      <c r="B15" s="3038">
        <f>SUM(B6:B13)</f>
        <v>375</v>
      </c>
      <c r="C15" s="3038">
        <f t="shared" ref="C15:H15" si="0">SUM(C6:C13)</f>
        <v>375</v>
      </c>
      <c r="D15" s="3038">
        <f t="shared" si="0"/>
        <v>300</v>
      </c>
      <c r="E15" s="3038">
        <f t="shared" si="0"/>
        <v>300</v>
      </c>
      <c r="F15" s="3038">
        <f t="shared" si="0"/>
        <v>300</v>
      </c>
      <c r="G15" s="3038">
        <f t="shared" si="0"/>
        <v>300</v>
      </c>
      <c r="H15" s="3038">
        <f t="shared" si="0"/>
        <v>300</v>
      </c>
      <c r="I15" s="3038">
        <f>SUM(I6:I10,I13)</f>
        <v>155</v>
      </c>
      <c r="J15" s="3038">
        <f t="shared" ref="J15:M15" si="1">SUM(J6:J10,J13)</f>
        <v>155</v>
      </c>
      <c r="K15" s="3038">
        <f t="shared" si="1"/>
        <v>155</v>
      </c>
      <c r="L15" s="3038">
        <f t="shared" si="1"/>
        <v>155</v>
      </c>
      <c r="M15" s="3038">
        <f t="shared" si="1"/>
        <v>155</v>
      </c>
    </row>
    <row r="16" spans="1:13" ht="19.5" customHeight="1">
      <c r="A16" s="1113" t="s">
        <v>1420</v>
      </c>
      <c r="B16" s="1113"/>
      <c r="C16" s="1114"/>
      <c r="D16" s="1114"/>
      <c r="E16" s="1113"/>
      <c r="F16" s="1114"/>
      <c r="G16" s="1114"/>
    </row>
    <row r="17" spans="1:9" ht="19.5" customHeight="1">
      <c r="A17" s="1055" t="s">
        <v>1421</v>
      </c>
      <c r="B17" s="1115" t="s">
        <v>1422</v>
      </c>
      <c r="C17" s="1115" t="s">
        <v>1621</v>
      </c>
      <c r="D17" s="1116"/>
      <c r="E17" s="1055" t="s">
        <v>1423</v>
      </c>
      <c r="F17" s="1117"/>
      <c r="G17" s="1117"/>
    </row>
    <row r="18" spans="1:9" s="1575" customFormat="1" ht="19.5" customHeight="1">
      <c r="A18" s="3832" t="s">
        <v>985</v>
      </c>
      <c r="B18" s="1141" t="s">
        <v>1424</v>
      </c>
      <c r="C18" s="1118" t="s">
        <v>1425</v>
      </c>
      <c r="D18" s="1119"/>
      <c r="E18" s="1141">
        <v>1</v>
      </c>
      <c r="F18" s="1120" t="s">
        <v>1426</v>
      </c>
      <c r="G18" s="1121"/>
      <c r="H18" s="1092"/>
      <c r="I18" s="1092"/>
    </row>
    <row r="19" spans="1:9" s="1575" customFormat="1" ht="19.5" customHeight="1">
      <c r="A19" s="3832"/>
      <c r="B19" s="3832" t="s">
        <v>1427</v>
      </c>
      <c r="C19" s="1118" t="s">
        <v>1428</v>
      </c>
      <c r="D19" s="1119"/>
      <c r="E19" s="1141">
        <v>0.9</v>
      </c>
      <c r="F19" s="1120" t="s">
        <v>1429</v>
      </c>
      <c r="G19" s="1121"/>
      <c r="H19" s="1092"/>
      <c r="I19" s="1092"/>
    </row>
    <row r="20" spans="1:9" s="1575" customFormat="1" ht="19.5" customHeight="1">
      <c r="A20" s="3832"/>
      <c r="B20" s="3832"/>
      <c r="C20" s="1118" t="s">
        <v>1430</v>
      </c>
      <c r="D20" s="1119"/>
      <c r="E20" s="1141">
        <v>1.1000000000000001</v>
      </c>
      <c r="F20" s="1120" t="s">
        <v>1431</v>
      </c>
      <c r="G20" s="1121"/>
      <c r="H20" s="1092"/>
      <c r="I20" s="1092"/>
    </row>
    <row r="21" spans="1:9" s="1575" customFormat="1" ht="19.5" customHeight="1">
      <c r="A21" s="3832"/>
      <c r="B21" s="3832"/>
      <c r="C21" s="1118" t="s">
        <v>1432</v>
      </c>
      <c r="D21" s="1119"/>
      <c r="E21" s="1141">
        <v>0.8</v>
      </c>
      <c r="F21" s="1120" t="s">
        <v>1433</v>
      </c>
      <c r="G21" s="1121"/>
      <c r="H21" s="1092"/>
      <c r="I21" s="1092"/>
    </row>
    <row r="22" spans="1:9" s="1575" customFormat="1" ht="19.5" customHeight="1">
      <c r="A22" s="3832"/>
      <c r="B22" s="3832"/>
      <c r="C22" s="1118" t="s">
        <v>1434</v>
      </c>
      <c r="D22" s="1119"/>
      <c r="E22" s="1141">
        <v>0.5</v>
      </c>
      <c r="F22" s="1120"/>
      <c r="G22" s="1121"/>
      <c r="H22" s="1092"/>
      <c r="I22" s="1092"/>
    </row>
    <row r="23" spans="1:9" s="1575" customFormat="1" ht="19.5" customHeight="1">
      <c r="A23" s="3832" t="s">
        <v>1007</v>
      </c>
      <c r="B23" s="1141" t="s">
        <v>1424</v>
      </c>
      <c r="C23" s="1118" t="s">
        <v>1435</v>
      </c>
      <c r="D23" s="1119"/>
      <c r="E23" s="1141">
        <v>1</v>
      </c>
      <c r="F23" s="1120" t="s">
        <v>1436</v>
      </c>
      <c r="G23" s="1121"/>
      <c r="H23" s="1092"/>
      <c r="I23" s="1092"/>
    </row>
    <row r="24" spans="1:9" s="1575" customFormat="1" ht="19.5" customHeight="1">
      <c r="A24" s="3832"/>
      <c r="B24" s="3832" t="s">
        <v>1427</v>
      </c>
      <c r="C24" s="1118" t="s">
        <v>1437</v>
      </c>
      <c r="D24" s="1119"/>
      <c r="E24" s="1141">
        <v>0.5</v>
      </c>
      <c r="F24" s="1120"/>
      <c r="G24" s="1121"/>
      <c r="H24" s="1092"/>
      <c r="I24" s="1092"/>
    </row>
    <row r="25" spans="1:9" s="1575" customFormat="1" ht="19.5" customHeight="1">
      <c r="A25" s="3832"/>
      <c r="B25" s="3832"/>
      <c r="C25" s="1118" t="s">
        <v>1438</v>
      </c>
      <c r="D25" s="1119"/>
      <c r="E25" s="1141">
        <v>1.1000000000000001</v>
      </c>
      <c r="F25" s="1120"/>
      <c r="G25" s="1121"/>
      <c r="H25" s="1092"/>
      <c r="I25" s="1092"/>
    </row>
    <row r="26" spans="1:9" s="1575" customFormat="1" ht="19.5" customHeight="1">
      <c r="A26" s="3832"/>
      <c r="B26" s="3832"/>
      <c r="C26" s="1118" t="s">
        <v>1439</v>
      </c>
      <c r="D26" s="1119"/>
      <c r="E26" s="1141">
        <v>1.1000000000000001</v>
      </c>
      <c r="F26" s="1120"/>
      <c r="G26" s="1121"/>
      <c r="H26" s="1092"/>
      <c r="I26" s="1092"/>
    </row>
    <row r="27" spans="1:9" s="1575" customFormat="1" ht="19.5" customHeight="1">
      <c r="A27" s="3832"/>
      <c r="B27" s="3832"/>
      <c r="C27" s="1118" t="s">
        <v>1440</v>
      </c>
      <c r="D27" s="1119"/>
      <c r="E27" s="1141">
        <v>0.9</v>
      </c>
      <c r="F27" s="1120" t="s">
        <v>1441</v>
      </c>
      <c r="G27" s="1121"/>
      <c r="H27" s="1092"/>
      <c r="I27" s="1092"/>
    </row>
    <row r="28" spans="1:9" s="1575" customFormat="1" ht="19.5" customHeight="1">
      <c r="A28" s="3832"/>
      <c r="B28" s="3832"/>
      <c r="C28" s="1118" t="s">
        <v>1442</v>
      </c>
      <c r="D28" s="1119"/>
      <c r="E28" s="1141">
        <v>0.9</v>
      </c>
      <c r="F28" s="1120" t="s">
        <v>1443</v>
      </c>
      <c r="G28" s="1121"/>
      <c r="H28" s="1092"/>
      <c r="I28" s="1092"/>
    </row>
    <row r="29" spans="1:9" s="1575" customFormat="1" ht="19.5" customHeight="1">
      <c r="A29" s="3832"/>
      <c r="B29" s="3832"/>
      <c r="C29" s="1118" t="s">
        <v>1444</v>
      </c>
      <c r="D29" s="1119"/>
      <c r="E29" s="1141">
        <v>0.9</v>
      </c>
      <c r="F29" s="1120" t="s">
        <v>1445</v>
      </c>
      <c r="G29" s="1121"/>
      <c r="H29" s="1092"/>
      <c r="I29" s="1092"/>
    </row>
    <row r="30" spans="1:9" s="1575" customFormat="1" ht="19.5" customHeight="1">
      <c r="A30" s="3832"/>
      <c r="B30" s="3832"/>
      <c r="C30" s="1118" t="s">
        <v>1446</v>
      </c>
      <c r="D30" s="1119"/>
      <c r="E30" s="1141">
        <v>0.9</v>
      </c>
      <c r="F30" s="1120" t="s">
        <v>1447</v>
      </c>
      <c r="G30" s="1121"/>
      <c r="H30" s="1092"/>
      <c r="I30" s="1092"/>
    </row>
    <row r="31" spans="1:9" s="1575" customFormat="1" ht="19.5" customHeight="1">
      <c r="A31" s="3832"/>
      <c r="B31" s="3832"/>
      <c r="C31" s="1118" t="s">
        <v>1448</v>
      </c>
      <c r="D31" s="1119"/>
      <c r="E31" s="1141">
        <v>0.8</v>
      </c>
      <c r="F31" s="1120" t="s">
        <v>1449</v>
      </c>
      <c r="G31" s="1121"/>
      <c r="H31" s="1092"/>
      <c r="I31" s="1092"/>
    </row>
    <row r="32" spans="1:9" s="1575" customFormat="1" ht="19.5" customHeight="1">
      <c r="A32" s="3832"/>
      <c r="B32" s="3832"/>
      <c r="C32" s="1118" t="s">
        <v>1450</v>
      </c>
      <c r="D32" s="1119"/>
      <c r="E32" s="1141">
        <v>0.8</v>
      </c>
      <c r="F32" s="1120" t="s">
        <v>1451</v>
      </c>
      <c r="G32" s="1121"/>
      <c r="H32" s="1092"/>
      <c r="I32" s="1092"/>
    </row>
    <row r="33" spans="1:9" s="1575" customFormat="1" ht="19.5" customHeight="1">
      <c r="A33" s="3832" t="s">
        <v>1452</v>
      </c>
      <c r="B33" s="1141" t="s">
        <v>1424</v>
      </c>
      <c r="C33" s="1118" t="s">
        <v>1453</v>
      </c>
      <c r="D33" s="1119"/>
      <c r="E33" s="1141">
        <v>1</v>
      </c>
      <c r="F33" s="1120" t="s">
        <v>1454</v>
      </c>
      <c r="G33" s="1121"/>
      <c r="H33" s="1092"/>
      <c r="I33" s="1092"/>
    </row>
    <row r="34" spans="1:9" s="1575" customFormat="1" ht="19.5" customHeight="1">
      <c r="A34" s="3832"/>
      <c r="B34" s="1141" t="s">
        <v>1427</v>
      </c>
      <c r="C34" s="1118" t="s">
        <v>1455</v>
      </c>
      <c r="D34" s="1119"/>
      <c r="E34" s="1141">
        <v>1.5</v>
      </c>
      <c r="F34" s="1120" t="s">
        <v>1456</v>
      </c>
      <c r="G34" s="1121"/>
      <c r="H34" s="1092"/>
      <c r="I34" s="1092"/>
    </row>
    <row r="35" spans="1:9" s="1575" customFormat="1" ht="19.5" customHeight="1">
      <c r="A35" s="3832" t="s">
        <v>1410</v>
      </c>
      <c r="B35" s="1141" t="s">
        <v>1424</v>
      </c>
      <c r="C35" s="1118" t="s">
        <v>1457</v>
      </c>
      <c r="D35" s="1119"/>
      <c r="E35" s="1141">
        <v>1</v>
      </c>
      <c r="F35" s="1120" t="s">
        <v>1458</v>
      </c>
      <c r="G35" s="1121"/>
      <c r="H35" s="1092"/>
      <c r="I35" s="1092"/>
    </row>
    <row r="36" spans="1:9" s="1575" customFormat="1" ht="19.5" customHeight="1">
      <c r="A36" s="3832"/>
      <c r="B36" s="3832" t="s">
        <v>1427</v>
      </c>
      <c r="C36" s="1118" t="s">
        <v>1459</v>
      </c>
      <c r="D36" s="1119"/>
      <c r="E36" s="1141">
        <v>1</v>
      </c>
      <c r="F36" s="1120" t="s">
        <v>1460</v>
      </c>
      <c r="G36" s="1121"/>
      <c r="H36" s="1092"/>
      <c r="I36" s="1092"/>
    </row>
    <row r="37" spans="1:9" s="1575" customFormat="1" ht="19.5" customHeight="1">
      <c r="A37" s="3832"/>
      <c r="B37" s="3832"/>
      <c r="C37" s="1118" t="s">
        <v>1461</v>
      </c>
      <c r="D37" s="1119"/>
      <c r="E37" s="1141">
        <v>1.5</v>
      </c>
      <c r="F37" s="1120" t="s">
        <v>1462</v>
      </c>
      <c r="G37" s="1121"/>
      <c r="H37" s="1092"/>
      <c r="I37" s="1092"/>
    </row>
    <row r="38" spans="1:9" s="1575" customFormat="1" ht="19.5" customHeight="1">
      <c r="A38" s="3832"/>
      <c r="B38" s="3832"/>
      <c r="C38" s="1118" t="s">
        <v>1463</v>
      </c>
      <c r="D38" s="1119"/>
      <c r="E38" s="1141">
        <v>1</v>
      </c>
      <c r="F38" s="1120" t="s">
        <v>1464</v>
      </c>
      <c r="G38" s="1121"/>
      <c r="H38" s="1092"/>
      <c r="I38" s="1092"/>
    </row>
    <row r="39" spans="1:9" s="1575" customFormat="1" ht="19.5" customHeight="1">
      <c r="A39" s="3832"/>
      <c r="B39" s="3832"/>
      <c r="C39" s="1118" t="s">
        <v>1465</v>
      </c>
      <c r="D39" s="1119"/>
      <c r="E39" s="1141">
        <v>1</v>
      </c>
      <c r="F39" s="1120" t="s">
        <v>1466</v>
      </c>
      <c r="G39" s="1121"/>
      <c r="H39" s="1092"/>
      <c r="I39" s="1092"/>
    </row>
    <row r="40" spans="1:9" s="1575" customFormat="1" ht="19.5" customHeight="1">
      <c r="A40" s="1576" t="s">
        <v>1467</v>
      </c>
      <c r="B40" s="1576"/>
      <c r="C40" s="1576"/>
      <c r="D40" s="1576"/>
      <c r="E40" s="1576"/>
      <c r="F40" s="1120"/>
      <c r="G40" s="1120"/>
      <c r="H40" s="1092"/>
      <c r="I40" s="1092"/>
    </row>
    <row r="42" spans="1:9" ht="19.5" customHeight="1">
      <c r="A42" s="1122"/>
      <c r="B42" s="1055" t="s">
        <v>1468</v>
      </c>
      <c r="C42" s="1055" t="s">
        <v>1468</v>
      </c>
      <c r="D42" s="1055" t="s">
        <v>1468</v>
      </c>
      <c r="E42" s="1140" t="s">
        <v>1468</v>
      </c>
      <c r="F42" s="1140" t="s">
        <v>1468</v>
      </c>
      <c r="G42" s="1140" t="s">
        <v>1469</v>
      </c>
      <c r="H42" s="1140" t="s">
        <v>1468</v>
      </c>
    </row>
    <row r="43" spans="1:9" ht="19.5" customHeight="1">
      <c r="A43" s="1123"/>
      <c r="B43" s="1140" t="s">
        <v>985</v>
      </c>
      <c r="C43" s="1140" t="s">
        <v>985</v>
      </c>
      <c r="D43" s="1140" t="s">
        <v>985</v>
      </c>
      <c r="E43" s="1140" t="s">
        <v>985</v>
      </c>
      <c r="F43" s="1055" t="s">
        <v>1007</v>
      </c>
      <c r="G43" s="1055" t="s">
        <v>1410</v>
      </c>
      <c r="H43" s="1055" t="s">
        <v>1470</v>
      </c>
    </row>
    <row r="44" spans="1:9" ht="19.5" customHeight="1">
      <c r="A44" s="1124"/>
      <c r="B44" s="1055">
        <v>1</v>
      </c>
      <c r="C44" s="1055">
        <v>2</v>
      </c>
      <c r="D44" s="1055">
        <v>3</v>
      </c>
      <c r="E44" s="1140">
        <v>4</v>
      </c>
      <c r="F44" s="1116" t="s">
        <v>1471</v>
      </c>
      <c r="G44" s="1116" t="s">
        <v>1471</v>
      </c>
      <c r="H44" s="1116" t="s">
        <v>1471</v>
      </c>
    </row>
    <row r="45" spans="1:9" ht="19.5" customHeight="1">
      <c r="A45" s="1139" t="s">
        <v>885</v>
      </c>
      <c r="B45" s="1055">
        <v>0.8</v>
      </c>
      <c r="C45" s="1055">
        <v>0.5</v>
      </c>
      <c r="D45" s="1055">
        <v>0.36</v>
      </c>
      <c r="E45" s="1055">
        <v>0.3</v>
      </c>
      <c r="F45" s="1116">
        <v>0.3</v>
      </c>
      <c r="G45" s="1055">
        <v>0.3</v>
      </c>
      <c r="H45" s="1055">
        <v>0.25</v>
      </c>
    </row>
    <row r="46" spans="1:9" ht="19.5" customHeight="1">
      <c r="A46" s="1139" t="s">
        <v>886</v>
      </c>
      <c r="B46" s="1055">
        <v>0.8</v>
      </c>
      <c r="C46" s="1055">
        <v>0.5</v>
      </c>
      <c r="D46" s="1055">
        <v>0.36</v>
      </c>
      <c r="E46" s="1055">
        <v>0.3</v>
      </c>
      <c r="F46" s="1055">
        <v>0.3</v>
      </c>
      <c r="G46" s="1055">
        <v>0.3</v>
      </c>
      <c r="H46" s="1055">
        <v>0.25</v>
      </c>
    </row>
    <row r="47" spans="1:9" ht="19.5" customHeight="1">
      <c r="A47" s="1139" t="s">
        <v>887</v>
      </c>
      <c r="B47" s="1055">
        <v>0.7</v>
      </c>
      <c r="C47" s="1055">
        <v>0.4</v>
      </c>
      <c r="D47" s="1055">
        <v>0.28000000000000003</v>
      </c>
      <c r="E47" s="1055">
        <v>0.25</v>
      </c>
      <c r="F47" s="1055">
        <v>0.25</v>
      </c>
      <c r="G47" s="1055">
        <v>0.25</v>
      </c>
      <c r="H47" s="1055">
        <v>0.2</v>
      </c>
    </row>
    <row r="48" spans="1:9" ht="19.5" customHeight="1">
      <c r="A48" s="1139" t="s">
        <v>888</v>
      </c>
      <c r="B48" s="1055">
        <v>0.7</v>
      </c>
      <c r="C48" s="1055">
        <v>0.4</v>
      </c>
      <c r="D48" s="1055">
        <v>0.28000000000000003</v>
      </c>
      <c r="E48" s="1055">
        <v>0.25</v>
      </c>
      <c r="F48" s="1055">
        <v>0.25</v>
      </c>
      <c r="G48" s="1055">
        <v>0.25</v>
      </c>
      <c r="H48" s="1055">
        <v>0.2</v>
      </c>
    </row>
    <row r="49" spans="1:8" s="1092" customFormat="1" ht="19.5" customHeight="1">
      <c r="A49" s="1139" t="s">
        <v>889</v>
      </c>
      <c r="B49" s="1055">
        <v>0.7</v>
      </c>
      <c r="C49" s="1055">
        <v>0.4</v>
      </c>
      <c r="D49" s="1055">
        <v>0.28000000000000003</v>
      </c>
      <c r="E49" s="1055">
        <v>0.25</v>
      </c>
      <c r="F49" s="1055">
        <v>0.25</v>
      </c>
      <c r="G49" s="1055">
        <v>0.25</v>
      </c>
      <c r="H49" s="1055">
        <v>0.2</v>
      </c>
    </row>
    <row r="50" spans="1:8" s="1092" customFormat="1" ht="19.5" customHeight="1">
      <c r="A50" s="1139" t="s">
        <v>890</v>
      </c>
      <c r="B50" s="1055">
        <v>0.7</v>
      </c>
      <c r="C50" s="1055">
        <v>0.4</v>
      </c>
      <c r="D50" s="1055">
        <v>0.28000000000000003</v>
      </c>
      <c r="E50" s="1055">
        <v>0.25</v>
      </c>
      <c r="F50" s="1055">
        <v>0.25</v>
      </c>
      <c r="G50" s="1055">
        <v>0.25</v>
      </c>
      <c r="H50" s="1055">
        <v>0.2</v>
      </c>
    </row>
    <row r="51" spans="1:8" s="1092" customFormat="1" ht="19.5" customHeight="1">
      <c r="A51" s="1139" t="s">
        <v>891</v>
      </c>
      <c r="B51" s="1055">
        <v>0.7</v>
      </c>
      <c r="C51" s="1055">
        <v>0.4</v>
      </c>
      <c r="D51" s="1055">
        <v>0.28000000000000003</v>
      </c>
      <c r="E51" s="1055">
        <v>0.25</v>
      </c>
      <c r="F51" s="1055">
        <v>0.25</v>
      </c>
      <c r="G51" s="1055">
        <v>0.25</v>
      </c>
      <c r="H51" s="1055">
        <v>0.2</v>
      </c>
    </row>
    <row r="52" spans="1:8" s="1092" customFormat="1" ht="19.5" customHeight="1">
      <c r="A52" s="1139" t="s">
        <v>892</v>
      </c>
      <c r="B52" s="1055">
        <v>0.6</v>
      </c>
      <c r="C52" s="1055">
        <v>0.3</v>
      </c>
      <c r="D52" s="1055">
        <v>0.2</v>
      </c>
      <c r="E52" s="1055">
        <v>0.2</v>
      </c>
      <c r="F52" s="1055">
        <v>0.2</v>
      </c>
      <c r="G52" s="1055">
        <v>0.2</v>
      </c>
      <c r="H52" s="1055">
        <v>0.15</v>
      </c>
    </row>
    <row r="53" spans="1:8" s="1092" customFormat="1" ht="19.5" customHeight="1">
      <c r="A53" s="1139" t="s">
        <v>893</v>
      </c>
      <c r="B53" s="1055">
        <v>0.6</v>
      </c>
      <c r="C53" s="1055">
        <v>0.3</v>
      </c>
      <c r="D53" s="1055">
        <v>0.2</v>
      </c>
      <c r="E53" s="1055">
        <v>0.2</v>
      </c>
      <c r="F53" s="1055">
        <v>0.2</v>
      </c>
      <c r="G53" s="1055">
        <v>0.2</v>
      </c>
      <c r="H53" s="1055">
        <v>0.15</v>
      </c>
    </row>
    <row r="54" spans="1:8" s="1092" customFormat="1" ht="19.5" customHeight="1">
      <c r="A54" s="1139" t="s">
        <v>894</v>
      </c>
      <c r="B54" s="1055">
        <v>0.6</v>
      </c>
      <c r="C54" s="1055">
        <v>0.3</v>
      </c>
      <c r="D54" s="1055">
        <v>0.2</v>
      </c>
      <c r="E54" s="1055">
        <v>0.2</v>
      </c>
      <c r="F54" s="1055">
        <v>0.2</v>
      </c>
      <c r="G54" s="1055">
        <v>0.2</v>
      </c>
      <c r="H54" s="1055">
        <v>0.15</v>
      </c>
    </row>
    <row r="55" spans="1:8" s="1092" customFormat="1" ht="19.5" customHeight="1">
      <c r="A55" s="1139" t="s">
        <v>895</v>
      </c>
      <c r="B55" s="1055">
        <v>0.6</v>
      </c>
      <c r="C55" s="1055">
        <v>0.3</v>
      </c>
      <c r="D55" s="1055">
        <v>0.2</v>
      </c>
      <c r="E55" s="1055">
        <v>0.2</v>
      </c>
      <c r="F55" s="1055">
        <v>0.2</v>
      </c>
      <c r="G55" s="1055">
        <v>0.2</v>
      </c>
      <c r="H55" s="1055">
        <v>0.15</v>
      </c>
    </row>
    <row r="56" spans="1:8" s="1092" customFormat="1" ht="19.5" customHeight="1">
      <c r="A56" s="1139" t="s">
        <v>896</v>
      </c>
      <c r="B56" s="1055">
        <v>0.6</v>
      </c>
      <c r="C56" s="1055">
        <v>0.3</v>
      </c>
      <c r="D56" s="1055">
        <v>0.2</v>
      </c>
      <c r="E56" s="1055">
        <v>0.2</v>
      </c>
      <c r="F56" s="1055">
        <v>0.2</v>
      </c>
      <c r="G56" s="1055">
        <v>0.2</v>
      </c>
      <c r="H56" s="1055">
        <v>0.15</v>
      </c>
    </row>
    <row r="58" spans="1:8" s="1092" customFormat="1" ht="19.5" customHeight="1">
      <c r="A58" s="1125"/>
      <c r="B58" s="1113"/>
      <c r="C58" s="1113"/>
      <c r="D58" s="1113" t="s">
        <v>1472</v>
      </c>
      <c r="E58" s="1113"/>
      <c r="F58" s="1113"/>
    </row>
    <row r="59" spans="1:8" s="1092" customFormat="1" ht="19.5" customHeight="1">
      <c r="A59" s="1141" t="s">
        <v>1473</v>
      </c>
      <c r="B59" s="1141" t="s">
        <v>1474</v>
      </c>
      <c r="C59" s="1141" t="s">
        <v>1475</v>
      </c>
      <c r="D59" s="1141" t="s">
        <v>1476</v>
      </c>
      <c r="E59" s="1141" t="s">
        <v>1477</v>
      </c>
      <c r="F59" s="1141" t="s">
        <v>1478</v>
      </c>
    </row>
    <row r="60" spans="1:8" s="1092" customFormat="1" ht="19.5" customHeight="1">
      <c r="A60" s="1141"/>
      <c r="B60" s="1141"/>
      <c r="C60" s="1141" t="s">
        <v>1610</v>
      </c>
      <c r="D60" s="1141"/>
      <c r="E60" s="1126" t="s">
        <v>1419</v>
      </c>
      <c r="F60" s="1141" t="s">
        <v>1419</v>
      </c>
    </row>
    <row r="61" spans="1:8" s="1092" customFormat="1" ht="24">
      <c r="A61" s="1141">
        <v>1</v>
      </c>
      <c r="B61" s="3832" t="s">
        <v>1479</v>
      </c>
      <c r="C61" s="1055" t="s">
        <v>1480</v>
      </c>
      <c r="D61" s="1055" t="s">
        <v>1481</v>
      </c>
      <c r="E61" s="1126">
        <v>0.5</v>
      </c>
      <c r="F61" s="1141">
        <v>80</v>
      </c>
      <c r="H61" s="1092">
        <f>SUMIF(C59:C119,基准地价!C8,E59:E119)</f>
        <v>0</v>
      </c>
    </row>
    <row r="62" spans="1:8" s="1092" customFormat="1" ht="24">
      <c r="A62" s="1141">
        <v>2</v>
      </c>
      <c r="B62" s="3832"/>
      <c r="C62" s="1055" t="s">
        <v>1482</v>
      </c>
      <c r="D62" s="1055" t="s">
        <v>1483</v>
      </c>
      <c r="E62" s="1126">
        <v>0.5</v>
      </c>
      <c r="F62" s="1141">
        <v>80</v>
      </c>
    </row>
    <row r="63" spans="1:8" s="1092" customFormat="1" ht="36">
      <c r="A63" s="1141">
        <v>3</v>
      </c>
      <c r="B63" s="3832"/>
      <c r="C63" s="1055" t="s">
        <v>1484</v>
      </c>
      <c r="D63" s="1055" t="s">
        <v>1485</v>
      </c>
      <c r="E63" s="1126">
        <v>0.5</v>
      </c>
      <c r="F63" s="1141">
        <v>80</v>
      </c>
    </row>
    <row r="64" spans="1:8" s="1092" customFormat="1" ht="36">
      <c r="A64" s="1141">
        <v>4</v>
      </c>
      <c r="B64" s="3832"/>
      <c r="C64" s="1055" t="s">
        <v>1486</v>
      </c>
      <c r="D64" s="1055" t="s">
        <v>1487</v>
      </c>
      <c r="E64" s="1126">
        <v>0.4</v>
      </c>
      <c r="F64" s="1141">
        <v>60</v>
      </c>
    </row>
    <row r="65" spans="1:6" s="1092" customFormat="1" ht="36">
      <c r="A65" s="1141">
        <v>5</v>
      </c>
      <c r="B65" s="3832"/>
      <c r="C65" s="1055" t="s">
        <v>1488</v>
      </c>
      <c r="D65" s="1055" t="s">
        <v>1489</v>
      </c>
      <c r="E65" s="1126">
        <v>0.2</v>
      </c>
      <c r="F65" s="1141">
        <v>30</v>
      </c>
    </row>
    <row r="66" spans="1:6" s="1092" customFormat="1" ht="36">
      <c r="A66" s="1141">
        <v>6</v>
      </c>
      <c r="B66" s="3832"/>
      <c r="C66" s="1055" t="s">
        <v>1490</v>
      </c>
      <c r="D66" s="1055" t="s">
        <v>1491</v>
      </c>
      <c r="E66" s="1126">
        <v>0.3</v>
      </c>
      <c r="F66" s="1141">
        <v>50</v>
      </c>
    </row>
    <row r="67" spans="1:6" s="1092" customFormat="1" ht="36">
      <c r="A67" s="1141">
        <v>7</v>
      </c>
      <c r="B67" s="3832"/>
      <c r="C67" s="1055" t="s">
        <v>1492</v>
      </c>
      <c r="D67" s="1055" t="s">
        <v>1493</v>
      </c>
      <c r="E67" s="1126">
        <v>0.2</v>
      </c>
      <c r="F67" s="1141">
        <v>30</v>
      </c>
    </row>
    <row r="68" spans="1:6" s="1092" customFormat="1" ht="36">
      <c r="A68" s="1141">
        <v>8</v>
      </c>
      <c r="B68" s="3832"/>
      <c r="C68" s="1055" t="s">
        <v>1494</v>
      </c>
      <c r="D68" s="1055" t="s">
        <v>1495</v>
      </c>
      <c r="E68" s="1126">
        <v>0.2</v>
      </c>
      <c r="F68" s="1141">
        <v>30</v>
      </c>
    </row>
    <row r="69" spans="1:6" s="1092" customFormat="1" ht="36">
      <c r="A69" s="1141">
        <v>9</v>
      </c>
      <c r="B69" s="3832"/>
      <c r="C69" s="1055" t="s">
        <v>1496</v>
      </c>
      <c r="D69" s="1055" t="s">
        <v>1497</v>
      </c>
      <c r="E69" s="1126">
        <v>0.2</v>
      </c>
      <c r="F69" s="1141">
        <v>30</v>
      </c>
    </row>
    <row r="70" spans="1:6" s="1092" customFormat="1" ht="48">
      <c r="A70" s="1141">
        <v>10</v>
      </c>
      <c r="B70" s="3832"/>
      <c r="C70" s="1055" t="s">
        <v>1498</v>
      </c>
      <c r="D70" s="1055" t="s">
        <v>1499</v>
      </c>
      <c r="E70" s="1126">
        <v>0.2</v>
      </c>
      <c r="F70" s="1141">
        <v>30</v>
      </c>
    </row>
    <row r="71" spans="1:6" s="1092" customFormat="1" ht="48">
      <c r="A71" s="1141">
        <v>11</v>
      </c>
      <c r="B71" s="3832"/>
      <c r="C71" s="1055" t="s">
        <v>1500</v>
      </c>
      <c r="D71" s="1055" t="s">
        <v>1501</v>
      </c>
      <c r="E71" s="1126">
        <v>0.2</v>
      </c>
      <c r="F71" s="1141">
        <v>30</v>
      </c>
    </row>
    <row r="72" spans="1:6" s="1092" customFormat="1" ht="36">
      <c r="A72" s="1141">
        <v>12</v>
      </c>
      <c r="B72" s="3832"/>
      <c r="C72" s="1055" t="s">
        <v>1502</v>
      </c>
      <c r="D72" s="1055" t="s">
        <v>1503</v>
      </c>
      <c r="E72" s="1126">
        <v>0.5</v>
      </c>
      <c r="F72" s="1141">
        <v>80</v>
      </c>
    </row>
    <row r="73" spans="1:6" s="1092" customFormat="1" ht="24">
      <c r="A73" s="1141">
        <v>13</v>
      </c>
      <c r="B73" s="3832"/>
      <c r="C73" s="1055" t="s">
        <v>1504</v>
      </c>
      <c r="D73" s="1055" t="s">
        <v>1505</v>
      </c>
      <c r="E73" s="1126">
        <v>0.4</v>
      </c>
      <c r="F73" s="1141">
        <v>60</v>
      </c>
    </row>
    <row r="74" spans="1:6" s="1092" customFormat="1" ht="24">
      <c r="A74" s="1141">
        <v>14</v>
      </c>
      <c r="B74" s="3832"/>
      <c r="C74" s="1055" t="s">
        <v>1506</v>
      </c>
      <c r="D74" s="1055" t="s">
        <v>1507</v>
      </c>
      <c r="E74" s="1126">
        <v>0.2</v>
      </c>
      <c r="F74" s="1141">
        <v>30</v>
      </c>
    </row>
    <row r="75" spans="1:6" s="1092" customFormat="1" ht="24">
      <c r="A75" s="1141">
        <v>15</v>
      </c>
      <c r="B75" s="3832"/>
      <c r="C75" s="1055" t="s">
        <v>1508</v>
      </c>
      <c r="D75" s="1055" t="s">
        <v>1509</v>
      </c>
      <c r="E75" s="1126">
        <v>0.2</v>
      </c>
      <c r="F75" s="1141">
        <v>30</v>
      </c>
    </row>
    <row r="76" spans="1:6" s="1092" customFormat="1" ht="24">
      <c r="A76" s="1141">
        <v>16</v>
      </c>
      <c r="B76" s="3832" t="s">
        <v>1510</v>
      </c>
      <c r="C76" s="1055" t="s">
        <v>1511</v>
      </c>
      <c r="D76" s="1055" t="s">
        <v>1512</v>
      </c>
      <c r="E76" s="1126">
        <v>0.5</v>
      </c>
      <c r="F76" s="1141">
        <v>80</v>
      </c>
    </row>
    <row r="77" spans="1:6" s="1092" customFormat="1" ht="24">
      <c r="A77" s="1141">
        <v>17</v>
      </c>
      <c r="B77" s="3832"/>
      <c r="C77" s="1055" t="s">
        <v>1513</v>
      </c>
      <c r="D77" s="1055" t="s">
        <v>1514</v>
      </c>
      <c r="E77" s="1126">
        <v>0.5</v>
      </c>
      <c r="F77" s="1141">
        <v>80</v>
      </c>
    </row>
    <row r="78" spans="1:6" s="1092" customFormat="1" ht="24">
      <c r="A78" s="1141">
        <v>18</v>
      </c>
      <c r="B78" s="3832"/>
      <c r="C78" s="1055" t="s">
        <v>1515</v>
      </c>
      <c r="D78" s="1055" t="s">
        <v>1516</v>
      </c>
      <c r="E78" s="1126">
        <v>0.2</v>
      </c>
      <c r="F78" s="1141">
        <v>30</v>
      </c>
    </row>
    <row r="79" spans="1:6" s="1092" customFormat="1" ht="24">
      <c r="A79" s="1141">
        <v>19</v>
      </c>
      <c r="B79" s="3832"/>
      <c r="C79" s="1055" t="s">
        <v>1517</v>
      </c>
      <c r="D79" s="1055" t="s">
        <v>1518</v>
      </c>
      <c r="E79" s="1126">
        <v>0.5</v>
      </c>
      <c r="F79" s="1141">
        <v>80</v>
      </c>
    </row>
    <row r="80" spans="1:6" s="1092" customFormat="1" ht="36">
      <c r="A80" s="1141">
        <v>20</v>
      </c>
      <c r="B80" s="3832"/>
      <c r="C80" s="1055" t="s">
        <v>1519</v>
      </c>
      <c r="D80" s="1055" t="s">
        <v>1520</v>
      </c>
      <c r="E80" s="1126">
        <v>0.2</v>
      </c>
      <c r="F80" s="1141">
        <v>30</v>
      </c>
    </row>
    <row r="81" spans="1:6" s="1092" customFormat="1" ht="36">
      <c r="A81" s="1141">
        <v>21</v>
      </c>
      <c r="B81" s="3832"/>
      <c r="C81" s="1055" t="s">
        <v>1521</v>
      </c>
      <c r="D81" s="1055" t="s">
        <v>1522</v>
      </c>
      <c r="E81" s="1126">
        <v>0.2</v>
      </c>
      <c r="F81" s="1141">
        <v>30</v>
      </c>
    </row>
    <row r="82" spans="1:6" s="1092" customFormat="1" ht="48">
      <c r="A82" s="1141">
        <v>22</v>
      </c>
      <c r="B82" s="3832"/>
      <c r="C82" s="1055" t="s">
        <v>1523</v>
      </c>
      <c r="D82" s="1055" t="s">
        <v>1524</v>
      </c>
      <c r="E82" s="1126">
        <v>0.2</v>
      </c>
      <c r="F82" s="1141">
        <v>30</v>
      </c>
    </row>
    <row r="83" spans="1:6" s="1092" customFormat="1" ht="48">
      <c r="A83" s="1141">
        <v>23</v>
      </c>
      <c r="B83" s="3832"/>
      <c r="C83" s="1055" t="s">
        <v>1525</v>
      </c>
      <c r="D83" s="1055" t="s">
        <v>1526</v>
      </c>
      <c r="E83" s="1126">
        <v>0.2</v>
      </c>
      <c r="F83" s="1141">
        <v>30</v>
      </c>
    </row>
    <row r="84" spans="1:6" s="1092" customFormat="1" ht="36">
      <c r="A84" s="1141">
        <v>24</v>
      </c>
      <c r="B84" s="3832"/>
      <c r="C84" s="1055" t="s">
        <v>1527</v>
      </c>
      <c r="D84" s="1055" t="s">
        <v>1528</v>
      </c>
      <c r="E84" s="1126">
        <v>0.2</v>
      </c>
      <c r="F84" s="1141">
        <v>30</v>
      </c>
    </row>
    <row r="85" spans="1:6" s="1092" customFormat="1" ht="36">
      <c r="A85" s="1141">
        <v>25</v>
      </c>
      <c r="B85" s="3832"/>
      <c r="C85" s="1055" t="s">
        <v>1529</v>
      </c>
      <c r="D85" s="1055" t="s">
        <v>1530</v>
      </c>
      <c r="E85" s="1126">
        <v>0.5</v>
      </c>
      <c r="F85" s="1141">
        <v>80</v>
      </c>
    </row>
    <row r="86" spans="1:6" s="1092" customFormat="1" ht="36">
      <c r="A86" s="1141">
        <v>26</v>
      </c>
      <c r="B86" s="3832"/>
      <c r="C86" s="1055" t="s">
        <v>1531</v>
      </c>
      <c r="D86" s="1055" t="s">
        <v>1532</v>
      </c>
      <c r="E86" s="1126">
        <v>0.2</v>
      </c>
      <c r="F86" s="1141">
        <v>30</v>
      </c>
    </row>
    <row r="87" spans="1:6" s="1092" customFormat="1" ht="36">
      <c r="A87" s="1141">
        <v>27</v>
      </c>
      <c r="B87" s="3832"/>
      <c r="C87" s="1055" t="s">
        <v>1533</v>
      </c>
      <c r="D87" s="1055" t="s">
        <v>1534</v>
      </c>
      <c r="E87" s="1126">
        <v>0.2</v>
      </c>
      <c r="F87" s="1141">
        <v>30</v>
      </c>
    </row>
    <row r="88" spans="1:6" s="1092" customFormat="1" ht="36">
      <c r="A88" s="1141">
        <v>28</v>
      </c>
      <c r="B88" s="3832"/>
      <c r="C88" s="1055" t="s">
        <v>1535</v>
      </c>
      <c r="D88" s="1055" t="s">
        <v>1536</v>
      </c>
      <c r="E88" s="1126">
        <v>0.2</v>
      </c>
      <c r="F88" s="1141">
        <v>30</v>
      </c>
    </row>
    <row r="89" spans="1:6" s="1092" customFormat="1" ht="24">
      <c r="A89" s="1141">
        <v>29</v>
      </c>
      <c r="B89" s="3832"/>
      <c r="C89" s="1055" t="s">
        <v>1537</v>
      </c>
      <c r="D89" s="1055" t="s">
        <v>1538</v>
      </c>
      <c r="E89" s="1126">
        <v>0.2</v>
      </c>
      <c r="F89" s="1141">
        <v>30</v>
      </c>
    </row>
    <row r="90" spans="1:6" s="1092" customFormat="1" ht="24">
      <c r="A90" s="1141">
        <v>30</v>
      </c>
      <c r="B90" s="3832"/>
      <c r="C90" s="1055" t="s">
        <v>1539</v>
      </c>
      <c r="D90" s="1055" t="s">
        <v>1540</v>
      </c>
      <c r="E90" s="1126">
        <v>0.2</v>
      </c>
      <c r="F90" s="1141">
        <v>30</v>
      </c>
    </row>
    <row r="91" spans="1:6" s="1092" customFormat="1" ht="36">
      <c r="A91" s="1141">
        <v>31</v>
      </c>
      <c r="B91" s="3832"/>
      <c r="C91" s="1055" t="s">
        <v>1541</v>
      </c>
      <c r="D91" s="1055" t="s">
        <v>1542</v>
      </c>
      <c r="E91" s="1126">
        <v>0.2</v>
      </c>
      <c r="F91" s="1141">
        <v>30</v>
      </c>
    </row>
    <row r="92" spans="1:6" s="1092" customFormat="1" ht="24">
      <c r="A92" s="1141">
        <v>32</v>
      </c>
      <c r="B92" s="3832" t="s">
        <v>1543</v>
      </c>
      <c r="C92" s="1141" t="s">
        <v>1544</v>
      </c>
      <c r="D92" s="1055" t="s">
        <v>1545</v>
      </c>
      <c r="E92" s="1126">
        <v>0.2</v>
      </c>
      <c r="F92" s="1141">
        <v>30</v>
      </c>
    </row>
    <row r="93" spans="1:6" s="1092" customFormat="1" ht="36">
      <c r="A93" s="1141">
        <v>33</v>
      </c>
      <c r="B93" s="3832"/>
      <c r="C93" s="1141" t="s">
        <v>1546</v>
      </c>
      <c r="D93" s="1055" t="s">
        <v>1547</v>
      </c>
      <c r="E93" s="1126">
        <v>0.2</v>
      </c>
      <c r="F93" s="1141">
        <v>30</v>
      </c>
    </row>
    <row r="94" spans="1:6" s="1092" customFormat="1" ht="48">
      <c r="A94" s="1141">
        <v>34</v>
      </c>
      <c r="B94" s="3832"/>
      <c r="C94" s="1141" t="s">
        <v>1548</v>
      </c>
      <c r="D94" s="1055" t="s">
        <v>1549</v>
      </c>
      <c r="E94" s="1126">
        <v>0.2</v>
      </c>
      <c r="F94" s="1141">
        <v>30</v>
      </c>
    </row>
    <row r="95" spans="1:6" s="1092" customFormat="1" ht="36">
      <c r="A95" s="1141">
        <v>35</v>
      </c>
      <c r="B95" s="3832"/>
      <c r="C95" s="1141" t="s">
        <v>1550</v>
      </c>
      <c r="D95" s="1055" t="s">
        <v>1551</v>
      </c>
      <c r="E95" s="1126">
        <v>0.2</v>
      </c>
      <c r="F95" s="1141">
        <v>30</v>
      </c>
    </row>
    <row r="96" spans="1:6" s="1092" customFormat="1" ht="48">
      <c r="A96" s="1141">
        <v>36</v>
      </c>
      <c r="B96" s="3832"/>
      <c r="C96" s="1055" t="s">
        <v>1552</v>
      </c>
      <c r="D96" s="1055" t="s">
        <v>1553</v>
      </c>
      <c r="E96" s="1126">
        <v>0.2</v>
      </c>
      <c r="F96" s="1141">
        <v>30</v>
      </c>
    </row>
    <row r="97" spans="1:6" s="1092" customFormat="1" ht="36">
      <c r="A97" s="1141">
        <v>37</v>
      </c>
      <c r="B97" s="3832"/>
      <c r="C97" s="1141" t="s">
        <v>1554</v>
      </c>
      <c r="D97" s="1055" t="s">
        <v>1555</v>
      </c>
      <c r="E97" s="1126">
        <v>0.2</v>
      </c>
      <c r="F97" s="1141">
        <v>30</v>
      </c>
    </row>
    <row r="98" spans="1:6" s="1092" customFormat="1" ht="36">
      <c r="A98" s="1141">
        <v>38</v>
      </c>
      <c r="B98" s="3832"/>
      <c r="C98" s="1141" t="s">
        <v>1556</v>
      </c>
      <c r="D98" s="1055" t="s">
        <v>1557</v>
      </c>
      <c r="E98" s="1126">
        <v>0.2</v>
      </c>
      <c r="F98" s="1141">
        <v>30</v>
      </c>
    </row>
    <row r="99" spans="1:6" s="1092" customFormat="1" ht="36">
      <c r="A99" s="1141">
        <v>39</v>
      </c>
      <c r="B99" s="3832" t="s">
        <v>1558</v>
      </c>
      <c r="C99" s="1141" t="s">
        <v>1559</v>
      </c>
      <c r="D99" s="1055" t="s">
        <v>1560</v>
      </c>
      <c r="E99" s="1126">
        <v>0.3</v>
      </c>
      <c r="F99" s="1141">
        <v>50</v>
      </c>
    </row>
    <row r="100" spans="1:6" s="1092" customFormat="1" ht="24">
      <c r="A100" s="1141">
        <v>40</v>
      </c>
      <c r="B100" s="3832"/>
      <c r="C100" s="1141" t="s">
        <v>1561</v>
      </c>
      <c r="D100" s="1055" t="s">
        <v>1562</v>
      </c>
      <c r="E100" s="1126">
        <v>0.2</v>
      </c>
      <c r="F100" s="1141">
        <v>30</v>
      </c>
    </row>
    <row r="101" spans="1:6" s="1092" customFormat="1" ht="36">
      <c r="A101" s="1141">
        <v>41</v>
      </c>
      <c r="B101" s="3832"/>
      <c r="C101" s="1141" t="s">
        <v>1563</v>
      </c>
      <c r="D101" s="1055" t="s">
        <v>1560</v>
      </c>
      <c r="E101" s="1126">
        <v>0.2</v>
      </c>
      <c r="F101" s="1141">
        <v>30</v>
      </c>
    </row>
    <row r="102" spans="1:6" s="1092" customFormat="1" ht="48">
      <c r="A102" s="1141">
        <v>42</v>
      </c>
      <c r="B102" s="1141" t="s">
        <v>1564</v>
      </c>
      <c r="C102" s="1055" t="s">
        <v>1565</v>
      </c>
      <c r="D102" s="1055" t="s">
        <v>1566</v>
      </c>
      <c r="E102" s="1126">
        <v>0.2</v>
      </c>
      <c r="F102" s="1141">
        <v>30</v>
      </c>
    </row>
    <row r="103" spans="1:6" s="1092" customFormat="1" ht="24">
      <c r="A103" s="1141">
        <v>43</v>
      </c>
      <c r="B103" s="1141" t="s">
        <v>1567</v>
      </c>
      <c r="C103" s="1141" t="s">
        <v>1568</v>
      </c>
      <c r="D103" s="1055" t="s">
        <v>1569</v>
      </c>
      <c r="E103" s="1126">
        <v>0.2</v>
      </c>
      <c r="F103" s="1141">
        <v>30</v>
      </c>
    </row>
    <row r="104" spans="1:6" s="1092" customFormat="1" ht="36">
      <c r="A104" s="1141">
        <v>44</v>
      </c>
      <c r="B104" s="1141" t="s">
        <v>1570</v>
      </c>
      <c r="C104" s="1141" t="s">
        <v>1571</v>
      </c>
      <c r="D104" s="1055" t="s">
        <v>1572</v>
      </c>
      <c r="E104" s="1126">
        <v>0.2</v>
      </c>
      <c r="F104" s="1141">
        <v>30</v>
      </c>
    </row>
    <row r="105" spans="1:6" s="1092" customFormat="1" ht="36">
      <c r="A105" s="1141">
        <v>45</v>
      </c>
      <c r="B105" s="3832" t="s">
        <v>1573</v>
      </c>
      <c r="C105" s="1141" t="s">
        <v>1574</v>
      </c>
      <c r="D105" s="1055" t="s">
        <v>1575</v>
      </c>
      <c r="E105" s="1126">
        <v>0.2</v>
      </c>
      <c r="F105" s="1141">
        <v>30</v>
      </c>
    </row>
    <row r="106" spans="1:6" s="1092" customFormat="1" ht="36">
      <c r="A106" s="1141">
        <v>46</v>
      </c>
      <c r="B106" s="3832"/>
      <c r="C106" s="1141" t="s">
        <v>1576</v>
      </c>
      <c r="D106" s="1055" t="s">
        <v>1577</v>
      </c>
      <c r="E106" s="1126">
        <v>0.2</v>
      </c>
      <c r="F106" s="1141">
        <v>30</v>
      </c>
    </row>
    <row r="107" spans="1:6" s="1092" customFormat="1" ht="36">
      <c r="A107" s="1141">
        <v>47</v>
      </c>
      <c r="B107" s="3832" t="s">
        <v>1578</v>
      </c>
      <c r="C107" s="1141" t="s">
        <v>1579</v>
      </c>
      <c r="D107" s="1055" t="s">
        <v>1580</v>
      </c>
      <c r="E107" s="1126">
        <v>0.3</v>
      </c>
      <c r="F107" s="1141">
        <v>50</v>
      </c>
    </row>
    <row r="108" spans="1:6" s="1092" customFormat="1" ht="36">
      <c r="A108" s="1141">
        <v>48</v>
      </c>
      <c r="B108" s="3832"/>
      <c r="C108" s="1141" t="s">
        <v>1581</v>
      </c>
      <c r="D108" s="1055" t="s">
        <v>1582</v>
      </c>
      <c r="E108" s="1126">
        <v>0.2</v>
      </c>
      <c r="F108" s="1141">
        <v>30</v>
      </c>
    </row>
    <row r="109" spans="1:6" s="1092" customFormat="1" ht="36">
      <c r="A109" s="1141">
        <v>49</v>
      </c>
      <c r="B109" s="1141" t="s">
        <v>1583</v>
      </c>
      <c r="C109" s="1141" t="s">
        <v>1584</v>
      </c>
      <c r="D109" s="1055" t="s">
        <v>1585</v>
      </c>
      <c r="E109" s="1126">
        <v>0.2</v>
      </c>
      <c r="F109" s="1141">
        <v>30</v>
      </c>
    </row>
    <row r="110" spans="1:6" s="1092" customFormat="1" ht="36">
      <c r="A110" s="1141">
        <v>50</v>
      </c>
      <c r="B110" s="1141" t="s">
        <v>1586</v>
      </c>
      <c r="C110" s="1141" t="s">
        <v>1587</v>
      </c>
      <c r="D110" s="1055" t="s">
        <v>1588</v>
      </c>
      <c r="E110" s="1126">
        <v>0.2</v>
      </c>
      <c r="F110" s="1141">
        <v>30</v>
      </c>
    </row>
    <row r="111" spans="1:6" s="1092" customFormat="1" ht="36">
      <c r="A111" s="1141">
        <v>51</v>
      </c>
      <c r="B111" s="3832" t="s">
        <v>1589</v>
      </c>
      <c r="C111" s="1141" t="s">
        <v>1590</v>
      </c>
      <c r="D111" s="1055" t="s">
        <v>1591</v>
      </c>
      <c r="E111" s="1126">
        <v>0.2</v>
      </c>
      <c r="F111" s="1141">
        <v>30</v>
      </c>
    </row>
    <row r="112" spans="1:6" s="1092" customFormat="1" ht="24">
      <c r="A112" s="1141">
        <v>52</v>
      </c>
      <c r="B112" s="3832"/>
      <c r="C112" s="1141" t="s">
        <v>1592</v>
      </c>
      <c r="D112" s="1055" t="s">
        <v>1593</v>
      </c>
      <c r="E112" s="1126">
        <v>0.2</v>
      </c>
      <c r="F112" s="1141">
        <v>30</v>
      </c>
    </row>
    <row r="113" spans="1:14" s="1092" customFormat="1" ht="24">
      <c r="A113" s="1141">
        <v>53</v>
      </c>
      <c r="B113" s="3832"/>
      <c r="C113" s="1141" t="s">
        <v>1594</v>
      </c>
      <c r="D113" s="1055" t="s">
        <v>1595</v>
      </c>
      <c r="E113" s="1126">
        <v>0.2</v>
      </c>
      <c r="F113" s="1141">
        <v>30</v>
      </c>
    </row>
    <row r="114" spans="1:14" ht="36">
      <c r="A114" s="1141">
        <v>54</v>
      </c>
      <c r="B114" s="1141" t="s">
        <v>1596</v>
      </c>
      <c r="C114" s="1141" t="s">
        <v>1597</v>
      </c>
      <c r="D114" s="1055" t="s">
        <v>1598</v>
      </c>
      <c r="E114" s="1126">
        <v>0.2</v>
      </c>
      <c r="F114" s="1141">
        <v>30</v>
      </c>
    </row>
    <row r="115" spans="1:14" ht="24">
      <c r="A115" s="1141">
        <v>55</v>
      </c>
      <c r="B115" s="1141" t="s">
        <v>1599</v>
      </c>
      <c r="C115" s="1141" t="s">
        <v>1600</v>
      </c>
      <c r="D115" s="1055" t="s">
        <v>1601</v>
      </c>
      <c r="E115" s="1126">
        <v>0.2</v>
      </c>
      <c r="F115" s="1141">
        <v>30</v>
      </c>
    </row>
    <row r="116" spans="1:14" ht="24">
      <c r="A116" s="1141">
        <v>56</v>
      </c>
      <c r="B116" s="3832" t="s">
        <v>1602</v>
      </c>
      <c r="C116" s="1141" t="s">
        <v>1603</v>
      </c>
      <c r="D116" s="1055" t="s">
        <v>1604</v>
      </c>
      <c r="E116" s="1126">
        <v>0.2</v>
      </c>
      <c r="F116" s="1141">
        <v>30</v>
      </c>
    </row>
    <row r="117" spans="1:14" ht="36">
      <c r="A117" s="1141">
        <v>57</v>
      </c>
      <c r="B117" s="3832"/>
      <c r="C117" s="1141" t="s">
        <v>1605</v>
      </c>
      <c r="D117" s="1055" t="s">
        <v>1606</v>
      </c>
      <c r="E117" s="1126">
        <v>0.2</v>
      </c>
      <c r="F117" s="1141">
        <v>30</v>
      </c>
    </row>
    <row r="118" spans="1:14" ht="36">
      <c r="A118" s="1141">
        <v>58</v>
      </c>
      <c r="B118" s="1141" t="s">
        <v>1607</v>
      </c>
      <c r="C118" s="1141" t="s">
        <v>1608</v>
      </c>
      <c r="D118" s="1055" t="s">
        <v>1609</v>
      </c>
      <c r="E118" s="1126">
        <v>0.2</v>
      </c>
      <c r="F118" s="1141">
        <v>30</v>
      </c>
    </row>
    <row r="119" spans="1:14" ht="13.5">
      <c r="A119" s="1141"/>
      <c r="B119" s="1141"/>
      <c r="C119" s="1141"/>
      <c r="D119" s="1141"/>
      <c r="E119" s="1126"/>
      <c r="F119" s="1141"/>
    </row>
    <row r="121" spans="1:14" ht="19.5" customHeight="1">
      <c r="A121" s="3831" t="s">
        <v>1611</v>
      </c>
      <c r="B121" s="3831"/>
      <c r="C121" s="3831"/>
      <c r="D121" s="3831"/>
      <c r="E121" s="3831"/>
      <c r="F121" s="3831"/>
      <c r="G121" s="3831"/>
      <c r="H121" s="3831"/>
      <c r="I121" s="3831"/>
      <c r="J121" s="3831"/>
      <c r="K121" s="1142"/>
      <c r="L121" s="1142"/>
      <c r="M121" s="1142"/>
      <c r="N121" s="1142"/>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7"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2" customWidth="1"/>
    <col min="2" max="5" width="10.125" style="1053" customWidth="1"/>
    <col min="6" max="6" width="9" style="1053"/>
    <col min="7" max="7" width="9" style="1056"/>
    <col min="8" max="8" width="9" style="1053"/>
    <col min="9" max="9" width="9" style="1056"/>
    <col min="10" max="16384" width="9" style="1053"/>
  </cols>
  <sheetData>
    <row r="1" spans="1:20">
      <c r="A1" s="3846" t="s">
        <v>1017</v>
      </c>
      <c r="B1" s="3846"/>
      <c r="C1" s="3846"/>
      <c r="D1" s="3846"/>
      <c r="E1" s="3846"/>
      <c r="F1" s="3846"/>
      <c r="H1" s="1057"/>
      <c r="I1" s="1058" t="s">
        <v>1018</v>
      </c>
      <c r="J1" s="1059" t="s">
        <v>1019</v>
      </c>
      <c r="K1" s="1059" t="s">
        <v>1020</v>
      </c>
      <c r="L1" s="1059" t="s">
        <v>1021</v>
      </c>
      <c r="M1" s="1059" t="s">
        <v>1022</v>
      </c>
      <c r="N1" s="1059" t="s">
        <v>1023</v>
      </c>
      <c r="O1" s="1059" t="s">
        <v>1024</v>
      </c>
      <c r="P1" s="1059" t="s">
        <v>1025</v>
      </c>
      <c r="Q1" s="1059" t="s">
        <v>1026</v>
      </c>
      <c r="R1" s="1059" t="s">
        <v>1027</v>
      </c>
      <c r="S1" s="1059" t="s">
        <v>1028</v>
      </c>
      <c r="T1" s="1060" t="s">
        <v>1029</v>
      </c>
    </row>
    <row r="2" spans="1:20" ht="14.25" thickBot="1">
      <c r="A2" s="3847" t="s">
        <v>1030</v>
      </c>
      <c r="B2" s="3847"/>
      <c r="C2" s="3847"/>
      <c r="D2" s="3847"/>
      <c r="E2" s="3847"/>
      <c r="F2" s="3847"/>
      <c r="I2" s="1061" t="s">
        <v>1031</v>
      </c>
      <c r="J2" s="1062" t="s">
        <v>1032</v>
      </c>
      <c r="K2" s="1062" t="s">
        <v>1033</v>
      </c>
      <c r="L2" s="1062" t="s">
        <v>1034</v>
      </c>
      <c r="M2" s="1062" t="s">
        <v>1035</v>
      </c>
      <c r="N2" s="1062" t="s">
        <v>1036</v>
      </c>
      <c r="O2" s="1062" t="s">
        <v>1037</v>
      </c>
      <c r="P2" s="1062" t="s">
        <v>1038</v>
      </c>
      <c r="Q2" s="1062" t="s">
        <v>1039</v>
      </c>
      <c r="R2" s="1062" t="s">
        <v>1040</v>
      </c>
      <c r="S2" s="1062" t="s">
        <v>1041</v>
      </c>
      <c r="T2" s="1062" t="s">
        <v>1042</v>
      </c>
    </row>
    <row r="3" spans="1:20" s="1057" customFormat="1" ht="19.5" customHeight="1">
      <c r="A3" s="3848" t="s">
        <v>1043</v>
      </c>
      <c r="B3" s="1063"/>
      <c r="C3" s="1064" t="s">
        <v>1044</v>
      </c>
      <c r="D3" s="1064" t="s">
        <v>1045</v>
      </c>
      <c r="E3" s="1064" t="s">
        <v>1046</v>
      </c>
      <c r="F3" s="1064" t="s">
        <v>1047</v>
      </c>
      <c r="G3" s="1065"/>
      <c r="I3" s="1061" t="s">
        <v>1048</v>
      </c>
      <c r="J3" s="1062" t="s">
        <v>1049</v>
      </c>
      <c r="K3" s="1062" t="s">
        <v>1050</v>
      </c>
      <c r="L3" s="1062" t="s">
        <v>1051</v>
      </c>
      <c r="M3" s="1062" t="s">
        <v>1052</v>
      </c>
      <c r="N3" s="1062" t="s">
        <v>1053</v>
      </c>
      <c r="O3" s="1062" t="s">
        <v>1054</v>
      </c>
      <c r="P3" s="1062" t="s">
        <v>1055</v>
      </c>
      <c r="Q3" s="1062" t="s">
        <v>1056</v>
      </c>
      <c r="R3" s="1062" t="s">
        <v>1057</v>
      </c>
      <c r="S3" s="1062" t="s">
        <v>1058</v>
      </c>
      <c r="T3" s="1062" t="s">
        <v>1059</v>
      </c>
    </row>
    <row r="4" spans="1:20" s="1057" customFormat="1" ht="19.5" customHeight="1" thickBot="1">
      <c r="A4" s="3849"/>
      <c r="B4" s="1066" t="s">
        <v>1060</v>
      </c>
      <c r="C4" s="1066" t="s">
        <v>1061</v>
      </c>
      <c r="D4" s="1066" t="s">
        <v>1061</v>
      </c>
      <c r="E4" s="1066" t="s">
        <v>1061</v>
      </c>
      <c r="F4" s="1067" t="s">
        <v>1061</v>
      </c>
      <c r="G4" s="1065"/>
      <c r="I4" s="1061" t="s">
        <v>1062</v>
      </c>
      <c r="J4" s="1062" t="s">
        <v>1063</v>
      </c>
      <c r="K4" s="1062" t="s">
        <v>1064</v>
      </c>
      <c r="L4" s="1062" t="s">
        <v>1065</v>
      </c>
      <c r="M4" s="1062" t="s">
        <v>1066</v>
      </c>
      <c r="N4" s="1062" t="s">
        <v>1067</v>
      </c>
      <c r="O4" s="1062" t="s">
        <v>1068</v>
      </c>
      <c r="P4" s="1062" t="s">
        <v>1069</v>
      </c>
      <c r="Q4" s="1062" t="s">
        <v>1070</v>
      </c>
      <c r="R4" s="1062" t="s">
        <v>1071</v>
      </c>
      <c r="S4" s="1062" t="s">
        <v>1072</v>
      </c>
      <c r="T4" s="1062" t="s">
        <v>1073</v>
      </c>
    </row>
    <row r="5" spans="1:20" ht="14.25" customHeight="1" thickBot="1">
      <c r="A5" s="1068" t="s">
        <v>1074</v>
      </c>
      <c r="B5" s="1069" t="s">
        <v>1031</v>
      </c>
      <c r="C5" s="1069">
        <v>29530</v>
      </c>
      <c r="D5" s="1069">
        <v>28130</v>
      </c>
      <c r="E5" s="1069">
        <v>27930</v>
      </c>
      <c r="F5" s="1070">
        <v>11300</v>
      </c>
      <c r="G5" s="1071" t="s">
        <v>1018</v>
      </c>
      <c r="H5" s="1072">
        <f>SUMPRODUCT((B5:B9=基准地价!I2)*(C3:F3=基准地价!E2)*(C5:F9))</f>
        <v>0</v>
      </c>
      <c r="I5" s="1061" t="s">
        <v>1075</v>
      </c>
      <c r="J5" s="1062" t="s">
        <v>1076</v>
      </c>
      <c r="K5" s="1062" t="s">
        <v>1077</v>
      </c>
      <c r="L5" s="1062" t="s">
        <v>1078</v>
      </c>
      <c r="M5" s="1062" t="s">
        <v>1079</v>
      </c>
      <c r="N5" s="1062" t="s">
        <v>1080</v>
      </c>
      <c r="O5" s="1062" t="s">
        <v>1081</v>
      </c>
      <c r="P5" s="1062" t="s">
        <v>1082</v>
      </c>
      <c r="Q5" s="1062" t="s">
        <v>1083</v>
      </c>
      <c r="R5" s="1062" t="s">
        <v>1084</v>
      </c>
      <c r="S5" s="1062" t="s">
        <v>1085</v>
      </c>
      <c r="T5" s="1062" t="s">
        <v>1086</v>
      </c>
    </row>
    <row r="6" spans="1:20" ht="14.25" customHeight="1" thickBot="1">
      <c r="A6" s="1068" t="s">
        <v>1074</v>
      </c>
      <c r="B6" s="1062" t="s">
        <v>1087</v>
      </c>
      <c r="C6" s="1062">
        <v>30290</v>
      </c>
      <c r="D6" s="1062">
        <v>29210</v>
      </c>
      <c r="E6" s="1062">
        <v>28860</v>
      </c>
      <c r="F6" s="1073">
        <v>12600</v>
      </c>
      <c r="G6" s="1074" t="s">
        <v>1088</v>
      </c>
      <c r="H6" s="1075">
        <f>SUMPRODUCT((B10:B28=基准地价!I2)*(C3:F3=基准地价!E2)*(C10:F28))</f>
        <v>0</v>
      </c>
      <c r="I6" s="1061" t="s">
        <v>1089</v>
      </c>
      <c r="J6" s="1062" t="s">
        <v>1090</v>
      </c>
      <c r="K6" s="1062" t="s">
        <v>1091</v>
      </c>
      <c r="L6" s="1062" t="s">
        <v>1092</v>
      </c>
      <c r="M6" s="1062" t="s">
        <v>1093</v>
      </c>
      <c r="N6" s="1062" t="s">
        <v>1094</v>
      </c>
      <c r="O6" s="1062" t="s">
        <v>1095</v>
      </c>
      <c r="P6" s="1062" t="s">
        <v>1096</v>
      </c>
      <c r="Q6" s="1062" t="s">
        <v>1097</v>
      </c>
      <c r="R6" s="1062" t="s">
        <v>1098</v>
      </c>
      <c r="S6" s="1062" t="s">
        <v>1099</v>
      </c>
      <c r="T6" s="1062" t="s">
        <v>1100</v>
      </c>
    </row>
    <row r="7" spans="1:20" ht="14.25" customHeight="1" thickBot="1">
      <c r="A7" s="1068" t="s">
        <v>1074</v>
      </c>
      <c r="B7" s="1076" t="s">
        <v>1062</v>
      </c>
      <c r="C7" s="1062">
        <v>29350</v>
      </c>
      <c r="D7" s="1062">
        <v>28410</v>
      </c>
      <c r="E7" s="1062">
        <v>27990</v>
      </c>
      <c r="F7" s="1073">
        <v>12300</v>
      </c>
      <c r="G7" s="1074" t="s">
        <v>887</v>
      </c>
      <c r="H7" s="1075">
        <f>SUMPRODUCT((B29:B48=基准地价!I2)*(C3:F3=基准地价!E2)*(C29:F48))</f>
        <v>0</v>
      </c>
      <c r="J7" s="1062" t="s">
        <v>1101</v>
      </c>
      <c r="K7" s="1062" t="s">
        <v>1102</v>
      </c>
      <c r="L7" s="1062" t="s">
        <v>1103</v>
      </c>
      <c r="M7" s="1062" t="s">
        <v>1104</v>
      </c>
      <c r="N7" s="1062" t="s">
        <v>1105</v>
      </c>
      <c r="O7" s="1062" t="s">
        <v>1106</v>
      </c>
      <c r="P7" s="1062" t="s">
        <v>1107</v>
      </c>
      <c r="Q7" s="1062" t="s">
        <v>1108</v>
      </c>
      <c r="R7" s="1062" t="s">
        <v>1109</v>
      </c>
      <c r="S7" s="1062" t="s">
        <v>1110</v>
      </c>
      <c r="T7" s="1076" t="s">
        <v>1111</v>
      </c>
    </row>
    <row r="8" spans="1:20" ht="14.25" customHeight="1" thickBot="1">
      <c r="A8" s="1068" t="s">
        <v>1074</v>
      </c>
      <c r="B8" s="1062" t="s">
        <v>1075</v>
      </c>
      <c r="C8" s="1062">
        <v>30890</v>
      </c>
      <c r="D8" s="1062">
        <v>29780</v>
      </c>
      <c r="E8" s="1062">
        <v>29270</v>
      </c>
      <c r="F8" s="1073">
        <v>11600</v>
      </c>
      <c r="G8" s="1074" t="s">
        <v>888</v>
      </c>
      <c r="H8" s="1075">
        <f>SUMPRODUCT((B49:B75=基准地价!I2)*(C3:F3=基准地价!E2)*(C49:F75))</f>
        <v>0</v>
      </c>
      <c r="J8" s="1062" t="s">
        <v>1112</v>
      </c>
      <c r="K8" s="1062" t="s">
        <v>1113</v>
      </c>
      <c r="L8" s="1062" t="s">
        <v>1114</v>
      </c>
      <c r="M8" s="1062" t="s">
        <v>1115</v>
      </c>
      <c r="N8" s="1062" t="s">
        <v>1116</v>
      </c>
      <c r="O8" s="1062" t="s">
        <v>1117</v>
      </c>
      <c r="P8" s="1062" t="s">
        <v>1118</v>
      </c>
      <c r="Q8" s="1062" t="s">
        <v>1119</v>
      </c>
      <c r="R8" s="1062" t="s">
        <v>1120</v>
      </c>
      <c r="S8" s="1062" t="s">
        <v>1121</v>
      </c>
      <c r="T8" s="1062" t="s">
        <v>1122</v>
      </c>
    </row>
    <row r="9" spans="1:20" ht="14.25" customHeight="1" thickBot="1">
      <c r="A9" s="1068" t="s">
        <v>1074</v>
      </c>
      <c r="B9" s="1077" t="s">
        <v>1089</v>
      </c>
      <c r="C9" s="1078">
        <v>28140</v>
      </c>
      <c r="D9" s="1078"/>
      <c r="E9" s="1078"/>
      <c r="F9" s="1079"/>
      <c r="G9" s="1074" t="s">
        <v>889</v>
      </c>
      <c r="H9" s="1075">
        <f>SUMPRODUCT((B76:B109=基准地价!I2)*(C3:F3=基准地价!E2)*(C76:F109))</f>
        <v>0</v>
      </c>
      <c r="J9" s="1062" t="s">
        <v>1123</v>
      </c>
      <c r="K9" s="1062" t="s">
        <v>1124</v>
      </c>
      <c r="L9" s="1062" t="s">
        <v>1125</v>
      </c>
      <c r="M9" s="1062" t="s">
        <v>1126</v>
      </c>
      <c r="N9" s="1062" t="s">
        <v>1127</v>
      </c>
      <c r="O9" s="1062" t="s">
        <v>1128</v>
      </c>
      <c r="P9" s="1062" t="s">
        <v>1129</v>
      </c>
      <c r="Q9" s="1062" t="s">
        <v>1130</v>
      </c>
      <c r="R9" s="1062" t="s">
        <v>1131</v>
      </c>
      <c r="S9" s="1062" t="s">
        <v>1132</v>
      </c>
    </row>
    <row r="10" spans="1:20" ht="14.25" customHeight="1" thickBot="1">
      <c r="A10" s="1068" t="s">
        <v>1133</v>
      </c>
      <c r="B10" s="1069" t="s">
        <v>1134</v>
      </c>
      <c r="C10" s="1069">
        <v>27450</v>
      </c>
      <c r="D10" s="1069">
        <v>26180</v>
      </c>
      <c r="E10" s="1069">
        <v>25980</v>
      </c>
      <c r="F10" s="1070">
        <v>8910</v>
      </c>
      <c r="G10" s="1074" t="s">
        <v>890</v>
      </c>
      <c r="H10" s="1075">
        <f>SUMPRODUCT((B110:B157=基准地价!I2)*(C3:F3=基准地价!E2)*(C110:F157))</f>
        <v>0</v>
      </c>
      <c r="J10" s="1062" t="s">
        <v>1135</v>
      </c>
      <c r="K10" s="1062" t="s">
        <v>1136</v>
      </c>
      <c r="L10" s="1062" t="s">
        <v>1137</v>
      </c>
      <c r="M10" s="1062" t="s">
        <v>1138</v>
      </c>
      <c r="N10" s="1062" t="s">
        <v>1139</v>
      </c>
      <c r="O10" s="1062" t="s">
        <v>1140</v>
      </c>
      <c r="P10" s="1062" t="s">
        <v>1141</v>
      </c>
      <c r="Q10" s="1062" t="s">
        <v>1142</v>
      </c>
      <c r="R10" s="1062" t="s">
        <v>1143</v>
      </c>
      <c r="S10" s="1062" t="s">
        <v>1144</v>
      </c>
    </row>
    <row r="11" spans="1:20" ht="14.25" customHeight="1" thickBot="1">
      <c r="A11" s="1068" t="s">
        <v>1133</v>
      </c>
      <c r="B11" s="1076" t="s">
        <v>1049</v>
      </c>
      <c r="C11" s="1062">
        <v>22950</v>
      </c>
      <c r="D11" s="1062">
        <v>22630</v>
      </c>
      <c r="E11" s="1062">
        <v>22030</v>
      </c>
      <c r="F11" s="1080">
        <v>8330</v>
      </c>
      <c r="G11" s="1074" t="s">
        <v>891</v>
      </c>
      <c r="H11" s="1075">
        <f>SUMPRODUCT((B158:B205=基准地价!I2)*(C3:F3=基准地价!E2)*(C158:F205))</f>
        <v>0</v>
      </c>
      <c r="J11" s="1062" t="s">
        <v>1145</v>
      </c>
      <c r="K11" s="1062" t="s">
        <v>1146</v>
      </c>
      <c r="L11" s="1062" t="s">
        <v>1147</v>
      </c>
      <c r="M11" s="1062" t="s">
        <v>1148</v>
      </c>
      <c r="N11" s="1062" t="s">
        <v>1149</v>
      </c>
      <c r="O11" s="1062" t="s">
        <v>1150</v>
      </c>
      <c r="P11" s="1062" t="s">
        <v>1151</v>
      </c>
      <c r="Q11" s="1062" t="s">
        <v>1152</v>
      </c>
      <c r="R11" s="1062" t="s">
        <v>1153</v>
      </c>
      <c r="S11" s="1062" t="s">
        <v>1154</v>
      </c>
    </row>
    <row r="12" spans="1:20" ht="14.25" customHeight="1" thickBot="1">
      <c r="A12" s="1068" t="s">
        <v>1133</v>
      </c>
      <c r="B12" s="1076" t="s">
        <v>1063</v>
      </c>
      <c r="C12" s="1062">
        <v>24940</v>
      </c>
      <c r="D12" s="1062">
        <v>23180</v>
      </c>
      <c r="E12" s="1062">
        <v>22910</v>
      </c>
      <c r="F12" s="1080">
        <v>7180</v>
      </c>
      <c r="G12" s="1074" t="s">
        <v>892</v>
      </c>
      <c r="H12" s="1075">
        <f>SUMPRODUCT((B206:B244=基准地价!I2)*(C3:F3=基准地价!E2)*(C206:F244))</f>
        <v>0</v>
      </c>
      <c r="J12" s="1062" t="s">
        <v>1155</v>
      </c>
      <c r="K12" s="1062" t="s">
        <v>1156</v>
      </c>
      <c r="L12" s="1062" t="s">
        <v>1157</v>
      </c>
      <c r="M12" s="1062" t="s">
        <v>1158</v>
      </c>
      <c r="N12" s="1062" t="s">
        <v>1159</v>
      </c>
      <c r="O12" s="1062" t="s">
        <v>1160</v>
      </c>
      <c r="P12" s="1062" t="s">
        <v>1161</v>
      </c>
      <c r="Q12" s="1062" t="s">
        <v>1162</v>
      </c>
      <c r="R12" s="1062" t="s">
        <v>1163</v>
      </c>
      <c r="S12" s="1062" t="s">
        <v>1164</v>
      </c>
    </row>
    <row r="13" spans="1:20" ht="14.25" customHeight="1" thickBot="1">
      <c r="A13" s="1068" t="s">
        <v>1133</v>
      </c>
      <c r="B13" s="1076" t="s">
        <v>1076</v>
      </c>
      <c r="C13" s="1062">
        <v>24140</v>
      </c>
      <c r="D13" s="1062">
        <v>22270</v>
      </c>
      <c r="E13" s="1062">
        <v>21950</v>
      </c>
      <c r="F13" s="1080">
        <v>7600</v>
      </c>
      <c r="G13" s="1074" t="s">
        <v>893</v>
      </c>
      <c r="H13" s="1075">
        <f>SUMPRODUCT((B245:B289=基准地价!I2)*(C3:F3=基准地价!E2)*(C245:F289))</f>
        <v>0</v>
      </c>
      <c r="J13" s="1062" t="s">
        <v>1165</v>
      </c>
      <c r="K13" s="1062" t="s">
        <v>1166</v>
      </c>
      <c r="L13" s="1062" t="s">
        <v>1167</v>
      </c>
      <c r="M13" s="1062" t="s">
        <v>1168</v>
      </c>
      <c r="N13" s="1062" t="s">
        <v>1169</v>
      </c>
      <c r="O13" s="1062" t="s">
        <v>1170</v>
      </c>
      <c r="P13" s="1062" t="s">
        <v>1171</v>
      </c>
      <c r="Q13" s="1062" t="s">
        <v>1172</v>
      </c>
      <c r="R13" s="1062" t="s">
        <v>1173</v>
      </c>
      <c r="S13" s="1062" t="s">
        <v>1174</v>
      </c>
    </row>
    <row r="14" spans="1:20" ht="14.25" customHeight="1" thickBot="1">
      <c r="A14" s="1068" t="s">
        <v>1133</v>
      </c>
      <c r="B14" s="1076" t="s">
        <v>1090</v>
      </c>
      <c r="C14" s="1062">
        <v>25600</v>
      </c>
      <c r="D14" s="1062">
        <v>22260</v>
      </c>
      <c r="E14" s="1062">
        <v>22110</v>
      </c>
      <c r="F14" s="1080">
        <v>7630</v>
      </c>
      <c r="G14" s="1074" t="s">
        <v>894</v>
      </c>
      <c r="H14" s="1075">
        <f>SUMPRODUCT((B290:B316=基准地价!I2)*(C3:F3=基准地价!E2)*(C290:F316))</f>
        <v>0</v>
      </c>
      <c r="J14" s="1062" t="s">
        <v>1175</v>
      </c>
      <c r="K14" s="1062" t="s">
        <v>1176</v>
      </c>
      <c r="L14" s="1062" t="s">
        <v>1177</v>
      </c>
      <c r="M14" s="1062" t="s">
        <v>1178</v>
      </c>
      <c r="N14" s="1062" t="s">
        <v>1179</v>
      </c>
      <c r="O14" s="1062" t="s">
        <v>1180</v>
      </c>
      <c r="P14" s="1062" t="s">
        <v>1181</v>
      </c>
      <c r="Q14" s="1062" t="s">
        <v>1182</v>
      </c>
      <c r="R14" s="1062" t="s">
        <v>1183</v>
      </c>
      <c r="S14" s="1062" t="s">
        <v>1184</v>
      </c>
    </row>
    <row r="15" spans="1:20" ht="14.25" customHeight="1" thickBot="1">
      <c r="A15" s="1068" t="s">
        <v>1133</v>
      </c>
      <c r="B15" s="1076" t="s">
        <v>1101</v>
      </c>
      <c r="C15" s="1062">
        <v>24760</v>
      </c>
      <c r="D15" s="1062">
        <v>24440</v>
      </c>
      <c r="E15" s="1062">
        <v>24130</v>
      </c>
      <c r="F15" s="1080">
        <v>9480</v>
      </c>
      <c r="G15" s="1074" t="s">
        <v>895</v>
      </c>
      <c r="H15" s="1075">
        <f>SUMPRODUCT((B317:B337=基准地价!I2)*(C3:F3=基准地价!E2)*(C317:F337))</f>
        <v>0</v>
      </c>
      <c r="J15" s="1062" t="s">
        <v>1185</v>
      </c>
      <c r="K15" s="1062" t="s">
        <v>1186</v>
      </c>
      <c r="L15" s="1062" t="s">
        <v>1187</v>
      </c>
      <c r="M15" s="1062" t="s">
        <v>1188</v>
      </c>
      <c r="N15" s="1062" t="s">
        <v>1189</v>
      </c>
      <c r="O15" s="1062" t="s">
        <v>1190</v>
      </c>
      <c r="P15" s="1062" t="s">
        <v>1191</v>
      </c>
      <c r="Q15" s="1062" t="s">
        <v>1192</v>
      </c>
      <c r="R15" s="1062" t="s">
        <v>1193</v>
      </c>
      <c r="S15" s="1062" t="s">
        <v>1194</v>
      </c>
    </row>
    <row r="16" spans="1:20" ht="14.25" customHeight="1" thickBot="1">
      <c r="A16" s="1068" t="s">
        <v>1133</v>
      </c>
      <c r="B16" s="1076" t="s">
        <v>1112</v>
      </c>
      <c r="C16" s="1062">
        <v>22220</v>
      </c>
      <c r="D16" s="1062">
        <v>22310</v>
      </c>
      <c r="E16" s="1062">
        <v>22000</v>
      </c>
      <c r="F16" s="1080">
        <v>8900</v>
      </c>
      <c r="G16" s="1081" t="s">
        <v>896</v>
      </c>
      <c r="H16" s="1082">
        <f>SUMPRODUCT((B338:B344=基准地价!I2)*(C3:F3=基准地价!E2)*(C338:F344))</f>
        <v>0</v>
      </c>
      <c r="J16" s="1062" t="s">
        <v>1195</v>
      </c>
      <c r="K16" s="1062" t="s">
        <v>1196</v>
      </c>
      <c r="L16" s="1062" t="s">
        <v>1197</v>
      </c>
      <c r="M16" s="1062" t="s">
        <v>1198</v>
      </c>
      <c r="N16" s="1062" t="s">
        <v>1199</v>
      </c>
      <c r="O16" s="1062" t="s">
        <v>1200</v>
      </c>
      <c r="P16" s="1062" t="s">
        <v>1201</v>
      </c>
      <c r="Q16" s="1062" t="s">
        <v>1202</v>
      </c>
      <c r="R16" s="1062" t="s">
        <v>1203</v>
      </c>
      <c r="S16" s="1062" t="s">
        <v>1204</v>
      </c>
    </row>
    <row r="17" spans="1:19" ht="14.25" customHeight="1" thickBot="1">
      <c r="A17" s="1068" t="s">
        <v>1133</v>
      </c>
      <c r="B17" s="1076" t="s">
        <v>1123</v>
      </c>
      <c r="C17" s="1062">
        <v>24700</v>
      </c>
      <c r="D17" s="1062">
        <v>25150</v>
      </c>
      <c r="E17" s="1062">
        <v>24700</v>
      </c>
      <c r="F17" s="1083"/>
      <c r="H17" s="1084"/>
      <c r="J17" s="1062" t="s">
        <v>1205</v>
      </c>
      <c r="K17" s="1062" t="s">
        <v>1206</v>
      </c>
      <c r="L17" s="1062" t="s">
        <v>1207</v>
      </c>
      <c r="M17" s="1062" t="s">
        <v>1208</v>
      </c>
      <c r="N17" s="1062" t="s">
        <v>1209</v>
      </c>
      <c r="O17" s="1062" t="s">
        <v>1210</v>
      </c>
      <c r="P17" s="1062" t="s">
        <v>1211</v>
      </c>
      <c r="Q17" s="1062" t="s">
        <v>1212</v>
      </c>
      <c r="R17" s="1062" t="s">
        <v>1213</v>
      </c>
      <c r="S17" s="1062" t="s">
        <v>1214</v>
      </c>
    </row>
    <row r="18" spans="1:19" ht="14.25" customHeight="1" thickBot="1">
      <c r="A18" s="1068" t="s">
        <v>1133</v>
      </c>
      <c r="B18" s="1076" t="s">
        <v>1135</v>
      </c>
      <c r="C18" s="1062">
        <v>22350</v>
      </c>
      <c r="D18" s="1062">
        <v>24340</v>
      </c>
      <c r="E18" s="1062">
        <v>24100</v>
      </c>
      <c r="F18" s="1083"/>
      <c r="H18" s="1084"/>
      <c r="J18" s="1062" t="s">
        <v>1215</v>
      </c>
      <c r="K18" s="1062" t="s">
        <v>1216</v>
      </c>
      <c r="L18" s="1062" t="s">
        <v>1217</v>
      </c>
      <c r="M18" s="1062" t="s">
        <v>1218</v>
      </c>
      <c r="N18" s="1062" t="s">
        <v>1219</v>
      </c>
      <c r="O18" s="1062" t="s">
        <v>1220</v>
      </c>
      <c r="P18" s="1062" t="s">
        <v>1221</v>
      </c>
      <c r="Q18" s="1062" t="s">
        <v>1222</v>
      </c>
      <c r="R18" s="1062" t="s">
        <v>1223</v>
      </c>
      <c r="S18" s="1062" t="s">
        <v>1224</v>
      </c>
    </row>
    <row r="19" spans="1:19" ht="14.25" customHeight="1" thickBot="1">
      <c r="A19" s="1068" t="s">
        <v>1133</v>
      </c>
      <c r="B19" s="1076" t="s">
        <v>1145</v>
      </c>
      <c r="C19" s="1062">
        <v>23430</v>
      </c>
      <c r="D19" s="1062">
        <v>21580</v>
      </c>
      <c r="E19" s="1062">
        <v>21350</v>
      </c>
      <c r="F19" s="1083"/>
      <c r="H19" s="1084"/>
      <c r="J19" s="1062" t="s">
        <v>1225</v>
      </c>
      <c r="K19" s="1062" t="s">
        <v>1226</v>
      </c>
      <c r="L19" s="1062" t="s">
        <v>1227</v>
      </c>
      <c r="M19" s="1062" t="s">
        <v>1228</v>
      </c>
      <c r="N19" s="1062" t="s">
        <v>1229</v>
      </c>
      <c r="O19" s="1062" t="s">
        <v>1230</v>
      </c>
      <c r="P19" s="1062" t="s">
        <v>1231</v>
      </c>
      <c r="Q19" s="1062" t="s">
        <v>1232</v>
      </c>
      <c r="R19" s="1062" t="s">
        <v>1233</v>
      </c>
      <c r="S19" s="1062" t="s">
        <v>1234</v>
      </c>
    </row>
    <row r="20" spans="1:19" ht="14.25" customHeight="1" thickBot="1">
      <c r="A20" s="1068" t="s">
        <v>1133</v>
      </c>
      <c r="B20" s="1076" t="s">
        <v>1155</v>
      </c>
      <c r="C20" s="1062">
        <v>27660</v>
      </c>
      <c r="D20" s="1062">
        <v>24240</v>
      </c>
      <c r="E20" s="1062">
        <v>24020</v>
      </c>
      <c r="F20" s="1083"/>
      <c r="J20" s="1062" t="s">
        <v>1235</v>
      </c>
      <c r="K20" s="1062" t="s">
        <v>1236</v>
      </c>
      <c r="L20" s="1062" t="s">
        <v>1237</v>
      </c>
      <c r="M20" s="1062" t="s">
        <v>1238</v>
      </c>
      <c r="N20" s="1062" t="s">
        <v>1239</v>
      </c>
      <c r="O20" s="1062" t="s">
        <v>1240</v>
      </c>
      <c r="P20" s="1062" t="s">
        <v>1241</v>
      </c>
      <c r="Q20" s="1062" t="s">
        <v>1242</v>
      </c>
      <c r="R20" s="1062" t="s">
        <v>1243</v>
      </c>
      <c r="S20" s="1062" t="s">
        <v>1244</v>
      </c>
    </row>
    <row r="21" spans="1:19" ht="14.25" customHeight="1" thickBot="1">
      <c r="A21" s="1068" t="s">
        <v>1133</v>
      </c>
      <c r="B21" s="1076" t="s">
        <v>1165</v>
      </c>
      <c r="C21" s="1062">
        <v>24720</v>
      </c>
      <c r="D21" s="1062">
        <v>21670</v>
      </c>
      <c r="E21" s="1062">
        <v>21510</v>
      </c>
      <c r="F21" s="1083"/>
      <c r="K21" s="1062" t="s">
        <v>1245</v>
      </c>
      <c r="L21" s="1062" t="s">
        <v>1246</v>
      </c>
      <c r="M21" s="1062" t="s">
        <v>1247</v>
      </c>
      <c r="N21" s="1062" t="s">
        <v>1248</v>
      </c>
      <c r="O21" s="1062" t="s">
        <v>1249</v>
      </c>
      <c r="P21" s="1062" t="s">
        <v>1250</v>
      </c>
      <c r="Q21" s="1062" t="s">
        <v>1251</v>
      </c>
      <c r="R21" s="1062" t="s">
        <v>1252</v>
      </c>
      <c r="S21" s="1062" t="s">
        <v>1253</v>
      </c>
    </row>
    <row r="22" spans="1:19" ht="14.25" customHeight="1" thickBot="1">
      <c r="A22" s="1068" t="s">
        <v>1133</v>
      </c>
      <c r="B22" s="1076" t="s">
        <v>1254</v>
      </c>
      <c r="C22" s="1062">
        <v>26530</v>
      </c>
      <c r="D22" s="1062">
        <v>22980</v>
      </c>
      <c r="E22" s="1062">
        <v>22650</v>
      </c>
      <c r="F22" s="1083"/>
      <c r="L22" s="1062" t="s">
        <v>1255</v>
      </c>
      <c r="M22" s="1062" t="s">
        <v>1256</v>
      </c>
      <c r="N22" s="1062" t="s">
        <v>1257</v>
      </c>
      <c r="O22" s="1062" t="s">
        <v>1258</v>
      </c>
      <c r="P22" s="1062" t="s">
        <v>1259</v>
      </c>
      <c r="Q22" s="1062" t="s">
        <v>1260</v>
      </c>
      <c r="R22" s="1062" t="s">
        <v>1261</v>
      </c>
      <c r="S22" s="1076" t="s">
        <v>1262</v>
      </c>
    </row>
    <row r="23" spans="1:19" ht="14.25" customHeight="1" thickBot="1">
      <c r="A23" s="1068" t="s">
        <v>1133</v>
      </c>
      <c r="B23" s="1076" t="s">
        <v>1185</v>
      </c>
      <c r="C23" s="1062">
        <v>24700</v>
      </c>
      <c r="D23" s="1062">
        <v>27290</v>
      </c>
      <c r="E23" s="1062">
        <v>26710</v>
      </c>
      <c r="F23" s="1083"/>
      <c r="L23" s="1062" t="s">
        <v>1263</v>
      </c>
      <c r="M23" s="1062" t="s">
        <v>1264</v>
      </c>
      <c r="N23" s="1062" t="s">
        <v>1265</v>
      </c>
      <c r="O23" s="1062" t="s">
        <v>1266</v>
      </c>
      <c r="P23" s="1062" t="s">
        <v>1267</v>
      </c>
      <c r="Q23" s="1062" t="s">
        <v>1268</v>
      </c>
      <c r="R23" s="1062" t="s">
        <v>1269</v>
      </c>
    </row>
    <row r="24" spans="1:19" ht="14.25" customHeight="1" thickBot="1">
      <c r="A24" s="1068" t="s">
        <v>1133</v>
      </c>
      <c r="B24" s="1076" t="s">
        <v>1195</v>
      </c>
      <c r="C24" s="1062">
        <v>23070</v>
      </c>
      <c r="D24" s="1062">
        <v>24130</v>
      </c>
      <c r="E24" s="1062">
        <v>23860</v>
      </c>
      <c r="F24" s="1083"/>
      <c r="L24" s="1062" t="s">
        <v>1270</v>
      </c>
      <c r="M24" s="1062" t="s">
        <v>1271</v>
      </c>
      <c r="N24" s="1062" t="s">
        <v>1272</v>
      </c>
      <c r="O24" s="1062" t="s">
        <v>1273</v>
      </c>
      <c r="P24" s="1062" t="s">
        <v>1274</v>
      </c>
      <c r="Q24" s="1062" t="s">
        <v>1275</v>
      </c>
      <c r="R24" s="1062" t="s">
        <v>1276</v>
      </c>
    </row>
    <row r="25" spans="1:19" ht="14.25" customHeight="1" thickBot="1">
      <c r="A25" s="1068" t="s">
        <v>1133</v>
      </c>
      <c r="B25" s="1076" t="s">
        <v>1205</v>
      </c>
      <c r="C25" s="1062">
        <v>27550</v>
      </c>
      <c r="D25" s="1062">
        <v>25850</v>
      </c>
      <c r="E25" s="1062">
        <v>25340</v>
      </c>
      <c r="F25" s="1083"/>
      <c r="L25" s="1062" t="s">
        <v>1277</v>
      </c>
      <c r="M25" s="1062" t="s">
        <v>1278</v>
      </c>
      <c r="N25" s="1062" t="s">
        <v>1279</v>
      </c>
      <c r="O25" s="1062" t="s">
        <v>1280</v>
      </c>
      <c r="P25" s="1062" t="s">
        <v>1281</v>
      </c>
      <c r="Q25" s="1062" t="s">
        <v>1282</v>
      </c>
      <c r="R25" s="1062" t="s">
        <v>1283</v>
      </c>
    </row>
    <row r="26" spans="1:19" ht="14.25" customHeight="1" thickBot="1">
      <c r="A26" s="1068" t="s">
        <v>1133</v>
      </c>
      <c r="B26" s="1076" t="s">
        <v>1215</v>
      </c>
      <c r="C26" s="1062"/>
      <c r="D26" s="1062">
        <v>23900</v>
      </c>
      <c r="E26" s="1062">
        <v>23590</v>
      </c>
      <c r="F26" s="1083"/>
      <c r="L26" s="1062" t="s">
        <v>1284</v>
      </c>
      <c r="M26" s="1062" t="s">
        <v>1285</v>
      </c>
      <c r="N26" s="1062" t="s">
        <v>1286</v>
      </c>
      <c r="O26" s="1062" t="s">
        <v>1287</v>
      </c>
      <c r="P26" s="1062" t="s">
        <v>1288</v>
      </c>
      <c r="Q26" s="1062" t="s">
        <v>1289</v>
      </c>
      <c r="R26" s="1062" t="s">
        <v>1290</v>
      </c>
    </row>
    <row r="27" spans="1:19" ht="14.25" customHeight="1" thickBot="1">
      <c r="A27" s="1068" t="s">
        <v>1133</v>
      </c>
      <c r="B27" s="1076" t="s">
        <v>1225</v>
      </c>
      <c r="C27" s="1062"/>
      <c r="D27" s="1062">
        <v>22850</v>
      </c>
      <c r="E27" s="1062">
        <v>21920</v>
      </c>
      <c r="F27" s="1083"/>
      <c r="L27" s="1062" t="s">
        <v>1291</v>
      </c>
      <c r="M27" s="1062" t="s">
        <v>1292</v>
      </c>
      <c r="N27" s="1062" t="s">
        <v>1293</v>
      </c>
      <c r="O27" s="1062" t="s">
        <v>1294</v>
      </c>
      <c r="P27" s="1062" t="s">
        <v>1295</v>
      </c>
      <c r="Q27" s="1062" t="s">
        <v>1296</v>
      </c>
      <c r="R27" s="1062" t="s">
        <v>1297</v>
      </c>
    </row>
    <row r="28" spans="1:19" ht="14.25" customHeight="1" thickBot="1">
      <c r="A28" s="1085" t="s">
        <v>1133</v>
      </c>
      <c r="B28" s="1077" t="s">
        <v>1235</v>
      </c>
      <c r="C28" s="1078"/>
      <c r="D28" s="1078">
        <v>26610</v>
      </c>
      <c r="E28" s="1078">
        <v>26370</v>
      </c>
      <c r="F28" s="1079"/>
      <c r="L28" s="1062" t="s">
        <v>1298</v>
      </c>
      <c r="M28" s="1062" t="s">
        <v>1299</v>
      </c>
      <c r="N28" s="1062" t="s">
        <v>1300</v>
      </c>
      <c r="O28" s="1062" t="s">
        <v>1301</v>
      </c>
      <c r="P28" s="1062" t="s">
        <v>1302</v>
      </c>
      <c r="Q28" s="1062" t="s">
        <v>1303</v>
      </c>
    </row>
    <row r="29" spans="1:19" ht="14.25" customHeight="1" thickBot="1">
      <c r="A29" s="1068" t="s">
        <v>1304</v>
      </c>
      <c r="B29" s="1069" t="s">
        <v>1305</v>
      </c>
      <c r="C29" s="1069">
        <v>22090</v>
      </c>
      <c r="D29" s="1069">
        <v>21860</v>
      </c>
      <c r="E29" s="1069">
        <v>19380</v>
      </c>
      <c r="F29" s="1070">
        <v>6610</v>
      </c>
      <c r="M29" s="1062" t="s">
        <v>1306</v>
      </c>
      <c r="N29" s="1062" t="s">
        <v>1307</v>
      </c>
      <c r="O29" s="1062" t="s">
        <v>1308</v>
      </c>
      <c r="P29" s="1062" t="s">
        <v>1309</v>
      </c>
      <c r="Q29" s="1062" t="s">
        <v>1310</v>
      </c>
    </row>
    <row r="30" spans="1:19" ht="14.25" customHeight="1" thickBot="1">
      <c r="A30" s="1068" t="s">
        <v>1304</v>
      </c>
      <c r="B30" s="1076" t="s">
        <v>1050</v>
      </c>
      <c r="C30" s="1062">
        <v>21380</v>
      </c>
      <c r="D30" s="1062">
        <v>19930</v>
      </c>
      <c r="E30" s="1062">
        <v>19860</v>
      </c>
      <c r="F30" s="1080">
        <v>6010</v>
      </c>
      <c r="H30" s="1084"/>
      <c r="M30" s="1062" t="s">
        <v>1311</v>
      </c>
      <c r="N30" s="1062" t="s">
        <v>1312</v>
      </c>
      <c r="O30" s="1062" t="s">
        <v>1313</v>
      </c>
      <c r="P30" s="1062" t="s">
        <v>2397</v>
      </c>
      <c r="Q30" s="1062" t="s">
        <v>1314</v>
      </c>
    </row>
    <row r="31" spans="1:19" ht="14.25" customHeight="1" thickBot="1">
      <c r="A31" s="1068" t="s">
        <v>1304</v>
      </c>
      <c r="B31" s="1076" t="s">
        <v>1064</v>
      </c>
      <c r="C31" s="1062">
        <v>21670</v>
      </c>
      <c r="D31" s="1062">
        <v>20660</v>
      </c>
      <c r="E31" s="1062">
        <v>20290</v>
      </c>
      <c r="F31" s="1080">
        <v>5840</v>
      </c>
      <c r="H31" s="1084"/>
      <c r="M31" s="1062" t="s">
        <v>1315</v>
      </c>
      <c r="N31" s="1062" t="s">
        <v>1316</v>
      </c>
      <c r="O31" s="1062" t="s">
        <v>1317</v>
      </c>
      <c r="P31" s="1062" t="s">
        <v>1318</v>
      </c>
      <c r="Q31" s="1062" t="s">
        <v>1319</v>
      </c>
    </row>
    <row r="32" spans="1:19" ht="14.25" customHeight="1" thickBot="1">
      <c r="A32" s="1068" t="s">
        <v>1304</v>
      </c>
      <c r="B32" s="1076" t="s">
        <v>1077</v>
      </c>
      <c r="C32" s="1062">
        <v>22280</v>
      </c>
      <c r="D32" s="1062">
        <v>21800</v>
      </c>
      <c r="E32" s="1062">
        <v>17650</v>
      </c>
      <c r="F32" s="1080">
        <v>4690</v>
      </c>
      <c r="H32" s="1084"/>
      <c r="M32" s="1062" t="s">
        <v>1320</v>
      </c>
      <c r="N32" s="1062" t="s">
        <v>1321</v>
      </c>
      <c r="O32" s="1062" t="s">
        <v>1322</v>
      </c>
      <c r="P32" s="1062" t="s">
        <v>1323</v>
      </c>
      <c r="Q32" s="1062" t="s">
        <v>1324</v>
      </c>
    </row>
    <row r="33" spans="1:17" ht="14.25" customHeight="1" thickBot="1">
      <c r="A33" s="1068" t="s">
        <v>1304</v>
      </c>
      <c r="B33" s="1076" t="s">
        <v>1091</v>
      </c>
      <c r="C33" s="1062">
        <v>22130</v>
      </c>
      <c r="D33" s="1062">
        <v>20460</v>
      </c>
      <c r="E33" s="1062">
        <v>18500</v>
      </c>
      <c r="F33" s="1080">
        <v>5340</v>
      </c>
      <c r="H33" s="1084"/>
      <c r="M33" s="1062" t="s">
        <v>1325</v>
      </c>
      <c r="N33" s="1062" t="s">
        <v>1326</v>
      </c>
      <c r="O33" s="1062" t="s">
        <v>1327</v>
      </c>
      <c r="P33" s="1062" t="s">
        <v>1328</v>
      </c>
      <c r="Q33" s="1062" t="s">
        <v>1329</v>
      </c>
    </row>
    <row r="34" spans="1:17" ht="14.25" customHeight="1" thickBot="1">
      <c r="A34" s="1068" t="s">
        <v>1304</v>
      </c>
      <c r="B34" s="1076" t="s">
        <v>1102</v>
      </c>
      <c r="C34" s="1062">
        <v>22070</v>
      </c>
      <c r="D34" s="1062">
        <v>20110</v>
      </c>
      <c r="E34" s="1062">
        <v>18830</v>
      </c>
      <c r="F34" s="1080">
        <v>5190</v>
      </c>
      <c r="H34" s="1084"/>
      <c r="M34" s="1062" t="s">
        <v>1330</v>
      </c>
      <c r="N34" s="1062" t="s">
        <v>1331</v>
      </c>
      <c r="O34" s="1062" t="s">
        <v>1332</v>
      </c>
      <c r="P34" s="1062" t="s">
        <v>1333</v>
      </c>
      <c r="Q34" s="1062" t="s">
        <v>1334</v>
      </c>
    </row>
    <row r="35" spans="1:17" ht="14.25" customHeight="1" thickBot="1">
      <c r="A35" s="1068" t="s">
        <v>1304</v>
      </c>
      <c r="B35" s="1076" t="s">
        <v>1113</v>
      </c>
      <c r="C35" s="1062">
        <v>22240</v>
      </c>
      <c r="D35" s="1062">
        <v>19550</v>
      </c>
      <c r="E35" s="1062">
        <v>19220</v>
      </c>
      <c r="F35" s="1080">
        <v>5800</v>
      </c>
      <c r="H35" s="1084"/>
      <c r="M35" s="1062" t="s">
        <v>1335</v>
      </c>
      <c r="N35" s="1062" t="s">
        <v>1336</v>
      </c>
      <c r="O35" s="1062" t="s">
        <v>1337</v>
      </c>
      <c r="P35" s="1062" t="s">
        <v>1338</v>
      </c>
      <c r="Q35" s="1062" t="s">
        <v>1339</v>
      </c>
    </row>
    <row r="36" spans="1:17" ht="14.25" customHeight="1" thickBot="1">
      <c r="A36" s="1068" t="s">
        <v>1304</v>
      </c>
      <c r="B36" s="1076" t="s">
        <v>1124</v>
      </c>
      <c r="C36" s="1062">
        <v>19750</v>
      </c>
      <c r="D36" s="1062">
        <v>19790</v>
      </c>
      <c r="E36" s="1062">
        <v>18510</v>
      </c>
      <c r="F36" s="1080">
        <v>6520</v>
      </c>
      <c r="H36" s="1084"/>
      <c r="N36" s="1062" t="s">
        <v>1340</v>
      </c>
      <c r="O36" s="1062" t="s">
        <v>1341</v>
      </c>
      <c r="P36" s="1062" t="s">
        <v>1342</v>
      </c>
      <c r="Q36" s="1062" t="s">
        <v>1343</v>
      </c>
    </row>
    <row r="37" spans="1:17" ht="14.25" customHeight="1" thickBot="1">
      <c r="A37" s="1068" t="s">
        <v>1304</v>
      </c>
      <c r="B37" s="1076" t="s">
        <v>1136</v>
      </c>
      <c r="C37" s="1062">
        <v>22380</v>
      </c>
      <c r="D37" s="1062">
        <v>18530</v>
      </c>
      <c r="E37" s="1062">
        <v>17930</v>
      </c>
      <c r="F37" s="1080">
        <v>6270</v>
      </c>
      <c r="H37" s="1086"/>
      <c r="N37" s="1062" t="s">
        <v>1344</v>
      </c>
      <c r="O37" s="1062" t="s">
        <v>1345</v>
      </c>
      <c r="P37" s="1062" t="s">
        <v>1346</v>
      </c>
      <c r="Q37" s="1062" t="s">
        <v>1347</v>
      </c>
    </row>
    <row r="38" spans="1:17" ht="14.25" customHeight="1" thickBot="1">
      <c r="A38" s="1068" t="s">
        <v>1304</v>
      </c>
      <c r="B38" s="1076" t="s">
        <v>1146</v>
      </c>
      <c r="C38" s="1062">
        <v>20200</v>
      </c>
      <c r="D38" s="1062">
        <v>20070</v>
      </c>
      <c r="E38" s="1062">
        <v>19950</v>
      </c>
      <c r="F38" s="1080"/>
      <c r="H38" s="1087"/>
      <c r="N38" s="1062" t="s">
        <v>1348</v>
      </c>
      <c r="O38" s="1062" t="s">
        <v>1349</v>
      </c>
      <c r="P38" s="1062" t="s">
        <v>1350</v>
      </c>
      <c r="Q38" s="1062" t="s">
        <v>1351</v>
      </c>
    </row>
    <row r="39" spans="1:17" ht="14.25" customHeight="1" thickBot="1">
      <c r="A39" s="1068" t="s">
        <v>1304</v>
      </c>
      <c r="B39" s="1076" t="s">
        <v>1156</v>
      </c>
      <c r="C39" s="1062">
        <v>19300</v>
      </c>
      <c r="D39" s="1062">
        <v>20360</v>
      </c>
      <c r="E39" s="1062">
        <v>20230</v>
      </c>
      <c r="F39" s="1080"/>
      <c r="H39" s="1087"/>
      <c r="N39" s="1062" t="s">
        <v>1352</v>
      </c>
      <c r="O39" s="1062" t="s">
        <v>1353</v>
      </c>
      <c r="P39" s="1062" t="s">
        <v>1354</v>
      </c>
      <c r="Q39" s="1062" t="s">
        <v>1355</v>
      </c>
    </row>
    <row r="40" spans="1:17" ht="14.25" customHeight="1" thickBot="1">
      <c r="A40" s="1068" t="s">
        <v>1304</v>
      </c>
      <c r="B40" s="1076" t="s">
        <v>1166</v>
      </c>
      <c r="C40" s="1062">
        <v>20210</v>
      </c>
      <c r="D40" s="1062">
        <v>19060</v>
      </c>
      <c r="E40" s="1062">
        <v>18890</v>
      </c>
      <c r="F40" s="1080"/>
      <c r="H40" s="1087"/>
      <c r="N40" s="1062" t="s">
        <v>1356</v>
      </c>
      <c r="O40" s="1062" t="s">
        <v>1357</v>
      </c>
      <c r="P40" s="1062" t="s">
        <v>1358</v>
      </c>
      <c r="Q40" s="1062" t="s">
        <v>1359</v>
      </c>
    </row>
    <row r="41" spans="1:17" ht="14.25" customHeight="1" thickBot="1">
      <c r="A41" s="1068" t="s">
        <v>1304</v>
      </c>
      <c r="B41" s="1076" t="s">
        <v>1176</v>
      </c>
      <c r="C41" s="1062">
        <v>20560</v>
      </c>
      <c r="D41" s="1062">
        <v>21040</v>
      </c>
      <c r="E41" s="1062">
        <v>20740</v>
      </c>
      <c r="F41" s="1080"/>
      <c r="H41" s="1087"/>
      <c r="N41" s="1076" t="s">
        <v>1360</v>
      </c>
      <c r="O41" s="1076" t="s">
        <v>1361</v>
      </c>
      <c r="Q41" s="1076" t="s">
        <v>1362</v>
      </c>
    </row>
    <row r="42" spans="1:17" ht="14.25" customHeight="1" thickBot="1">
      <c r="A42" s="1068" t="s">
        <v>1304</v>
      </c>
      <c r="B42" s="1076" t="s">
        <v>1186</v>
      </c>
      <c r="C42" s="1062">
        <v>19280</v>
      </c>
      <c r="D42" s="1062">
        <v>22940</v>
      </c>
      <c r="E42" s="1062">
        <v>22500</v>
      </c>
      <c r="F42" s="1080"/>
      <c r="H42" s="1087"/>
      <c r="N42" s="1062" t="s">
        <v>1363</v>
      </c>
      <c r="O42" s="1062" t="s">
        <v>1364</v>
      </c>
      <c r="Q42" s="1062" t="s">
        <v>1365</v>
      </c>
    </row>
    <row r="43" spans="1:17" ht="14.25" customHeight="1" thickBot="1">
      <c r="A43" s="1068" t="s">
        <v>1304</v>
      </c>
      <c r="B43" s="1076" t="s">
        <v>1196</v>
      </c>
      <c r="C43" s="1062">
        <v>21520</v>
      </c>
      <c r="D43" s="1062">
        <v>19230</v>
      </c>
      <c r="E43" s="1062">
        <v>18540</v>
      </c>
      <c r="F43" s="1080"/>
      <c r="H43" s="1087"/>
      <c r="N43" s="1062" t="s">
        <v>1366</v>
      </c>
      <c r="O43" s="1062" t="s">
        <v>1367</v>
      </c>
      <c r="Q43" s="1062" t="s">
        <v>1368</v>
      </c>
    </row>
    <row r="44" spans="1:17" ht="14.25" customHeight="1" thickBot="1">
      <c r="A44" s="1068" t="s">
        <v>1304</v>
      </c>
      <c r="B44" s="1076" t="s">
        <v>1206</v>
      </c>
      <c r="C44" s="1062">
        <v>23260</v>
      </c>
      <c r="D44" s="1062">
        <v>21180</v>
      </c>
      <c r="E44" s="1062">
        <v>20730</v>
      </c>
      <c r="F44" s="1080"/>
      <c r="H44" s="1087"/>
      <c r="N44" s="1062" t="s">
        <v>1369</v>
      </c>
      <c r="O44" s="1062" t="s">
        <v>1370</v>
      </c>
      <c r="Q44" s="1062" t="s">
        <v>1371</v>
      </c>
    </row>
    <row r="45" spans="1:17" ht="14.25" customHeight="1" thickBot="1">
      <c r="A45" s="1068" t="s">
        <v>1304</v>
      </c>
      <c r="B45" s="1076" t="s">
        <v>1216</v>
      </c>
      <c r="C45" s="1062">
        <v>19610</v>
      </c>
      <c r="D45" s="1062">
        <v>18090</v>
      </c>
      <c r="E45" s="1062">
        <v>17970</v>
      </c>
      <c r="F45" s="1080"/>
      <c r="H45" s="1084"/>
      <c r="N45" s="1062" t="s">
        <v>1372</v>
      </c>
      <c r="O45" s="1062" t="s">
        <v>1373</v>
      </c>
      <c r="Q45" s="1062" t="s">
        <v>1374</v>
      </c>
    </row>
    <row r="46" spans="1:17" ht="14.25" customHeight="1" thickBot="1">
      <c r="A46" s="1068" t="s">
        <v>1304</v>
      </c>
      <c r="B46" s="1076" t="s">
        <v>1226</v>
      </c>
      <c r="C46" s="1062">
        <v>21660</v>
      </c>
      <c r="D46" s="1062">
        <v>19190</v>
      </c>
      <c r="E46" s="1062">
        <v>19790</v>
      </c>
      <c r="F46" s="1080"/>
      <c r="H46" s="1087"/>
      <c r="N46" s="1062" t="s">
        <v>1375</v>
      </c>
      <c r="O46" s="1062" t="s">
        <v>1376</v>
      </c>
      <c r="Q46" s="1062" t="s">
        <v>1377</v>
      </c>
    </row>
    <row r="47" spans="1:17" ht="14.25" customHeight="1" thickBot="1">
      <c r="A47" s="1068" t="s">
        <v>1304</v>
      </c>
      <c r="B47" s="1076" t="s">
        <v>1236</v>
      </c>
      <c r="C47" s="1062">
        <v>18220</v>
      </c>
      <c r="D47" s="1062"/>
      <c r="E47" s="1062">
        <v>17220</v>
      </c>
      <c r="F47" s="1080"/>
      <c r="H47" s="1087"/>
      <c r="N47" s="1062" t="s">
        <v>1378</v>
      </c>
      <c r="O47" s="1062" t="s">
        <v>1379</v>
      </c>
    </row>
    <row r="48" spans="1:17" ht="14.25" customHeight="1" thickBot="1">
      <c r="A48" s="1068" t="s">
        <v>1304</v>
      </c>
      <c r="B48" s="1077" t="s">
        <v>1245</v>
      </c>
      <c r="C48" s="1078">
        <v>19430</v>
      </c>
      <c r="D48" s="1078"/>
      <c r="E48" s="1078">
        <v>17830</v>
      </c>
      <c r="F48" s="1088"/>
      <c r="H48" s="1084"/>
      <c r="N48" s="1062" t="s">
        <v>1380</v>
      </c>
      <c r="O48" s="1062" t="s">
        <v>1381</v>
      </c>
    </row>
    <row r="49" spans="1:15" ht="14.25" customHeight="1" thickBot="1">
      <c r="A49" s="1068" t="s">
        <v>903</v>
      </c>
      <c r="B49" s="1069" t="s">
        <v>1382</v>
      </c>
      <c r="C49" s="1069">
        <v>17090</v>
      </c>
      <c r="D49" s="1069">
        <v>16950</v>
      </c>
      <c r="E49" s="1069">
        <v>16310</v>
      </c>
      <c r="F49" s="1070">
        <v>4540</v>
      </c>
      <c r="H49" s="1087"/>
      <c r="N49" s="1062" t="s">
        <v>1383</v>
      </c>
      <c r="O49" s="1062" t="s">
        <v>1384</v>
      </c>
    </row>
    <row r="50" spans="1:15" ht="14.25" customHeight="1" thickBot="1">
      <c r="A50" s="1068" t="s">
        <v>903</v>
      </c>
      <c r="B50" s="1062" t="s">
        <v>1051</v>
      </c>
      <c r="C50" s="1062">
        <v>19040</v>
      </c>
      <c r="D50" s="1062">
        <v>16960</v>
      </c>
      <c r="E50" s="1062">
        <v>14800</v>
      </c>
      <c r="F50" s="1080">
        <v>3940</v>
      </c>
      <c r="H50" s="1087"/>
    </row>
    <row r="51" spans="1:15" ht="14.25" customHeight="1" thickBot="1">
      <c r="A51" s="1068" t="s">
        <v>903</v>
      </c>
      <c r="B51" s="1062" t="s">
        <v>1065</v>
      </c>
      <c r="C51" s="1062">
        <v>17040</v>
      </c>
      <c r="D51" s="1062">
        <v>16930</v>
      </c>
      <c r="E51" s="1062">
        <v>15030</v>
      </c>
      <c r="F51" s="1080">
        <v>4120</v>
      </c>
      <c r="H51" s="1087"/>
    </row>
    <row r="52" spans="1:15" ht="14.25" customHeight="1" thickBot="1">
      <c r="A52" s="1068" t="s">
        <v>903</v>
      </c>
      <c r="B52" s="1062" t="s">
        <v>1078</v>
      </c>
      <c r="C52" s="1062">
        <v>17110</v>
      </c>
      <c r="D52" s="1062">
        <v>17750</v>
      </c>
      <c r="E52" s="1062">
        <v>17310</v>
      </c>
      <c r="F52" s="1080">
        <v>3220</v>
      </c>
      <c r="H52" s="1087"/>
    </row>
    <row r="53" spans="1:15" ht="14.25" customHeight="1" thickBot="1">
      <c r="A53" s="1068" t="s">
        <v>903</v>
      </c>
      <c r="B53" s="1062" t="s">
        <v>1092</v>
      </c>
      <c r="C53" s="1062">
        <v>17810</v>
      </c>
      <c r="D53" s="1062">
        <v>17260</v>
      </c>
      <c r="E53" s="1062">
        <v>17090</v>
      </c>
      <c r="F53" s="1080">
        <v>3520</v>
      </c>
      <c r="H53" s="1087"/>
    </row>
    <row r="54" spans="1:15" ht="14.25" customHeight="1" thickBot="1">
      <c r="A54" s="1068" t="s">
        <v>903</v>
      </c>
      <c r="B54" s="1062" t="s">
        <v>1103</v>
      </c>
      <c r="C54" s="1062">
        <v>17410</v>
      </c>
      <c r="D54" s="1062">
        <v>16780</v>
      </c>
      <c r="E54" s="1062">
        <v>16370</v>
      </c>
      <c r="F54" s="1080">
        <v>3410</v>
      </c>
      <c r="H54" s="1087"/>
    </row>
    <row r="55" spans="1:15" ht="14.25" customHeight="1" thickBot="1">
      <c r="A55" s="1068" t="s">
        <v>903</v>
      </c>
      <c r="B55" s="1062" t="s">
        <v>1114</v>
      </c>
      <c r="C55" s="1062">
        <v>16930</v>
      </c>
      <c r="D55" s="1062">
        <v>14720</v>
      </c>
      <c r="E55" s="1062">
        <v>15000</v>
      </c>
      <c r="F55" s="1080">
        <v>3710</v>
      </c>
      <c r="H55" s="1087"/>
    </row>
    <row r="56" spans="1:15" ht="14.25" customHeight="1" thickBot="1">
      <c r="A56" s="1068" t="s">
        <v>903</v>
      </c>
      <c r="B56" s="1062" t="s">
        <v>1125</v>
      </c>
      <c r="C56" s="1062">
        <v>14930</v>
      </c>
      <c r="D56" s="1062">
        <v>15850</v>
      </c>
      <c r="E56" s="1062">
        <v>14320</v>
      </c>
      <c r="F56" s="1080">
        <v>3960</v>
      </c>
      <c r="H56" s="1087"/>
    </row>
    <row r="57" spans="1:15" ht="14.25" customHeight="1" thickBot="1">
      <c r="A57" s="1068" t="s">
        <v>903</v>
      </c>
      <c r="B57" s="1062" t="s">
        <v>1137</v>
      </c>
      <c r="C57" s="1062">
        <v>16160</v>
      </c>
      <c r="D57" s="1062">
        <v>16190</v>
      </c>
      <c r="E57" s="1062">
        <v>15650</v>
      </c>
      <c r="F57" s="1080">
        <v>4200</v>
      </c>
      <c r="H57" s="1087"/>
    </row>
    <row r="58" spans="1:15" ht="14.25" customHeight="1" thickBot="1">
      <c r="A58" s="1068" t="s">
        <v>903</v>
      </c>
      <c r="B58" s="1062" t="s">
        <v>1147</v>
      </c>
      <c r="C58" s="1062">
        <v>16360</v>
      </c>
      <c r="D58" s="1062">
        <v>14050</v>
      </c>
      <c r="E58" s="1062">
        <v>16070</v>
      </c>
      <c r="F58" s="1080">
        <v>3990</v>
      </c>
      <c r="H58" s="1087"/>
    </row>
    <row r="59" spans="1:15" ht="14.25" customHeight="1" thickBot="1">
      <c r="A59" s="1068" t="s">
        <v>903</v>
      </c>
      <c r="B59" s="1062" t="s">
        <v>1157</v>
      </c>
      <c r="C59" s="1062">
        <v>14160</v>
      </c>
      <c r="D59" s="1062">
        <v>16620</v>
      </c>
      <c r="E59" s="1062">
        <v>13940</v>
      </c>
      <c r="F59" s="1080">
        <v>4260</v>
      </c>
      <c r="H59" s="1087"/>
    </row>
    <row r="60" spans="1:15" ht="14.25" customHeight="1" thickBot="1">
      <c r="A60" s="1068" t="s">
        <v>903</v>
      </c>
      <c r="B60" s="1062" t="s">
        <v>1167</v>
      </c>
      <c r="C60" s="1062">
        <v>16750</v>
      </c>
      <c r="D60" s="1062">
        <v>13910</v>
      </c>
      <c r="E60" s="1062">
        <v>16550</v>
      </c>
      <c r="F60" s="1080">
        <v>4550</v>
      </c>
      <c r="H60" s="1087"/>
    </row>
    <row r="61" spans="1:15" ht="14.25" customHeight="1" thickBot="1">
      <c r="A61" s="1068" t="s">
        <v>903</v>
      </c>
      <c r="B61" s="1062" t="s">
        <v>1177</v>
      </c>
      <c r="C61" s="1062">
        <v>14000</v>
      </c>
      <c r="D61" s="1062">
        <v>14550</v>
      </c>
      <c r="E61" s="1062">
        <v>13860</v>
      </c>
      <c r="F61" s="1089"/>
      <c r="H61" s="1087"/>
    </row>
    <row r="62" spans="1:15" ht="14.25" customHeight="1" thickBot="1">
      <c r="A62" s="1068" t="s">
        <v>903</v>
      </c>
      <c r="B62" s="1062" t="s">
        <v>1187</v>
      </c>
      <c r="C62" s="1062">
        <v>14660</v>
      </c>
      <c r="D62" s="1062">
        <v>17450</v>
      </c>
      <c r="E62" s="1062">
        <v>14470</v>
      </c>
      <c r="F62" s="1089"/>
      <c r="H62" s="1087"/>
    </row>
    <row r="63" spans="1:15" ht="14.25" customHeight="1" thickBot="1">
      <c r="A63" s="1068" t="s">
        <v>903</v>
      </c>
      <c r="B63" s="1062" t="s">
        <v>1197</v>
      </c>
      <c r="C63" s="1062">
        <v>17610</v>
      </c>
      <c r="D63" s="1062">
        <v>16500</v>
      </c>
      <c r="E63" s="1062">
        <v>17330</v>
      </c>
      <c r="F63" s="1089"/>
      <c r="H63" s="1087"/>
    </row>
    <row r="64" spans="1:15" ht="14.25" customHeight="1" thickBot="1">
      <c r="A64" s="1068" t="s">
        <v>903</v>
      </c>
      <c r="B64" s="1062" t="s">
        <v>1207</v>
      </c>
      <c r="C64" s="1062">
        <v>16590</v>
      </c>
      <c r="D64" s="1062">
        <v>15130</v>
      </c>
      <c r="E64" s="1062">
        <v>16420</v>
      </c>
      <c r="F64" s="1089"/>
      <c r="H64" s="1087"/>
    </row>
    <row r="65" spans="1:8" s="1056" customFormat="1" ht="14.25" customHeight="1" thickBot="1">
      <c r="A65" s="1068" t="s">
        <v>903</v>
      </c>
      <c r="B65" s="1062" t="s">
        <v>1217</v>
      </c>
      <c r="C65" s="1062">
        <v>15220</v>
      </c>
      <c r="D65" s="1062">
        <v>14660</v>
      </c>
      <c r="E65" s="1062">
        <v>15060</v>
      </c>
      <c r="F65" s="1080"/>
      <c r="H65" s="1087"/>
    </row>
    <row r="66" spans="1:8" s="1056" customFormat="1" ht="14.25" customHeight="1" thickBot="1">
      <c r="A66" s="1068" t="s">
        <v>903</v>
      </c>
      <c r="B66" s="1062" t="s">
        <v>1227</v>
      </c>
      <c r="C66" s="1062">
        <v>14720</v>
      </c>
      <c r="D66" s="1062">
        <v>15970</v>
      </c>
      <c r="E66" s="1062">
        <v>14610</v>
      </c>
      <c r="F66" s="1080"/>
      <c r="H66" s="1087"/>
    </row>
    <row r="67" spans="1:8" s="1056" customFormat="1" ht="14.25" customHeight="1" thickBot="1">
      <c r="A67" s="1068" t="s">
        <v>903</v>
      </c>
      <c r="B67" s="1062" t="s">
        <v>1237</v>
      </c>
      <c r="C67" s="1062">
        <v>16080</v>
      </c>
      <c r="D67" s="1062">
        <v>14840</v>
      </c>
      <c r="E67" s="1062">
        <v>15630</v>
      </c>
      <c r="F67" s="1080"/>
      <c r="H67" s="1087"/>
    </row>
    <row r="68" spans="1:8" s="1056" customFormat="1" ht="14.25" customHeight="1" thickBot="1">
      <c r="A68" s="1068" t="s">
        <v>903</v>
      </c>
      <c r="B68" s="1062" t="s">
        <v>1246</v>
      </c>
      <c r="C68" s="1062">
        <v>14940</v>
      </c>
      <c r="D68" s="1062">
        <v>18000</v>
      </c>
      <c r="E68" s="1062">
        <v>14040</v>
      </c>
      <c r="F68" s="1080"/>
      <c r="H68" s="1087"/>
    </row>
    <row r="69" spans="1:8" s="1056" customFormat="1" ht="14.25" customHeight="1" thickBot="1">
      <c r="A69" s="1068" t="s">
        <v>903</v>
      </c>
      <c r="B69" s="1062" t="s">
        <v>1255</v>
      </c>
      <c r="C69" s="1062">
        <v>18810</v>
      </c>
      <c r="D69" s="1062">
        <v>15100</v>
      </c>
      <c r="E69" s="1062">
        <v>14710</v>
      </c>
      <c r="F69" s="1080"/>
      <c r="H69" s="1087"/>
    </row>
    <row r="70" spans="1:8" s="1056" customFormat="1" ht="14.25" customHeight="1" thickBot="1">
      <c r="A70" s="1068" t="s">
        <v>903</v>
      </c>
      <c r="B70" s="1062" t="s">
        <v>1263</v>
      </c>
      <c r="C70" s="1062">
        <v>18270</v>
      </c>
      <c r="D70" s="1062"/>
      <c r="E70" s="1062"/>
      <c r="F70" s="1080"/>
      <c r="H70" s="1087"/>
    </row>
    <row r="71" spans="1:8" s="1056" customFormat="1" ht="14.25" customHeight="1" thickBot="1">
      <c r="A71" s="1068" t="s">
        <v>903</v>
      </c>
      <c r="B71" s="1062" t="s">
        <v>1270</v>
      </c>
      <c r="C71" s="1062">
        <v>15230</v>
      </c>
      <c r="D71" s="1062"/>
      <c r="E71" s="1062"/>
      <c r="F71" s="1080"/>
      <c r="H71" s="1087"/>
    </row>
    <row r="72" spans="1:8" s="1056" customFormat="1" ht="14.25" customHeight="1" thickBot="1">
      <c r="A72" s="1068" t="s">
        <v>903</v>
      </c>
      <c r="B72" s="1062" t="s">
        <v>1277</v>
      </c>
      <c r="C72" s="1062"/>
      <c r="D72" s="1062"/>
      <c r="E72" s="1062"/>
      <c r="F72" s="1080">
        <v>4120</v>
      </c>
      <c r="H72" s="1087"/>
    </row>
    <row r="73" spans="1:8" s="1056" customFormat="1" ht="14.25" customHeight="1" thickBot="1">
      <c r="A73" s="1068" t="s">
        <v>903</v>
      </c>
      <c r="B73" s="1062" t="s">
        <v>1284</v>
      </c>
      <c r="C73" s="1062"/>
      <c r="D73" s="1062"/>
      <c r="E73" s="1062"/>
      <c r="F73" s="1080">
        <v>3930</v>
      </c>
      <c r="H73" s="1087"/>
    </row>
    <row r="74" spans="1:8" s="1056" customFormat="1" ht="14.25" customHeight="1" thickBot="1">
      <c r="A74" s="1068" t="s">
        <v>903</v>
      </c>
      <c r="B74" s="1062" t="s">
        <v>1291</v>
      </c>
      <c r="C74" s="1062"/>
      <c r="D74" s="1062"/>
      <c r="E74" s="1062"/>
      <c r="F74" s="1080">
        <v>4060</v>
      </c>
      <c r="H74" s="1087"/>
    </row>
    <row r="75" spans="1:8" s="1056" customFormat="1" ht="14.25" customHeight="1" thickBot="1">
      <c r="A75" s="1068" t="s">
        <v>903</v>
      </c>
      <c r="B75" s="1078" t="s">
        <v>1298</v>
      </c>
      <c r="C75" s="1078"/>
      <c r="D75" s="1078"/>
      <c r="E75" s="1078"/>
      <c r="F75" s="1088">
        <v>3750</v>
      </c>
      <c r="H75" s="1087"/>
    </row>
    <row r="76" spans="1:8" s="1056" customFormat="1" ht="14.25" customHeight="1" thickBot="1">
      <c r="A76" s="1068" t="s">
        <v>1385</v>
      </c>
      <c r="B76" s="1069" t="s">
        <v>1386</v>
      </c>
      <c r="C76" s="1069">
        <v>14690</v>
      </c>
      <c r="D76" s="1069">
        <v>14640</v>
      </c>
      <c r="E76" s="1069">
        <v>14590</v>
      </c>
      <c r="F76" s="1070">
        <v>3060</v>
      </c>
      <c r="H76" s="1087"/>
    </row>
    <row r="77" spans="1:8" s="1056" customFormat="1" ht="14.25" customHeight="1" thickBot="1">
      <c r="A77" s="1068" t="s">
        <v>1385</v>
      </c>
      <c r="B77" s="1062" t="s">
        <v>1052</v>
      </c>
      <c r="C77" s="1062">
        <v>12550</v>
      </c>
      <c r="D77" s="1062">
        <v>12480</v>
      </c>
      <c r="E77" s="1062">
        <v>12450</v>
      </c>
      <c r="F77" s="1080">
        <v>2590</v>
      </c>
      <c r="H77" s="1087"/>
    </row>
    <row r="78" spans="1:8" s="1056" customFormat="1" ht="14.25" customHeight="1" thickBot="1">
      <c r="A78" s="1068" t="s">
        <v>1385</v>
      </c>
      <c r="B78" s="1062" t="s">
        <v>1066</v>
      </c>
      <c r="C78" s="1062">
        <v>14360</v>
      </c>
      <c r="D78" s="1062">
        <v>14320</v>
      </c>
      <c r="E78" s="1062">
        <v>12510</v>
      </c>
      <c r="F78" s="1080">
        <v>2700</v>
      </c>
      <c r="H78" s="1087"/>
    </row>
    <row r="79" spans="1:8" s="1056" customFormat="1" ht="14.25" customHeight="1" thickBot="1">
      <c r="A79" s="1068" t="s">
        <v>1385</v>
      </c>
      <c r="B79" s="1062" t="s">
        <v>1079</v>
      </c>
      <c r="C79" s="1062">
        <v>12590</v>
      </c>
      <c r="D79" s="1062">
        <v>12540</v>
      </c>
      <c r="E79" s="1062">
        <v>12350</v>
      </c>
      <c r="F79" s="1080">
        <v>2740</v>
      </c>
      <c r="H79" s="1087"/>
    </row>
    <row r="80" spans="1:8" s="1056" customFormat="1" ht="14.25" customHeight="1" thickBot="1">
      <c r="A80" s="1068" t="s">
        <v>1385</v>
      </c>
      <c r="B80" s="1062" t="s">
        <v>1093</v>
      </c>
      <c r="C80" s="1062">
        <v>12450</v>
      </c>
      <c r="D80" s="1062">
        <v>12370</v>
      </c>
      <c r="E80" s="1062">
        <v>10790</v>
      </c>
      <c r="F80" s="1080">
        <v>2290</v>
      </c>
      <c r="H80" s="1087"/>
    </row>
    <row r="81" spans="1:8" s="1056" customFormat="1" ht="14.25" customHeight="1" thickBot="1">
      <c r="A81" s="1068" t="s">
        <v>1385</v>
      </c>
      <c r="B81" s="1062" t="s">
        <v>1104</v>
      </c>
      <c r="C81" s="1062">
        <v>14210</v>
      </c>
      <c r="D81" s="1062">
        <v>14150</v>
      </c>
      <c r="E81" s="1062">
        <v>12730</v>
      </c>
      <c r="F81" s="1080">
        <v>2240</v>
      </c>
      <c r="H81" s="1087"/>
    </row>
    <row r="82" spans="1:8" s="1056" customFormat="1" ht="14.25" customHeight="1" thickBot="1">
      <c r="A82" s="1068" t="s">
        <v>1385</v>
      </c>
      <c r="B82" s="1062" t="s">
        <v>1115</v>
      </c>
      <c r="C82" s="1062">
        <v>10860</v>
      </c>
      <c r="D82" s="1062">
        <v>10820</v>
      </c>
      <c r="E82" s="1062">
        <v>14720</v>
      </c>
      <c r="F82" s="1080">
        <v>2490</v>
      </c>
      <c r="H82" s="1087"/>
    </row>
    <row r="83" spans="1:8" s="1056" customFormat="1" ht="14.25" customHeight="1" thickBot="1">
      <c r="A83" s="1068" t="s">
        <v>1385</v>
      </c>
      <c r="B83" s="1062" t="s">
        <v>1126</v>
      </c>
      <c r="C83" s="1062">
        <v>12810</v>
      </c>
      <c r="D83" s="1062">
        <v>12760</v>
      </c>
      <c r="E83" s="1062">
        <v>14830</v>
      </c>
      <c r="F83" s="1080">
        <v>2450</v>
      </c>
      <c r="H83" s="1087"/>
    </row>
    <row r="84" spans="1:8" s="1056" customFormat="1" ht="14.25" customHeight="1" thickBot="1">
      <c r="A84" s="1068" t="s">
        <v>1385</v>
      </c>
      <c r="B84" s="1062" t="s">
        <v>1138</v>
      </c>
      <c r="C84" s="1062">
        <v>14950</v>
      </c>
      <c r="D84" s="1062">
        <v>14810</v>
      </c>
      <c r="E84" s="1062">
        <v>12590</v>
      </c>
      <c r="F84" s="1080">
        <v>2540</v>
      </c>
      <c r="H84" s="1087"/>
    </row>
    <row r="85" spans="1:8" s="1056" customFormat="1" ht="14.25" customHeight="1" thickBot="1">
      <c r="A85" s="1068" t="s">
        <v>1385</v>
      </c>
      <c r="B85" s="1062" t="s">
        <v>1148</v>
      </c>
      <c r="C85" s="1062">
        <v>14960</v>
      </c>
      <c r="D85" s="1062">
        <v>14890</v>
      </c>
      <c r="E85" s="1062">
        <v>12840</v>
      </c>
      <c r="F85" s="1080">
        <v>2840</v>
      </c>
      <c r="H85" s="1087"/>
    </row>
    <row r="86" spans="1:8" s="1056" customFormat="1" ht="14.25" customHeight="1" thickBot="1">
      <c r="A86" s="1068" t="s">
        <v>1385</v>
      </c>
      <c r="B86" s="1062" t="s">
        <v>1158</v>
      </c>
      <c r="C86" s="1062">
        <v>12730</v>
      </c>
      <c r="D86" s="1062">
        <v>12660</v>
      </c>
      <c r="E86" s="1062">
        <v>13310</v>
      </c>
      <c r="F86" s="1080">
        <v>3140</v>
      </c>
      <c r="H86" s="1087"/>
    </row>
    <row r="87" spans="1:8" s="1056" customFormat="1" ht="14.25" customHeight="1" thickBot="1">
      <c r="A87" s="1068" t="s">
        <v>1385</v>
      </c>
      <c r="B87" s="1062" t="s">
        <v>1168</v>
      </c>
      <c r="C87" s="1062">
        <v>12940</v>
      </c>
      <c r="D87" s="1062">
        <v>12890</v>
      </c>
      <c r="E87" s="1062">
        <v>11580</v>
      </c>
      <c r="F87" s="1089"/>
      <c r="H87" s="1087"/>
    </row>
    <row r="88" spans="1:8" s="1056" customFormat="1" ht="14.25" customHeight="1" thickBot="1">
      <c r="A88" s="1068" t="s">
        <v>1385</v>
      </c>
      <c r="B88" s="1062" t="s">
        <v>1178</v>
      </c>
      <c r="C88" s="1062">
        <v>13430</v>
      </c>
      <c r="D88" s="1062">
        <v>13360</v>
      </c>
      <c r="E88" s="1062">
        <v>12790</v>
      </c>
      <c r="F88" s="1089"/>
      <c r="H88" s="1087"/>
    </row>
    <row r="89" spans="1:8" s="1056" customFormat="1" ht="14.25" customHeight="1" thickBot="1">
      <c r="A89" s="1068" t="s">
        <v>1385</v>
      </c>
      <c r="B89" s="1062" t="s">
        <v>1188</v>
      </c>
      <c r="C89" s="1062">
        <v>11680</v>
      </c>
      <c r="D89" s="1062">
        <v>11630</v>
      </c>
      <c r="E89" s="1062">
        <v>11320</v>
      </c>
      <c r="F89" s="1089"/>
      <c r="H89" s="1087"/>
    </row>
    <row r="90" spans="1:8" s="1056" customFormat="1" ht="14.25" customHeight="1" thickBot="1">
      <c r="A90" s="1068" t="s">
        <v>1385</v>
      </c>
      <c r="B90" s="1062" t="s">
        <v>1198</v>
      </c>
      <c r="C90" s="1062">
        <v>12890</v>
      </c>
      <c r="D90" s="1062">
        <v>12820</v>
      </c>
      <c r="E90" s="1062">
        <v>12710</v>
      </c>
      <c r="F90" s="1089"/>
      <c r="H90" s="1087"/>
    </row>
    <row r="91" spans="1:8" s="1056" customFormat="1" ht="14.25" customHeight="1" thickBot="1">
      <c r="A91" s="1068" t="s">
        <v>1385</v>
      </c>
      <c r="B91" s="1062" t="s">
        <v>1208</v>
      </c>
      <c r="C91" s="1062">
        <v>11410</v>
      </c>
      <c r="D91" s="1062">
        <v>11360</v>
      </c>
      <c r="E91" s="1062">
        <v>12670</v>
      </c>
      <c r="F91" s="1089"/>
      <c r="H91" s="1087"/>
    </row>
    <row r="92" spans="1:8" s="1056" customFormat="1" ht="14.25" customHeight="1" thickBot="1">
      <c r="A92" s="1068" t="s">
        <v>1385</v>
      </c>
      <c r="B92" s="1062" t="s">
        <v>1218</v>
      </c>
      <c r="C92" s="1062">
        <v>12770</v>
      </c>
      <c r="D92" s="1062">
        <v>12740</v>
      </c>
      <c r="E92" s="1062">
        <v>11970</v>
      </c>
      <c r="F92" s="1089"/>
      <c r="H92" s="1087"/>
    </row>
    <row r="93" spans="1:8" s="1056" customFormat="1" ht="14.25" customHeight="1" thickBot="1">
      <c r="A93" s="1068" t="s">
        <v>1385</v>
      </c>
      <c r="B93" s="1062" t="s">
        <v>1228</v>
      </c>
      <c r="C93" s="1062">
        <v>12740</v>
      </c>
      <c r="D93" s="1062">
        <v>12700</v>
      </c>
      <c r="E93" s="1062">
        <v>12540</v>
      </c>
      <c r="F93" s="1089"/>
      <c r="H93" s="1087"/>
    </row>
    <row r="94" spans="1:8" s="1056" customFormat="1" ht="14.25" customHeight="1" thickBot="1">
      <c r="A94" s="1068" t="s">
        <v>1385</v>
      </c>
      <c r="B94" s="1062" t="s">
        <v>1238</v>
      </c>
      <c r="C94" s="1062">
        <v>12020</v>
      </c>
      <c r="D94" s="1062">
        <v>11990</v>
      </c>
      <c r="E94" s="1062">
        <v>13110</v>
      </c>
      <c r="F94" s="1089"/>
      <c r="H94" s="1087"/>
    </row>
    <row r="95" spans="1:8" s="1056" customFormat="1" ht="14.25" customHeight="1" thickBot="1">
      <c r="A95" s="1068" t="s">
        <v>1385</v>
      </c>
      <c r="B95" s="1062" t="s">
        <v>1247</v>
      </c>
      <c r="C95" s="1062">
        <v>12620</v>
      </c>
      <c r="D95" s="1062">
        <v>12580</v>
      </c>
      <c r="E95" s="1062">
        <v>13160</v>
      </c>
      <c r="F95" s="1080"/>
      <c r="H95" s="1087"/>
    </row>
    <row r="96" spans="1:8" s="1056" customFormat="1" ht="14.25" customHeight="1" thickBot="1">
      <c r="A96" s="1068" t="s">
        <v>1385</v>
      </c>
      <c r="B96" s="1062" t="s">
        <v>1256</v>
      </c>
      <c r="C96" s="1062">
        <v>13200</v>
      </c>
      <c r="D96" s="1062">
        <v>13150</v>
      </c>
      <c r="E96" s="1062">
        <v>12900</v>
      </c>
      <c r="F96" s="1080"/>
      <c r="H96" s="1087"/>
    </row>
    <row r="97" spans="1:8" s="1056" customFormat="1" ht="14.25" customHeight="1" thickBot="1">
      <c r="A97" s="1068" t="s">
        <v>1385</v>
      </c>
      <c r="B97" s="1062" t="s">
        <v>1264</v>
      </c>
      <c r="C97" s="1062">
        <v>13270</v>
      </c>
      <c r="D97" s="1062">
        <v>13210</v>
      </c>
      <c r="E97" s="1062">
        <v>11080</v>
      </c>
      <c r="F97" s="1080"/>
      <c r="H97" s="1087"/>
    </row>
    <row r="98" spans="1:8" s="1056" customFormat="1" ht="14.25" customHeight="1" thickBot="1">
      <c r="A98" s="1068" t="s">
        <v>1385</v>
      </c>
      <c r="B98" s="1062" t="s">
        <v>1271</v>
      </c>
      <c r="C98" s="1062">
        <v>13010</v>
      </c>
      <c r="D98" s="1062">
        <v>12930</v>
      </c>
      <c r="E98" s="1062">
        <v>12840</v>
      </c>
      <c r="F98" s="1080"/>
      <c r="H98" s="1087"/>
    </row>
    <row r="99" spans="1:8" s="1056" customFormat="1" ht="14.25" customHeight="1" thickBot="1">
      <c r="A99" s="1068" t="s">
        <v>1385</v>
      </c>
      <c r="B99" s="1062" t="s">
        <v>1278</v>
      </c>
      <c r="C99" s="1062">
        <v>11190</v>
      </c>
      <c r="D99" s="1062">
        <v>11130</v>
      </c>
      <c r="E99" s="1062"/>
      <c r="F99" s="1080"/>
      <c r="H99" s="1087"/>
    </row>
    <row r="100" spans="1:8" s="1056" customFormat="1" ht="14.25" customHeight="1" thickBot="1">
      <c r="A100" s="1068" t="s">
        <v>1385</v>
      </c>
      <c r="B100" s="1062" t="s">
        <v>1285</v>
      </c>
      <c r="C100" s="1062">
        <v>14280</v>
      </c>
      <c r="D100" s="1062">
        <v>14180</v>
      </c>
      <c r="E100" s="1062"/>
      <c r="F100" s="1080"/>
      <c r="H100" s="1087"/>
    </row>
    <row r="101" spans="1:8" s="1056" customFormat="1" ht="14.25" customHeight="1" thickBot="1">
      <c r="A101" s="1068" t="s">
        <v>1385</v>
      </c>
      <c r="B101" s="1062" t="s">
        <v>1292</v>
      </c>
      <c r="C101" s="1062">
        <v>12960</v>
      </c>
      <c r="D101" s="1062">
        <v>12890</v>
      </c>
      <c r="E101" s="1062"/>
      <c r="F101" s="1080"/>
      <c r="H101" s="1087"/>
    </row>
    <row r="102" spans="1:8" s="1056" customFormat="1" ht="14.25" customHeight="1" thickBot="1">
      <c r="A102" s="1068" t="s">
        <v>1385</v>
      </c>
      <c r="B102" s="1062" t="s">
        <v>1299</v>
      </c>
      <c r="C102" s="1062"/>
      <c r="D102" s="1062"/>
      <c r="E102" s="1062"/>
      <c r="F102" s="1080">
        <v>3100</v>
      </c>
      <c r="H102" s="1087"/>
    </row>
    <row r="103" spans="1:8" s="1056" customFormat="1" ht="14.25" customHeight="1" thickBot="1">
      <c r="A103" s="1068" t="s">
        <v>1385</v>
      </c>
      <c r="B103" s="1062" t="s">
        <v>1306</v>
      </c>
      <c r="C103" s="1062"/>
      <c r="D103" s="1062"/>
      <c r="E103" s="1062"/>
      <c r="F103" s="1080">
        <v>2320</v>
      </c>
      <c r="H103" s="1087"/>
    </row>
    <row r="104" spans="1:8" s="1056" customFormat="1" ht="14.25" customHeight="1" thickBot="1">
      <c r="A104" s="1068" t="s">
        <v>1385</v>
      </c>
      <c r="B104" s="1062" t="s">
        <v>1311</v>
      </c>
      <c r="C104" s="1062"/>
      <c r="D104" s="1062"/>
      <c r="E104" s="1062"/>
      <c r="F104" s="1080">
        <v>2320</v>
      </c>
      <c r="H104" s="1087"/>
    </row>
    <row r="105" spans="1:8" s="1056" customFormat="1" ht="14.25" customHeight="1" thickBot="1">
      <c r="A105" s="1068" t="s">
        <v>1385</v>
      </c>
      <c r="B105" s="1062" t="s">
        <v>1315</v>
      </c>
      <c r="C105" s="1062"/>
      <c r="D105" s="1062"/>
      <c r="E105" s="1062"/>
      <c r="F105" s="1080">
        <v>2320</v>
      </c>
      <c r="H105" s="1087"/>
    </row>
    <row r="106" spans="1:8" s="1056" customFormat="1" ht="14.25" customHeight="1" thickBot="1">
      <c r="A106" s="1068" t="s">
        <v>1385</v>
      </c>
      <c r="B106" s="1062" t="s">
        <v>1320</v>
      </c>
      <c r="C106" s="1062"/>
      <c r="D106" s="1062"/>
      <c r="E106" s="1062"/>
      <c r="F106" s="1080">
        <v>2320</v>
      </c>
      <c r="H106" s="1087"/>
    </row>
    <row r="107" spans="1:8" s="1056" customFormat="1" ht="14.25" customHeight="1" thickBot="1">
      <c r="A107" s="1068" t="s">
        <v>1385</v>
      </c>
      <c r="B107" s="1062" t="s">
        <v>1325</v>
      </c>
      <c r="C107" s="1062"/>
      <c r="D107" s="1062"/>
      <c r="E107" s="1062"/>
      <c r="F107" s="1080">
        <v>2280</v>
      </c>
      <c r="H107" s="1087"/>
    </row>
    <row r="108" spans="1:8" s="1056" customFormat="1" ht="14.25" customHeight="1" thickBot="1">
      <c r="A108" s="1068" t="s">
        <v>1385</v>
      </c>
      <c r="B108" s="1062" t="s">
        <v>1330</v>
      </c>
      <c r="C108" s="1062"/>
      <c r="D108" s="1062"/>
      <c r="E108" s="1062"/>
      <c r="F108" s="1080">
        <v>2280</v>
      </c>
      <c r="H108" s="1087"/>
    </row>
    <row r="109" spans="1:8" s="1056" customFormat="1" ht="14.25" customHeight="1" thickBot="1">
      <c r="A109" s="1068" t="s">
        <v>1385</v>
      </c>
      <c r="B109" s="1078" t="s">
        <v>1335</v>
      </c>
      <c r="C109" s="1078"/>
      <c r="D109" s="1078"/>
      <c r="E109" s="1078"/>
      <c r="F109" s="1088">
        <v>2280</v>
      </c>
      <c r="H109" s="1087"/>
    </row>
    <row r="110" spans="1:8" s="1056" customFormat="1" ht="14.25" customHeight="1" thickBot="1">
      <c r="A110" s="1068" t="s">
        <v>1387</v>
      </c>
      <c r="B110" s="1069" t="s">
        <v>1388</v>
      </c>
      <c r="C110" s="1069">
        <v>10520</v>
      </c>
      <c r="D110" s="1069">
        <v>10490</v>
      </c>
      <c r="E110" s="1069">
        <v>10760</v>
      </c>
      <c r="F110" s="1070">
        <v>2160</v>
      </c>
      <c r="H110" s="1087"/>
    </row>
    <row r="111" spans="1:8" s="1056" customFormat="1" ht="14.25" customHeight="1" thickBot="1">
      <c r="A111" s="1068" t="s">
        <v>1387</v>
      </c>
      <c r="B111" s="1062" t="s">
        <v>1053</v>
      </c>
      <c r="C111" s="1062">
        <v>10090</v>
      </c>
      <c r="D111" s="1062">
        <v>10060</v>
      </c>
      <c r="E111" s="1062">
        <v>10300</v>
      </c>
      <c r="F111" s="1080">
        <v>2010</v>
      </c>
      <c r="H111" s="1087"/>
    </row>
    <row r="112" spans="1:8" s="1056" customFormat="1" ht="14.25" customHeight="1" thickBot="1">
      <c r="A112" s="1068" t="s">
        <v>1387</v>
      </c>
      <c r="B112" s="1062" t="s">
        <v>1067</v>
      </c>
      <c r="C112" s="1062">
        <v>9910</v>
      </c>
      <c r="D112" s="1062">
        <v>9850</v>
      </c>
      <c r="E112" s="1062">
        <v>9960</v>
      </c>
      <c r="F112" s="1080">
        <v>2090</v>
      </c>
      <c r="H112" s="1087"/>
    </row>
    <row r="113" spans="1:8" s="1056" customFormat="1" ht="14.25" customHeight="1" thickBot="1">
      <c r="A113" s="1068" t="s">
        <v>1387</v>
      </c>
      <c r="B113" s="1062" t="s">
        <v>1080</v>
      </c>
      <c r="C113" s="1062">
        <v>11430</v>
      </c>
      <c r="D113" s="1062">
        <v>11400</v>
      </c>
      <c r="E113" s="1062">
        <v>11710</v>
      </c>
      <c r="F113" s="1080">
        <v>2050</v>
      </c>
      <c r="H113" s="1087"/>
    </row>
    <row r="114" spans="1:8" s="1056" customFormat="1" ht="14.25" customHeight="1" thickBot="1">
      <c r="A114" s="1068" t="s">
        <v>1387</v>
      </c>
      <c r="B114" s="1062" t="s">
        <v>1094</v>
      </c>
      <c r="C114" s="1062">
        <v>11390</v>
      </c>
      <c r="D114" s="1062">
        <v>11350</v>
      </c>
      <c r="E114" s="1062">
        <v>11640</v>
      </c>
      <c r="F114" s="1080">
        <v>1620</v>
      </c>
      <c r="H114" s="1087"/>
    </row>
    <row r="115" spans="1:8" s="1056" customFormat="1" ht="14.25" customHeight="1" thickBot="1">
      <c r="A115" s="1068" t="s">
        <v>1387</v>
      </c>
      <c r="B115" s="1062" t="s">
        <v>1105</v>
      </c>
      <c r="C115" s="1062">
        <v>9930</v>
      </c>
      <c r="D115" s="1062">
        <v>9900</v>
      </c>
      <c r="E115" s="1062">
        <v>10160</v>
      </c>
      <c r="F115" s="1080">
        <v>1580</v>
      </c>
      <c r="H115" s="1087"/>
    </row>
    <row r="116" spans="1:8" s="1056" customFormat="1" ht="14.25" customHeight="1" thickBot="1">
      <c r="A116" s="1068" t="s">
        <v>1387</v>
      </c>
      <c r="B116" s="1062" t="s">
        <v>1116</v>
      </c>
      <c r="C116" s="1062">
        <v>9150</v>
      </c>
      <c r="D116" s="1062">
        <v>9120</v>
      </c>
      <c r="E116" s="1062">
        <v>9380</v>
      </c>
      <c r="F116" s="1080">
        <v>1750</v>
      </c>
      <c r="H116" s="1087"/>
    </row>
    <row r="117" spans="1:8" s="1056" customFormat="1" ht="14.25" customHeight="1" thickBot="1">
      <c r="A117" s="1068" t="s">
        <v>1387</v>
      </c>
      <c r="B117" s="1062" t="s">
        <v>1127</v>
      </c>
      <c r="C117" s="1062">
        <v>10680</v>
      </c>
      <c r="D117" s="1062">
        <v>10650</v>
      </c>
      <c r="E117" s="1062">
        <v>10970</v>
      </c>
      <c r="F117" s="1080">
        <v>1730</v>
      </c>
      <c r="H117" s="1087"/>
    </row>
    <row r="118" spans="1:8" s="1056" customFormat="1" ht="14.25" customHeight="1" thickBot="1">
      <c r="A118" s="1068" t="s">
        <v>1387</v>
      </c>
      <c r="B118" s="1062" t="s">
        <v>1139</v>
      </c>
      <c r="C118" s="1062">
        <v>10080</v>
      </c>
      <c r="D118" s="1062">
        <v>10050</v>
      </c>
      <c r="E118" s="1062">
        <v>10350</v>
      </c>
      <c r="F118" s="1080">
        <v>1920</v>
      </c>
      <c r="H118" s="1087"/>
    </row>
    <row r="119" spans="1:8" s="1056" customFormat="1" ht="14.25" customHeight="1" thickBot="1">
      <c r="A119" s="1068" t="s">
        <v>1387</v>
      </c>
      <c r="B119" s="1062" t="s">
        <v>1149</v>
      </c>
      <c r="C119" s="1062">
        <v>9450</v>
      </c>
      <c r="D119" s="1062">
        <v>9410</v>
      </c>
      <c r="E119" s="1062">
        <v>9680</v>
      </c>
      <c r="F119" s="1080">
        <v>1880</v>
      </c>
      <c r="H119" s="1087"/>
    </row>
    <row r="120" spans="1:8" s="1056" customFormat="1" ht="14.25" customHeight="1" thickBot="1">
      <c r="A120" s="1068" t="s">
        <v>1387</v>
      </c>
      <c r="B120" s="1062" t="s">
        <v>1159</v>
      </c>
      <c r="C120" s="1062">
        <v>8730</v>
      </c>
      <c r="D120" s="1062">
        <v>8700</v>
      </c>
      <c r="E120" s="1062">
        <v>8950</v>
      </c>
      <c r="F120" s="1080">
        <v>1830</v>
      </c>
      <c r="H120" s="1087"/>
    </row>
    <row r="121" spans="1:8" s="1056" customFormat="1" ht="14.25" customHeight="1" thickBot="1">
      <c r="A121" s="1068" t="s">
        <v>1387</v>
      </c>
      <c r="B121" s="1062" t="s">
        <v>1169</v>
      </c>
      <c r="C121" s="1062">
        <v>10070</v>
      </c>
      <c r="D121" s="1062">
        <v>10040</v>
      </c>
      <c r="E121" s="1062">
        <v>10270</v>
      </c>
      <c r="F121" s="1080">
        <v>1960</v>
      </c>
      <c r="H121" s="1087"/>
    </row>
    <row r="122" spans="1:8" s="1056" customFormat="1" ht="14.25" customHeight="1" thickBot="1">
      <c r="A122" s="1068" t="s">
        <v>1387</v>
      </c>
      <c r="B122" s="1062" t="s">
        <v>1179</v>
      </c>
      <c r="C122" s="1062">
        <v>10500</v>
      </c>
      <c r="D122" s="1062">
        <v>10470</v>
      </c>
      <c r="E122" s="1062">
        <v>10780</v>
      </c>
      <c r="F122" s="1080">
        <v>2180</v>
      </c>
      <c r="H122" s="1087"/>
    </row>
    <row r="123" spans="1:8" s="1056" customFormat="1" ht="14.25" customHeight="1" thickBot="1">
      <c r="A123" s="1068" t="s">
        <v>1387</v>
      </c>
      <c r="B123" s="1062" t="s">
        <v>1189</v>
      </c>
      <c r="C123" s="1062">
        <v>10390</v>
      </c>
      <c r="D123" s="1062">
        <v>10360</v>
      </c>
      <c r="E123" s="1062">
        <v>10660</v>
      </c>
      <c r="F123" s="1080">
        <v>2040</v>
      </c>
      <c r="H123" s="1087"/>
    </row>
    <row r="124" spans="1:8" s="1056" customFormat="1" ht="14.25" customHeight="1" thickBot="1">
      <c r="A124" s="1068" t="s">
        <v>1387</v>
      </c>
      <c r="B124" s="1062" t="s">
        <v>1199</v>
      </c>
      <c r="C124" s="1062">
        <v>10390</v>
      </c>
      <c r="D124" s="1062">
        <v>10360</v>
      </c>
      <c r="E124" s="1062">
        <v>10680</v>
      </c>
      <c r="F124" s="1089"/>
      <c r="H124" s="1087"/>
    </row>
    <row r="125" spans="1:8" s="1056" customFormat="1" ht="14.25" customHeight="1" thickBot="1">
      <c r="A125" s="1068" t="s">
        <v>1387</v>
      </c>
      <c r="B125" s="1062" t="s">
        <v>1209</v>
      </c>
      <c r="C125" s="1062">
        <v>10440</v>
      </c>
      <c r="D125" s="1062">
        <v>10410</v>
      </c>
      <c r="E125" s="1062">
        <v>10710</v>
      </c>
      <c r="F125" s="1089"/>
      <c r="H125" s="1087"/>
    </row>
    <row r="126" spans="1:8" s="1056" customFormat="1" ht="14.25" customHeight="1" thickBot="1">
      <c r="A126" s="1068" t="s">
        <v>1387</v>
      </c>
      <c r="B126" s="1062" t="s">
        <v>1219</v>
      </c>
      <c r="C126" s="1062">
        <v>10780</v>
      </c>
      <c r="D126" s="1062">
        <v>10750</v>
      </c>
      <c r="E126" s="1062">
        <v>11080</v>
      </c>
      <c r="F126" s="1089"/>
      <c r="H126" s="1087"/>
    </row>
    <row r="127" spans="1:8" s="1056" customFormat="1" ht="14.25" customHeight="1" thickBot="1">
      <c r="A127" s="1068" t="s">
        <v>1387</v>
      </c>
      <c r="B127" s="1062" t="s">
        <v>1229</v>
      </c>
      <c r="C127" s="1062">
        <v>10100</v>
      </c>
      <c r="D127" s="1062">
        <v>10070</v>
      </c>
      <c r="E127" s="1062">
        <v>10350</v>
      </c>
      <c r="F127" s="1089"/>
      <c r="H127" s="1087"/>
    </row>
    <row r="128" spans="1:8" s="1056" customFormat="1" ht="14.25" customHeight="1" thickBot="1">
      <c r="A128" s="1068" t="s">
        <v>1387</v>
      </c>
      <c r="B128" s="1062" t="s">
        <v>1239</v>
      </c>
      <c r="C128" s="1062">
        <v>9200</v>
      </c>
      <c r="D128" s="1062">
        <v>9160</v>
      </c>
      <c r="E128" s="1062">
        <v>9660</v>
      </c>
      <c r="F128" s="1089"/>
      <c r="H128" s="1087"/>
    </row>
    <row r="129" spans="1:8" s="1056" customFormat="1" ht="14.25" customHeight="1" thickBot="1">
      <c r="A129" s="1068" t="s">
        <v>1387</v>
      </c>
      <c r="B129" s="1062" t="s">
        <v>1248</v>
      </c>
      <c r="C129" s="1062">
        <v>10340</v>
      </c>
      <c r="D129" s="1062">
        <v>10310</v>
      </c>
      <c r="E129" s="1062">
        <v>10580</v>
      </c>
      <c r="F129" s="1089"/>
      <c r="H129" s="1087"/>
    </row>
    <row r="130" spans="1:8" s="1056" customFormat="1" ht="14.25" customHeight="1" thickBot="1">
      <c r="A130" s="1068" t="s">
        <v>1387</v>
      </c>
      <c r="B130" s="1062" t="s">
        <v>1257</v>
      </c>
      <c r="C130" s="1062">
        <v>9680</v>
      </c>
      <c r="D130" s="1062">
        <v>9660</v>
      </c>
      <c r="E130" s="1062">
        <v>9950</v>
      </c>
      <c r="F130" s="1089"/>
      <c r="H130" s="1087"/>
    </row>
    <row r="131" spans="1:8" s="1056" customFormat="1" ht="14.25" customHeight="1" thickBot="1">
      <c r="A131" s="1068" t="s">
        <v>1387</v>
      </c>
      <c r="B131" s="1062" t="s">
        <v>1265</v>
      </c>
      <c r="C131" s="1062">
        <v>9540</v>
      </c>
      <c r="D131" s="1062">
        <v>9510</v>
      </c>
      <c r="E131" s="1062">
        <v>9790</v>
      </c>
      <c r="F131" s="1089"/>
      <c r="H131" s="1087"/>
    </row>
    <row r="132" spans="1:8" s="1056" customFormat="1" ht="14.25" customHeight="1" thickBot="1">
      <c r="A132" s="1068" t="s">
        <v>1387</v>
      </c>
      <c r="B132" s="1062" t="s">
        <v>1272</v>
      </c>
      <c r="C132" s="1062">
        <v>9320</v>
      </c>
      <c r="D132" s="1062">
        <v>9290</v>
      </c>
      <c r="E132" s="1062">
        <v>9570</v>
      </c>
      <c r="F132" s="1089"/>
      <c r="H132" s="1087"/>
    </row>
    <row r="133" spans="1:8" s="1056" customFormat="1" ht="14.25" customHeight="1" thickBot="1">
      <c r="A133" s="1068" t="s">
        <v>1387</v>
      </c>
      <c r="B133" s="1062" t="s">
        <v>1279</v>
      </c>
      <c r="C133" s="1062">
        <v>10310</v>
      </c>
      <c r="D133" s="1062">
        <v>10280</v>
      </c>
      <c r="E133" s="1062">
        <v>10530</v>
      </c>
      <c r="F133" s="1089"/>
      <c r="H133" s="1087"/>
    </row>
    <row r="134" spans="1:8" s="1056" customFormat="1" ht="14.25" customHeight="1" thickBot="1">
      <c r="A134" s="1068" t="s">
        <v>1387</v>
      </c>
      <c r="B134" s="1062" t="s">
        <v>1286</v>
      </c>
      <c r="C134" s="1062">
        <v>10370</v>
      </c>
      <c r="D134" s="1062">
        <v>10310</v>
      </c>
      <c r="E134" s="1062">
        <v>10240</v>
      </c>
      <c r="F134" s="1080">
        <v>2060</v>
      </c>
      <c r="H134" s="1087"/>
    </row>
    <row r="135" spans="1:8" s="1056" customFormat="1" ht="14.25" customHeight="1" thickBot="1">
      <c r="A135" s="1068" t="s">
        <v>1387</v>
      </c>
      <c r="B135" s="1062" t="s">
        <v>1293</v>
      </c>
      <c r="C135" s="1062">
        <v>9300</v>
      </c>
      <c r="D135" s="1062">
        <v>9270</v>
      </c>
      <c r="E135" s="1062">
        <v>9350</v>
      </c>
      <c r="F135" s="1089"/>
      <c r="H135" s="1087"/>
    </row>
    <row r="136" spans="1:8" s="1056" customFormat="1" ht="14.25" customHeight="1" thickBot="1">
      <c r="A136" s="1068" t="s">
        <v>1387</v>
      </c>
      <c r="B136" s="1062" t="s">
        <v>1300</v>
      </c>
      <c r="C136" s="1062">
        <v>10160</v>
      </c>
      <c r="D136" s="1062">
        <v>10110</v>
      </c>
      <c r="E136" s="1062">
        <v>10080</v>
      </c>
      <c r="F136" s="1089"/>
      <c r="H136" s="1087"/>
    </row>
    <row r="137" spans="1:8" s="1056" customFormat="1" ht="14.25" customHeight="1" thickBot="1">
      <c r="A137" s="1068" t="s">
        <v>1387</v>
      </c>
      <c r="B137" s="1062" t="s">
        <v>1307</v>
      </c>
      <c r="C137" s="1062">
        <v>9200</v>
      </c>
      <c r="D137" s="1062">
        <v>9170</v>
      </c>
      <c r="E137" s="1062">
        <v>9450</v>
      </c>
      <c r="F137" s="1089"/>
      <c r="H137" s="1087"/>
    </row>
    <row r="138" spans="1:8" s="1056" customFormat="1" ht="14.25" customHeight="1" thickBot="1">
      <c r="A138" s="1068" t="s">
        <v>1387</v>
      </c>
      <c r="B138" s="1062" t="s">
        <v>1312</v>
      </c>
      <c r="C138" s="1062">
        <v>9690</v>
      </c>
      <c r="D138" s="1062">
        <v>9660</v>
      </c>
      <c r="E138" s="1062">
        <v>9840</v>
      </c>
      <c r="F138" s="1089"/>
      <c r="H138" s="1087"/>
    </row>
    <row r="139" spans="1:8" s="1056" customFormat="1" ht="14.25" customHeight="1" thickBot="1">
      <c r="A139" s="1068" t="s">
        <v>1387</v>
      </c>
      <c r="B139" s="1062" t="s">
        <v>1316</v>
      </c>
      <c r="C139" s="1062">
        <v>10290</v>
      </c>
      <c r="D139" s="1062">
        <v>10260</v>
      </c>
      <c r="E139" s="1062">
        <v>10550</v>
      </c>
      <c r="F139" s="1080">
        <v>1700</v>
      </c>
      <c r="H139" s="1087"/>
    </row>
    <row r="140" spans="1:8" s="1056" customFormat="1" ht="14.25" customHeight="1" thickBot="1">
      <c r="A140" s="1068" t="s">
        <v>1387</v>
      </c>
      <c r="B140" s="1062" t="s">
        <v>1321</v>
      </c>
      <c r="C140" s="1062">
        <v>9740</v>
      </c>
      <c r="D140" s="1062">
        <v>9710</v>
      </c>
      <c r="E140" s="1062">
        <v>10000</v>
      </c>
      <c r="F140" s="1080">
        <v>2000</v>
      </c>
      <c r="H140" s="1087"/>
    </row>
    <row r="141" spans="1:8" s="1056" customFormat="1" ht="14.25" customHeight="1" thickBot="1">
      <c r="A141" s="1068" t="s">
        <v>1387</v>
      </c>
      <c r="B141" s="1062" t="s">
        <v>1326</v>
      </c>
      <c r="C141" s="1062">
        <v>9810</v>
      </c>
      <c r="D141" s="1062">
        <v>9770</v>
      </c>
      <c r="E141" s="1062">
        <v>10060</v>
      </c>
      <c r="F141" s="1089"/>
      <c r="H141" s="1087"/>
    </row>
    <row r="142" spans="1:8" s="1056" customFormat="1" ht="14.25" customHeight="1" thickBot="1">
      <c r="A142" s="1068" t="s">
        <v>1387</v>
      </c>
      <c r="B142" s="1062" t="s">
        <v>1331</v>
      </c>
      <c r="C142" s="1062">
        <v>9300</v>
      </c>
      <c r="D142" s="1062">
        <v>9270</v>
      </c>
      <c r="E142" s="1062">
        <v>9530</v>
      </c>
      <c r="F142" s="1089"/>
      <c r="H142" s="1087"/>
    </row>
    <row r="143" spans="1:8" s="1056" customFormat="1" ht="14.25" customHeight="1" thickBot="1">
      <c r="A143" s="1068" t="s">
        <v>1387</v>
      </c>
      <c r="B143" s="1062" t="s">
        <v>1336</v>
      </c>
      <c r="C143" s="1062">
        <v>10080</v>
      </c>
      <c r="D143" s="1062">
        <v>10050</v>
      </c>
      <c r="E143" s="1062">
        <v>10340</v>
      </c>
      <c r="F143" s="1089"/>
      <c r="H143" s="1087"/>
    </row>
    <row r="144" spans="1:8" s="1056" customFormat="1" ht="14.25" customHeight="1" thickBot="1">
      <c r="A144" s="1068" t="s">
        <v>1387</v>
      </c>
      <c r="B144" s="1062" t="s">
        <v>1340</v>
      </c>
      <c r="C144" s="1062">
        <v>9820</v>
      </c>
      <c r="D144" s="1062">
        <v>9750</v>
      </c>
      <c r="E144" s="1062">
        <v>9900</v>
      </c>
      <c r="F144" s="1089"/>
      <c r="H144" s="1087"/>
    </row>
    <row r="145" spans="1:8" s="1056" customFormat="1" ht="14.25" customHeight="1" thickBot="1">
      <c r="A145" s="1068" t="s">
        <v>1387</v>
      </c>
      <c r="B145" s="1062" t="s">
        <v>1344</v>
      </c>
      <c r="C145" s="1062"/>
      <c r="D145" s="1062"/>
      <c r="E145" s="1062"/>
      <c r="F145" s="1080">
        <v>1740</v>
      </c>
      <c r="H145" s="1087"/>
    </row>
    <row r="146" spans="1:8" s="1056" customFormat="1" ht="14.25" customHeight="1" thickBot="1">
      <c r="A146" s="1068" t="s">
        <v>1387</v>
      </c>
      <c r="B146" s="1062" t="s">
        <v>1348</v>
      </c>
      <c r="C146" s="1062"/>
      <c r="D146" s="1062"/>
      <c r="E146" s="1062"/>
      <c r="F146" s="1080">
        <v>1740</v>
      </c>
      <c r="H146" s="1087"/>
    </row>
    <row r="147" spans="1:8" s="1056" customFormat="1" ht="14.25" customHeight="1" thickBot="1">
      <c r="A147" s="1068" t="s">
        <v>1387</v>
      </c>
      <c r="B147" s="1062" t="s">
        <v>1352</v>
      </c>
      <c r="C147" s="1062"/>
      <c r="D147" s="1062"/>
      <c r="E147" s="1062"/>
      <c r="F147" s="1080">
        <v>1740</v>
      </c>
      <c r="H147" s="1087"/>
    </row>
    <row r="148" spans="1:8" s="1056" customFormat="1" ht="14.25" customHeight="1" thickBot="1">
      <c r="A148" s="1068" t="s">
        <v>1387</v>
      </c>
      <c r="B148" s="1062" t="s">
        <v>1356</v>
      </c>
      <c r="C148" s="1062"/>
      <c r="D148" s="1062"/>
      <c r="E148" s="1062"/>
      <c r="F148" s="1080">
        <v>1740</v>
      </c>
      <c r="H148" s="1087"/>
    </row>
    <row r="149" spans="1:8" s="1056" customFormat="1" ht="14.25" customHeight="1" thickBot="1">
      <c r="A149" s="1068" t="s">
        <v>1387</v>
      </c>
      <c r="B149" s="1062" t="s">
        <v>1360</v>
      </c>
      <c r="C149" s="1062"/>
      <c r="D149" s="1062"/>
      <c r="E149" s="1062"/>
      <c r="F149" s="1080">
        <v>1740</v>
      </c>
      <c r="H149" s="1087"/>
    </row>
    <row r="150" spans="1:8" s="1056" customFormat="1" ht="14.25" customHeight="1" thickBot="1">
      <c r="A150" s="1068" t="s">
        <v>1387</v>
      </c>
      <c r="B150" s="1062" t="s">
        <v>1363</v>
      </c>
      <c r="C150" s="1062"/>
      <c r="D150" s="1062"/>
      <c r="E150" s="1062"/>
      <c r="F150" s="1080">
        <v>1610</v>
      </c>
      <c r="H150" s="1087"/>
    </row>
    <row r="151" spans="1:8" s="1056" customFormat="1" ht="14.25" customHeight="1" thickBot="1">
      <c r="A151" s="1068" t="s">
        <v>1387</v>
      </c>
      <c r="B151" s="1062" t="s">
        <v>1366</v>
      </c>
      <c r="C151" s="1062"/>
      <c r="D151" s="1062"/>
      <c r="E151" s="1062"/>
      <c r="F151" s="1080">
        <v>1610</v>
      </c>
      <c r="H151" s="1087"/>
    </row>
    <row r="152" spans="1:8" s="1056" customFormat="1" ht="14.25" customHeight="1" thickBot="1">
      <c r="A152" s="1068" t="s">
        <v>1387</v>
      </c>
      <c r="B152" s="1062" t="s">
        <v>1369</v>
      </c>
      <c r="C152" s="1062"/>
      <c r="D152" s="1062"/>
      <c r="E152" s="1062"/>
      <c r="F152" s="1080">
        <v>1610</v>
      </c>
      <c r="H152" s="1087"/>
    </row>
    <row r="153" spans="1:8" s="1056" customFormat="1" ht="14.25" customHeight="1" thickBot="1">
      <c r="A153" s="1068" t="s">
        <v>1387</v>
      </c>
      <c r="B153" s="1062" t="s">
        <v>1372</v>
      </c>
      <c r="C153" s="1062"/>
      <c r="D153" s="1062"/>
      <c r="E153" s="1062"/>
      <c r="F153" s="1080">
        <v>1610</v>
      </c>
      <c r="H153" s="1087"/>
    </row>
    <row r="154" spans="1:8" s="1056" customFormat="1" ht="14.25" customHeight="1" thickBot="1">
      <c r="A154" s="1068" t="s">
        <v>1387</v>
      </c>
      <c r="B154" s="1062" t="s">
        <v>1375</v>
      </c>
      <c r="C154" s="1062"/>
      <c r="D154" s="1062"/>
      <c r="E154" s="1062"/>
      <c r="F154" s="1080">
        <v>1610</v>
      </c>
      <c r="H154" s="1087"/>
    </row>
    <row r="155" spans="1:8" s="1056" customFormat="1" ht="14.25" customHeight="1" thickBot="1">
      <c r="A155" s="1068" t="s">
        <v>1387</v>
      </c>
      <c r="B155" s="1062" t="s">
        <v>1378</v>
      </c>
      <c r="C155" s="1062"/>
      <c r="D155" s="1062"/>
      <c r="E155" s="1062"/>
      <c r="F155" s="1080">
        <v>1800</v>
      </c>
      <c r="H155" s="1087"/>
    </row>
    <row r="156" spans="1:8" s="1056" customFormat="1" ht="14.25" customHeight="1" thickBot="1">
      <c r="A156" s="1068" t="s">
        <v>1387</v>
      </c>
      <c r="B156" s="1062" t="s">
        <v>1380</v>
      </c>
      <c r="C156" s="1062"/>
      <c r="D156" s="1062"/>
      <c r="E156" s="1062"/>
      <c r="F156" s="1080">
        <v>1910</v>
      </c>
      <c r="H156" s="1087"/>
    </row>
    <row r="157" spans="1:8" s="1056" customFormat="1" ht="14.25" customHeight="1" thickBot="1">
      <c r="A157" s="1068" t="s">
        <v>1387</v>
      </c>
      <c r="B157" s="1078" t="s">
        <v>1383</v>
      </c>
      <c r="C157" s="1078"/>
      <c r="D157" s="1078"/>
      <c r="E157" s="1078"/>
      <c r="F157" s="1088">
        <v>1500</v>
      </c>
      <c r="H157" s="1087"/>
    </row>
    <row r="158" spans="1:8" s="1056" customFormat="1" ht="14.25" customHeight="1" thickBot="1">
      <c r="A158" s="1068" t="s">
        <v>1389</v>
      </c>
      <c r="B158" s="1069" t="s">
        <v>1390</v>
      </c>
      <c r="C158" s="1069">
        <v>8170</v>
      </c>
      <c r="D158" s="1069">
        <v>8140</v>
      </c>
      <c r="E158" s="1069">
        <v>8590</v>
      </c>
      <c r="F158" s="1070">
        <v>1450</v>
      </c>
      <c r="H158" s="1087"/>
    </row>
    <row r="159" spans="1:8" s="1056" customFormat="1" ht="14.25" customHeight="1" thickBot="1">
      <c r="A159" s="1068" t="s">
        <v>1389</v>
      </c>
      <c r="B159" s="1062" t="s">
        <v>1054</v>
      </c>
      <c r="C159" s="1062">
        <v>7410</v>
      </c>
      <c r="D159" s="1062">
        <v>7370</v>
      </c>
      <c r="E159" s="1062">
        <v>8030</v>
      </c>
      <c r="F159" s="1080">
        <v>1510</v>
      </c>
      <c r="H159" s="1087"/>
    </row>
    <row r="160" spans="1:8" s="1056" customFormat="1" ht="14.25" customHeight="1" thickBot="1">
      <c r="A160" s="1068" t="s">
        <v>1389</v>
      </c>
      <c r="B160" s="1062" t="s">
        <v>1068</v>
      </c>
      <c r="C160" s="1062">
        <v>7240</v>
      </c>
      <c r="D160" s="1062">
        <v>7210</v>
      </c>
      <c r="E160" s="1062">
        <v>7860</v>
      </c>
      <c r="F160" s="1080">
        <v>1370</v>
      </c>
      <c r="H160" s="1087"/>
    </row>
    <row r="161" spans="1:8" s="1056" customFormat="1" ht="14.25" customHeight="1" thickBot="1">
      <c r="A161" s="1068" t="s">
        <v>1389</v>
      </c>
      <c r="B161" s="1062" t="s">
        <v>1081</v>
      </c>
      <c r="C161" s="1062">
        <v>7720</v>
      </c>
      <c r="D161" s="1062">
        <v>7690</v>
      </c>
      <c r="E161" s="1062">
        <v>8200</v>
      </c>
      <c r="F161" s="1080">
        <v>1190</v>
      </c>
      <c r="H161" s="1087"/>
    </row>
    <row r="162" spans="1:8" s="1056" customFormat="1" ht="14.25" customHeight="1" thickBot="1">
      <c r="A162" s="1068" t="s">
        <v>1389</v>
      </c>
      <c r="B162" s="1062" t="s">
        <v>1095</v>
      </c>
      <c r="C162" s="1062">
        <v>6900</v>
      </c>
      <c r="D162" s="1062">
        <v>6870</v>
      </c>
      <c r="E162" s="1062">
        <v>7500</v>
      </c>
      <c r="F162" s="1080">
        <v>1390</v>
      </c>
      <c r="H162" s="1087"/>
    </row>
    <row r="163" spans="1:8" s="1056" customFormat="1" ht="14.25" customHeight="1" thickBot="1">
      <c r="A163" s="1068" t="s">
        <v>1389</v>
      </c>
      <c r="B163" s="1062" t="s">
        <v>1106</v>
      </c>
      <c r="C163" s="1062">
        <v>7120</v>
      </c>
      <c r="D163" s="1062">
        <v>7090</v>
      </c>
      <c r="E163" s="1062">
        <v>7690</v>
      </c>
      <c r="F163" s="1080">
        <v>1230</v>
      </c>
      <c r="H163" s="1087"/>
    </row>
    <row r="164" spans="1:8" s="1056" customFormat="1" ht="14.25" customHeight="1" thickBot="1">
      <c r="A164" s="1068" t="s">
        <v>1389</v>
      </c>
      <c r="B164" s="1062" t="s">
        <v>1117</v>
      </c>
      <c r="C164" s="1062">
        <v>6560</v>
      </c>
      <c r="D164" s="1062">
        <v>6530</v>
      </c>
      <c r="E164" s="1062">
        <v>7110</v>
      </c>
      <c r="F164" s="1080">
        <v>1340</v>
      </c>
      <c r="H164" s="1087"/>
    </row>
    <row r="165" spans="1:8" s="1056" customFormat="1" ht="14.25" customHeight="1" thickBot="1">
      <c r="A165" s="1068" t="s">
        <v>1389</v>
      </c>
      <c r="B165" s="1062" t="s">
        <v>1128</v>
      </c>
      <c r="C165" s="1062">
        <v>7450</v>
      </c>
      <c r="D165" s="1062">
        <v>7430</v>
      </c>
      <c r="E165" s="1062">
        <v>8110</v>
      </c>
      <c r="F165" s="1080">
        <v>1290</v>
      </c>
      <c r="H165" s="1087"/>
    </row>
    <row r="166" spans="1:8" s="1056" customFormat="1" ht="14.25" customHeight="1" thickBot="1">
      <c r="A166" s="1068" t="s">
        <v>1389</v>
      </c>
      <c r="B166" s="1062" t="s">
        <v>1140</v>
      </c>
      <c r="C166" s="1062">
        <v>7490</v>
      </c>
      <c r="D166" s="1062">
        <v>7460</v>
      </c>
      <c r="E166" s="1062">
        <v>8150</v>
      </c>
      <c r="F166" s="1080">
        <v>1350</v>
      </c>
      <c r="H166" s="1087"/>
    </row>
    <row r="167" spans="1:8" s="1056" customFormat="1" ht="14.25" customHeight="1" thickBot="1">
      <c r="A167" s="1068" t="s">
        <v>1389</v>
      </c>
      <c r="B167" s="1062" t="s">
        <v>1150</v>
      </c>
      <c r="C167" s="1062">
        <v>7540</v>
      </c>
      <c r="D167" s="1062">
        <v>7510</v>
      </c>
      <c r="E167" s="1062">
        <v>8030</v>
      </c>
      <c r="F167" s="1089"/>
      <c r="H167" s="1087"/>
    </row>
    <row r="168" spans="1:8" s="1056" customFormat="1" ht="14.25" customHeight="1" thickBot="1">
      <c r="A168" s="1068" t="s">
        <v>1389</v>
      </c>
      <c r="B168" s="1062" t="s">
        <v>1160</v>
      </c>
      <c r="C168" s="1062">
        <v>7210</v>
      </c>
      <c r="D168" s="1062">
        <v>7180</v>
      </c>
      <c r="E168" s="1062">
        <v>7830</v>
      </c>
      <c r="F168" s="1089"/>
      <c r="H168" s="1087"/>
    </row>
    <row r="169" spans="1:8" s="1056" customFormat="1" ht="14.25" customHeight="1" thickBot="1">
      <c r="A169" s="1068" t="s">
        <v>1389</v>
      </c>
      <c r="B169" s="1062" t="s">
        <v>1170</v>
      </c>
      <c r="C169" s="1062">
        <v>7040</v>
      </c>
      <c r="D169" s="1062">
        <v>7020</v>
      </c>
      <c r="E169" s="1062">
        <v>7670</v>
      </c>
      <c r="F169" s="1089"/>
      <c r="H169" s="1087"/>
    </row>
    <row r="170" spans="1:8" s="1056" customFormat="1" ht="14.25" customHeight="1" thickBot="1">
      <c r="A170" s="1068" t="s">
        <v>1389</v>
      </c>
      <c r="B170" s="1062" t="s">
        <v>1180</v>
      </c>
      <c r="C170" s="1062">
        <v>8040</v>
      </c>
      <c r="D170" s="1062">
        <v>7190</v>
      </c>
      <c r="E170" s="1062">
        <v>7850</v>
      </c>
      <c r="F170" s="1089"/>
      <c r="H170" s="1087"/>
    </row>
    <row r="171" spans="1:8" s="1056" customFormat="1" ht="14.25" customHeight="1" thickBot="1">
      <c r="A171" s="1068" t="s">
        <v>1389</v>
      </c>
      <c r="B171" s="1062" t="s">
        <v>1190</v>
      </c>
      <c r="C171" s="1062">
        <v>7860</v>
      </c>
      <c r="D171" s="1062">
        <v>7720</v>
      </c>
      <c r="E171" s="1062">
        <v>8150</v>
      </c>
      <c r="F171" s="1080">
        <v>1110</v>
      </c>
      <c r="H171" s="1087"/>
    </row>
    <row r="172" spans="1:8" s="1056" customFormat="1" ht="14.25" customHeight="1" thickBot="1">
      <c r="A172" s="1068" t="s">
        <v>1389</v>
      </c>
      <c r="B172" s="1062" t="s">
        <v>1200</v>
      </c>
      <c r="C172" s="1062">
        <v>7210</v>
      </c>
      <c r="D172" s="1062">
        <v>7170</v>
      </c>
      <c r="E172" s="1062">
        <v>7320</v>
      </c>
      <c r="F172" s="1089"/>
      <c r="H172" s="1087"/>
    </row>
    <row r="173" spans="1:8" s="1056" customFormat="1" ht="14.25" customHeight="1" thickBot="1">
      <c r="A173" s="1068" t="s">
        <v>1389</v>
      </c>
      <c r="B173" s="1062" t="s">
        <v>1210</v>
      </c>
      <c r="C173" s="1062">
        <v>6860</v>
      </c>
      <c r="D173" s="1062">
        <v>6810</v>
      </c>
      <c r="E173" s="1062">
        <v>7440</v>
      </c>
      <c r="F173" s="1089"/>
      <c r="H173" s="1087"/>
    </row>
    <row r="174" spans="1:8" s="1056" customFormat="1" ht="14.25" customHeight="1" thickBot="1">
      <c r="A174" s="1068" t="s">
        <v>1389</v>
      </c>
      <c r="B174" s="1062" t="s">
        <v>1220</v>
      </c>
      <c r="C174" s="1062">
        <v>7120</v>
      </c>
      <c r="D174" s="1062">
        <v>7090</v>
      </c>
      <c r="E174" s="1062">
        <v>7500</v>
      </c>
      <c r="F174" s="1080">
        <v>1490</v>
      </c>
      <c r="H174" s="1087"/>
    </row>
    <row r="175" spans="1:8" s="1056" customFormat="1" ht="14.25" customHeight="1" thickBot="1">
      <c r="A175" s="1068" t="s">
        <v>1389</v>
      </c>
      <c r="B175" s="1062" t="s">
        <v>1230</v>
      </c>
      <c r="C175" s="1062">
        <v>7850</v>
      </c>
      <c r="D175" s="1062">
        <v>7820</v>
      </c>
      <c r="E175" s="1062">
        <v>8120</v>
      </c>
      <c r="F175" s="1080">
        <v>1530</v>
      </c>
      <c r="H175" s="1087"/>
    </row>
    <row r="176" spans="1:8" s="1056" customFormat="1" ht="14.25" customHeight="1" thickBot="1">
      <c r="A176" s="1068" t="s">
        <v>1389</v>
      </c>
      <c r="B176" s="1062" t="s">
        <v>1240</v>
      </c>
      <c r="C176" s="1062">
        <v>7620</v>
      </c>
      <c r="D176" s="1062">
        <v>7570</v>
      </c>
      <c r="E176" s="1062">
        <v>7990</v>
      </c>
      <c r="F176" s="1080">
        <v>1480</v>
      </c>
      <c r="H176" s="1087"/>
    </row>
    <row r="177" spans="1:8" s="1056" customFormat="1" ht="14.25" customHeight="1" thickBot="1">
      <c r="A177" s="1068" t="s">
        <v>1389</v>
      </c>
      <c r="B177" s="1062" t="s">
        <v>1249</v>
      </c>
      <c r="C177" s="1062">
        <v>8590</v>
      </c>
      <c r="D177" s="1062">
        <v>8570</v>
      </c>
      <c r="E177" s="1062">
        <v>8740</v>
      </c>
      <c r="F177" s="1080">
        <v>1540</v>
      </c>
      <c r="H177" s="1087"/>
    </row>
    <row r="178" spans="1:8" s="1056" customFormat="1" ht="14.25" customHeight="1" thickBot="1">
      <c r="A178" s="1068" t="s">
        <v>1389</v>
      </c>
      <c r="B178" s="1062" t="s">
        <v>1258</v>
      </c>
      <c r="C178" s="1062">
        <v>7510</v>
      </c>
      <c r="D178" s="1062">
        <v>7470</v>
      </c>
      <c r="E178" s="1062">
        <v>8090</v>
      </c>
      <c r="F178" s="1080">
        <v>1320</v>
      </c>
      <c r="H178" s="1087"/>
    </row>
    <row r="179" spans="1:8" s="1056" customFormat="1" ht="14.25" customHeight="1" thickBot="1">
      <c r="A179" s="1068" t="s">
        <v>1389</v>
      </c>
      <c r="B179" s="1062" t="s">
        <v>1266</v>
      </c>
      <c r="C179" s="1062">
        <v>6380</v>
      </c>
      <c r="D179" s="1062">
        <v>6340</v>
      </c>
      <c r="E179" s="1062">
        <v>6810</v>
      </c>
      <c r="F179" s="1089"/>
      <c r="H179" s="1087"/>
    </row>
    <row r="180" spans="1:8" s="1056" customFormat="1" ht="14.25" customHeight="1" thickBot="1">
      <c r="A180" s="1068" t="s">
        <v>1389</v>
      </c>
      <c r="B180" s="1062" t="s">
        <v>1273</v>
      </c>
      <c r="C180" s="1062">
        <v>7830</v>
      </c>
      <c r="D180" s="1062">
        <v>7800</v>
      </c>
      <c r="E180" s="1062">
        <v>7780</v>
      </c>
      <c r="F180" s="1080">
        <v>1440</v>
      </c>
      <c r="H180" s="1087"/>
    </row>
    <row r="181" spans="1:8" s="1056" customFormat="1" ht="14.25" customHeight="1" thickBot="1">
      <c r="A181" s="1068" t="s">
        <v>1389</v>
      </c>
      <c r="B181" s="1062" t="s">
        <v>1280</v>
      </c>
      <c r="C181" s="1062">
        <v>7110</v>
      </c>
      <c r="D181" s="1062">
        <v>7080</v>
      </c>
      <c r="E181" s="1062">
        <v>7730</v>
      </c>
      <c r="F181" s="1080">
        <v>1350</v>
      </c>
      <c r="H181" s="1087"/>
    </row>
    <row r="182" spans="1:8" s="1056" customFormat="1" ht="14.25" customHeight="1" thickBot="1">
      <c r="A182" s="1068" t="s">
        <v>1389</v>
      </c>
      <c r="B182" s="1062" t="s">
        <v>1287</v>
      </c>
      <c r="C182" s="1062">
        <v>7310</v>
      </c>
      <c r="D182" s="1062">
        <v>7280</v>
      </c>
      <c r="E182" s="1062">
        <v>7950</v>
      </c>
      <c r="F182" s="1080">
        <v>1220</v>
      </c>
      <c r="H182" s="1087"/>
    </row>
    <row r="183" spans="1:8" s="1056" customFormat="1" ht="14.25" customHeight="1" thickBot="1">
      <c r="A183" s="1068" t="s">
        <v>1389</v>
      </c>
      <c r="B183" s="1062" t="s">
        <v>1294</v>
      </c>
      <c r="C183" s="1062">
        <v>7470</v>
      </c>
      <c r="D183" s="1062">
        <v>7440</v>
      </c>
      <c r="E183" s="1062">
        <v>7880</v>
      </c>
      <c r="F183" s="1089"/>
      <c r="H183" s="1087"/>
    </row>
    <row r="184" spans="1:8" s="1056" customFormat="1" ht="14.25" customHeight="1" thickBot="1">
      <c r="A184" s="1068" t="s">
        <v>1389</v>
      </c>
      <c r="B184" s="1062" t="s">
        <v>1301</v>
      </c>
      <c r="C184" s="1062">
        <v>6960</v>
      </c>
      <c r="D184" s="1062">
        <v>6930</v>
      </c>
      <c r="E184" s="1062">
        <v>7570</v>
      </c>
      <c r="F184" s="1089"/>
      <c r="H184" s="1087"/>
    </row>
    <row r="185" spans="1:8" s="1056" customFormat="1" ht="14.25" customHeight="1" thickBot="1">
      <c r="A185" s="1068" t="s">
        <v>1389</v>
      </c>
      <c r="B185" s="1062" t="s">
        <v>1308</v>
      </c>
      <c r="C185" s="1062">
        <v>7260</v>
      </c>
      <c r="D185" s="1062">
        <v>7230</v>
      </c>
      <c r="E185" s="1062">
        <v>7710</v>
      </c>
      <c r="F185" s="1080">
        <v>1360</v>
      </c>
      <c r="H185" s="1087"/>
    </row>
    <row r="186" spans="1:8" s="1056" customFormat="1" ht="14.25" customHeight="1" thickBot="1">
      <c r="A186" s="1068" t="s">
        <v>1389</v>
      </c>
      <c r="B186" s="1062" t="s">
        <v>1313</v>
      </c>
      <c r="C186" s="1062"/>
      <c r="D186" s="1062"/>
      <c r="E186" s="1062"/>
      <c r="F186" s="1080">
        <v>1560</v>
      </c>
      <c r="H186" s="1087"/>
    </row>
    <row r="187" spans="1:8" s="1056" customFormat="1" ht="14.25" customHeight="1" thickBot="1">
      <c r="A187" s="1068" t="s">
        <v>1389</v>
      </c>
      <c r="B187" s="1062" t="s">
        <v>1317</v>
      </c>
      <c r="C187" s="1062"/>
      <c r="D187" s="1062"/>
      <c r="E187" s="1062"/>
      <c r="F187" s="1080">
        <v>1560</v>
      </c>
      <c r="H187" s="1087"/>
    </row>
    <row r="188" spans="1:8" s="1056" customFormat="1" ht="14.25" customHeight="1" thickBot="1">
      <c r="A188" s="1068" t="s">
        <v>1389</v>
      </c>
      <c r="B188" s="1062" t="s">
        <v>1322</v>
      </c>
      <c r="C188" s="1062"/>
      <c r="D188" s="1062"/>
      <c r="E188" s="1062"/>
      <c r="F188" s="1080">
        <v>1560</v>
      </c>
      <c r="H188" s="1087"/>
    </row>
    <row r="189" spans="1:8" s="1056" customFormat="1" ht="14.25" customHeight="1" thickBot="1">
      <c r="A189" s="1068" t="s">
        <v>1389</v>
      </c>
      <c r="B189" s="1062" t="s">
        <v>1327</v>
      </c>
      <c r="C189" s="1062"/>
      <c r="D189" s="1062"/>
      <c r="E189" s="1062"/>
      <c r="F189" s="1080">
        <v>1320</v>
      </c>
      <c r="H189" s="1087"/>
    </row>
    <row r="190" spans="1:8" s="1056" customFormat="1" ht="14.25" customHeight="1" thickBot="1">
      <c r="A190" s="1068" t="s">
        <v>1389</v>
      </c>
      <c r="B190" s="1062" t="s">
        <v>1332</v>
      </c>
      <c r="C190" s="1062"/>
      <c r="D190" s="1062"/>
      <c r="E190" s="1062"/>
      <c r="F190" s="1080">
        <v>1320</v>
      </c>
      <c r="H190" s="1087"/>
    </row>
    <row r="191" spans="1:8" s="1056" customFormat="1" ht="14.25" customHeight="1" thickBot="1">
      <c r="A191" s="1068" t="s">
        <v>1389</v>
      </c>
      <c r="B191" s="1062" t="s">
        <v>1337</v>
      </c>
      <c r="C191" s="1062"/>
      <c r="D191" s="1062"/>
      <c r="E191" s="1062"/>
      <c r="F191" s="1080">
        <v>1320</v>
      </c>
      <c r="H191" s="1087"/>
    </row>
    <row r="192" spans="1:8" s="1056" customFormat="1" ht="14.25" customHeight="1" thickBot="1">
      <c r="A192" s="1068" t="s">
        <v>1389</v>
      </c>
      <c r="B192" s="1062" t="s">
        <v>1341</v>
      </c>
      <c r="C192" s="1062"/>
      <c r="D192" s="1062"/>
      <c r="E192" s="1062"/>
      <c r="F192" s="1080">
        <v>1100</v>
      </c>
      <c r="H192" s="1087"/>
    </row>
    <row r="193" spans="1:8" s="1056" customFormat="1" ht="14.25" customHeight="1" thickBot="1">
      <c r="A193" s="1068" t="s">
        <v>1389</v>
      </c>
      <c r="B193" s="1062" t="s">
        <v>1345</v>
      </c>
      <c r="C193" s="1062"/>
      <c r="D193" s="1062"/>
      <c r="E193" s="1062"/>
      <c r="F193" s="1080">
        <v>1100</v>
      </c>
      <c r="H193" s="1087"/>
    </row>
    <row r="194" spans="1:8" s="1056" customFormat="1" ht="14.25" customHeight="1" thickBot="1">
      <c r="A194" s="1068" t="s">
        <v>1389</v>
      </c>
      <c r="B194" s="1062" t="s">
        <v>1349</v>
      </c>
      <c r="C194" s="1062"/>
      <c r="D194" s="1062"/>
      <c r="E194" s="1062"/>
      <c r="F194" s="1080">
        <v>1080</v>
      </c>
      <c r="H194" s="1087"/>
    </row>
    <row r="195" spans="1:8" s="1056" customFormat="1" ht="14.25" customHeight="1" thickBot="1">
      <c r="A195" s="1068" t="s">
        <v>1389</v>
      </c>
      <c r="B195" s="1062" t="s">
        <v>1353</v>
      </c>
      <c r="C195" s="1062"/>
      <c r="D195" s="1062"/>
      <c r="E195" s="1062"/>
      <c r="F195" s="1080">
        <v>1270</v>
      </c>
      <c r="H195" s="1087"/>
    </row>
    <row r="196" spans="1:8" s="1056" customFormat="1" ht="14.25" customHeight="1" thickBot="1">
      <c r="A196" s="1068" t="s">
        <v>1389</v>
      </c>
      <c r="B196" s="1062" t="s">
        <v>1357</v>
      </c>
      <c r="C196" s="1062"/>
      <c r="D196" s="1062"/>
      <c r="E196" s="1062"/>
      <c r="F196" s="1080">
        <v>1150</v>
      </c>
      <c r="H196" s="1087"/>
    </row>
    <row r="197" spans="1:8" s="1056" customFormat="1" ht="14.25" customHeight="1" thickBot="1">
      <c r="A197" s="1068" t="s">
        <v>1389</v>
      </c>
      <c r="B197" s="1062" t="s">
        <v>1361</v>
      </c>
      <c r="C197" s="1062"/>
      <c r="D197" s="1062"/>
      <c r="E197" s="1062"/>
      <c r="F197" s="1080">
        <v>1330</v>
      </c>
      <c r="H197" s="1087"/>
    </row>
    <row r="198" spans="1:8" s="1056" customFormat="1" ht="14.25" customHeight="1" thickBot="1">
      <c r="A198" s="1068" t="s">
        <v>1389</v>
      </c>
      <c r="B198" s="1062" t="s">
        <v>1364</v>
      </c>
      <c r="C198" s="1062"/>
      <c r="D198" s="1062"/>
      <c r="E198" s="1062"/>
      <c r="F198" s="1080">
        <v>1170</v>
      </c>
      <c r="H198" s="1087"/>
    </row>
    <row r="199" spans="1:8" s="1056" customFormat="1" ht="14.25" customHeight="1" thickBot="1">
      <c r="A199" s="1068" t="s">
        <v>1389</v>
      </c>
      <c r="B199" s="1062" t="s">
        <v>1367</v>
      </c>
      <c r="C199" s="1062"/>
      <c r="D199" s="1062"/>
      <c r="E199" s="1062"/>
      <c r="F199" s="1080">
        <v>1120</v>
      </c>
      <c r="H199" s="1087"/>
    </row>
    <row r="200" spans="1:8" s="1056" customFormat="1" ht="14.25" customHeight="1" thickBot="1">
      <c r="A200" s="1068" t="s">
        <v>1389</v>
      </c>
      <c r="B200" s="1062" t="s">
        <v>1370</v>
      </c>
      <c r="C200" s="1062"/>
      <c r="D200" s="1062"/>
      <c r="E200" s="1062"/>
      <c r="F200" s="1080">
        <v>1120</v>
      </c>
      <c r="H200" s="1087"/>
    </row>
    <row r="201" spans="1:8" s="1056" customFormat="1" ht="14.25" customHeight="1" thickBot="1">
      <c r="A201" s="1068" t="s">
        <v>1389</v>
      </c>
      <c r="B201" s="1062" t="s">
        <v>1373</v>
      </c>
      <c r="C201" s="1062"/>
      <c r="D201" s="1062"/>
      <c r="E201" s="1062"/>
      <c r="F201" s="1080">
        <v>1540</v>
      </c>
      <c r="H201" s="1087"/>
    </row>
    <row r="202" spans="1:8" s="1056" customFormat="1" ht="14.25" customHeight="1" thickBot="1">
      <c r="A202" s="1068" t="s">
        <v>1389</v>
      </c>
      <c r="B202" s="1062" t="s">
        <v>1376</v>
      </c>
      <c r="C202" s="1062"/>
      <c r="D202" s="1062"/>
      <c r="E202" s="1062"/>
      <c r="F202" s="1080">
        <v>1310</v>
      </c>
      <c r="H202" s="1087"/>
    </row>
    <row r="203" spans="1:8" s="1056" customFormat="1" ht="14.25" customHeight="1" thickBot="1">
      <c r="A203" s="1068" t="s">
        <v>1389</v>
      </c>
      <c r="B203" s="1062" t="s">
        <v>1379</v>
      </c>
      <c r="C203" s="1062"/>
      <c r="D203" s="1062"/>
      <c r="E203" s="1062"/>
      <c r="F203" s="1080">
        <v>1310</v>
      </c>
      <c r="H203" s="1087"/>
    </row>
    <row r="204" spans="1:8" s="1056" customFormat="1" ht="14.25" customHeight="1" thickBot="1">
      <c r="A204" s="1068" t="s">
        <v>1389</v>
      </c>
      <c r="B204" s="1062" t="s">
        <v>1381</v>
      </c>
      <c r="C204" s="1062"/>
      <c r="D204" s="1062"/>
      <c r="E204" s="1062"/>
      <c r="F204" s="1080">
        <v>1080</v>
      </c>
      <c r="H204" s="1087"/>
    </row>
    <row r="205" spans="1:8" s="1056" customFormat="1" ht="14.25" customHeight="1" thickBot="1">
      <c r="A205" s="1068" t="s">
        <v>1389</v>
      </c>
      <c r="B205" s="1062" t="s">
        <v>1384</v>
      </c>
      <c r="C205" s="1062"/>
      <c r="D205" s="1062"/>
      <c r="E205" s="1062"/>
      <c r="F205" s="1080">
        <v>1080</v>
      </c>
      <c r="H205" s="1087"/>
    </row>
    <row r="206" spans="1:8" s="1056" customFormat="1" ht="14.25" customHeight="1" thickBot="1">
      <c r="A206" s="1068" t="s">
        <v>1391</v>
      </c>
      <c r="B206" s="1069" t="s">
        <v>1392</v>
      </c>
      <c r="C206" s="1069">
        <v>5450</v>
      </c>
      <c r="D206" s="1069">
        <v>5430</v>
      </c>
      <c r="E206" s="1069">
        <v>5700</v>
      </c>
      <c r="F206" s="1070">
        <v>1020</v>
      </c>
      <c r="H206" s="1087"/>
    </row>
    <row r="207" spans="1:8" s="1056" customFormat="1" ht="14.25" customHeight="1" thickBot="1">
      <c r="A207" s="1068" t="s">
        <v>1391</v>
      </c>
      <c r="B207" s="1062" t="s">
        <v>1055</v>
      </c>
      <c r="C207" s="1062">
        <v>5860</v>
      </c>
      <c r="D207" s="1062">
        <v>5820</v>
      </c>
      <c r="E207" s="1062">
        <v>6050</v>
      </c>
      <c r="F207" s="1080">
        <v>1080</v>
      </c>
      <c r="H207" s="1087"/>
    </row>
    <row r="208" spans="1:8" s="1056" customFormat="1" ht="14.25" customHeight="1" thickBot="1">
      <c r="A208" s="1068" t="s">
        <v>1391</v>
      </c>
      <c r="B208" s="1062" t="s">
        <v>1069</v>
      </c>
      <c r="C208" s="1062">
        <v>4630</v>
      </c>
      <c r="D208" s="1062">
        <v>4600</v>
      </c>
      <c r="E208" s="1062">
        <v>4840</v>
      </c>
      <c r="F208" s="1080">
        <v>900</v>
      </c>
      <c r="H208" s="1087"/>
    </row>
    <row r="209" spans="1:8" s="1056" customFormat="1" ht="14.25" customHeight="1" thickBot="1">
      <c r="A209" s="1068" t="s">
        <v>1391</v>
      </c>
      <c r="B209" s="1062" t="s">
        <v>1082</v>
      </c>
      <c r="C209" s="1062">
        <v>5320</v>
      </c>
      <c r="D209" s="1062">
        <v>5270</v>
      </c>
      <c r="E209" s="1062">
        <v>5540</v>
      </c>
      <c r="F209" s="1080">
        <v>980</v>
      </c>
      <c r="H209" s="1087"/>
    </row>
    <row r="210" spans="1:8" s="1056" customFormat="1" ht="14.25" customHeight="1" thickBot="1">
      <c r="A210" s="1068" t="s">
        <v>1391</v>
      </c>
      <c r="B210" s="1062" t="s">
        <v>1096</v>
      </c>
      <c r="C210" s="1062">
        <v>5760</v>
      </c>
      <c r="D210" s="1062">
        <v>5710</v>
      </c>
      <c r="E210" s="1062">
        <v>6010</v>
      </c>
      <c r="F210" s="1080">
        <v>870</v>
      </c>
      <c r="H210" s="1087"/>
    </row>
    <row r="211" spans="1:8" s="1056" customFormat="1" ht="14.25" customHeight="1" thickBot="1">
      <c r="A211" s="1068" t="s">
        <v>1391</v>
      </c>
      <c r="B211" s="1062" t="s">
        <v>1107</v>
      </c>
      <c r="C211" s="1062">
        <v>4160</v>
      </c>
      <c r="D211" s="1062">
        <v>4100</v>
      </c>
      <c r="E211" s="1062">
        <v>4270</v>
      </c>
      <c r="F211" s="1080">
        <v>790</v>
      </c>
      <c r="H211" s="1087"/>
    </row>
    <row r="212" spans="1:8" s="1056" customFormat="1" ht="14.25" customHeight="1" thickBot="1">
      <c r="A212" s="1068" t="s">
        <v>1391</v>
      </c>
      <c r="B212" s="1062" t="s">
        <v>1118</v>
      </c>
      <c r="C212" s="1062">
        <v>4880</v>
      </c>
      <c r="D212" s="1062">
        <v>4850</v>
      </c>
      <c r="E212" s="1062">
        <v>5110</v>
      </c>
      <c r="F212" s="1080">
        <v>940</v>
      </c>
      <c r="H212" s="1087"/>
    </row>
    <row r="213" spans="1:8" s="1056" customFormat="1" ht="14.25" customHeight="1" thickBot="1">
      <c r="A213" s="1068" t="s">
        <v>1391</v>
      </c>
      <c r="B213" s="1062" t="s">
        <v>1129</v>
      </c>
      <c r="C213" s="1062">
        <v>4640</v>
      </c>
      <c r="D213" s="1062">
        <v>4590</v>
      </c>
      <c r="E213" s="1062">
        <v>4700</v>
      </c>
      <c r="F213" s="1080">
        <v>1030</v>
      </c>
      <c r="H213" s="1087"/>
    </row>
    <row r="214" spans="1:8" s="1056" customFormat="1" ht="14.25" customHeight="1" thickBot="1">
      <c r="A214" s="1068" t="s">
        <v>1391</v>
      </c>
      <c r="B214" s="1062" t="s">
        <v>1141</v>
      </c>
      <c r="C214" s="1062">
        <v>4540</v>
      </c>
      <c r="D214" s="1062">
        <v>4490</v>
      </c>
      <c r="E214" s="1062">
        <v>4610</v>
      </c>
      <c r="F214" s="1089"/>
      <c r="H214" s="1087"/>
    </row>
    <row r="215" spans="1:8" s="1056" customFormat="1" ht="14.25" customHeight="1" thickBot="1">
      <c r="A215" s="1068" t="s">
        <v>1391</v>
      </c>
      <c r="B215" s="1062" t="s">
        <v>1151</v>
      </c>
      <c r="C215" s="1062">
        <v>5280</v>
      </c>
      <c r="D215" s="1062">
        <v>5250</v>
      </c>
      <c r="E215" s="1062">
        <v>5520</v>
      </c>
      <c r="F215" s="1080">
        <v>1000</v>
      </c>
      <c r="H215" s="1087"/>
    </row>
    <row r="216" spans="1:8" s="1056" customFormat="1" ht="14.25" customHeight="1" thickBot="1">
      <c r="A216" s="1068" t="s">
        <v>1391</v>
      </c>
      <c r="B216" s="1062" t="s">
        <v>1161</v>
      </c>
      <c r="C216" s="1062">
        <v>5100</v>
      </c>
      <c r="D216" s="1062">
        <v>5050</v>
      </c>
      <c r="E216" s="1062">
        <v>5300</v>
      </c>
      <c r="F216" s="1080">
        <v>950</v>
      </c>
      <c r="H216" s="1087"/>
    </row>
    <row r="217" spans="1:8" s="1056" customFormat="1" ht="14.25" customHeight="1" thickBot="1">
      <c r="A217" s="1068" t="s">
        <v>1391</v>
      </c>
      <c r="B217" s="1062" t="s">
        <v>1171</v>
      </c>
      <c r="C217" s="1062">
        <v>5370</v>
      </c>
      <c r="D217" s="1062">
        <v>5320</v>
      </c>
      <c r="E217" s="1062">
        <v>5410</v>
      </c>
      <c r="F217" s="1080">
        <v>950</v>
      </c>
      <c r="H217" s="1087"/>
    </row>
    <row r="218" spans="1:8" s="1056" customFormat="1" ht="14.25" customHeight="1" thickBot="1">
      <c r="A218" s="1068" t="s">
        <v>1391</v>
      </c>
      <c r="B218" s="1062" t="s">
        <v>1181</v>
      </c>
      <c r="C218" s="1062">
        <v>5540</v>
      </c>
      <c r="D218" s="1062">
        <v>5480</v>
      </c>
      <c r="E218" s="1062">
        <v>5740</v>
      </c>
      <c r="F218" s="1080">
        <v>1020</v>
      </c>
      <c r="H218" s="1087"/>
    </row>
    <row r="219" spans="1:8" s="1056" customFormat="1" ht="14.25" customHeight="1" thickBot="1">
      <c r="A219" s="1068" t="s">
        <v>1391</v>
      </c>
      <c r="B219" s="1062" t="s">
        <v>1191</v>
      </c>
      <c r="C219" s="1062">
        <v>5140</v>
      </c>
      <c r="D219" s="1062">
        <v>5100</v>
      </c>
      <c r="E219" s="1062">
        <v>5350</v>
      </c>
      <c r="F219" s="1080">
        <v>1120</v>
      </c>
      <c r="H219" s="1087"/>
    </row>
    <row r="220" spans="1:8" s="1056" customFormat="1" ht="14.25" customHeight="1" thickBot="1">
      <c r="A220" s="1068" t="s">
        <v>1391</v>
      </c>
      <c r="B220" s="1062" t="s">
        <v>1201</v>
      </c>
      <c r="C220" s="1062">
        <v>5040</v>
      </c>
      <c r="D220" s="1062">
        <v>5000</v>
      </c>
      <c r="E220" s="1062">
        <v>5240</v>
      </c>
      <c r="F220" s="1080">
        <v>980</v>
      </c>
      <c r="H220" s="1087"/>
    </row>
    <row r="221" spans="1:8" s="1056" customFormat="1" ht="14.25" customHeight="1" thickBot="1">
      <c r="A221" s="1068" t="s">
        <v>1391</v>
      </c>
      <c r="B221" s="1062" t="s">
        <v>1211</v>
      </c>
      <c r="C221" s="1090"/>
      <c r="D221" s="1090"/>
      <c r="E221" s="1090"/>
      <c r="F221" s="1080">
        <v>1070</v>
      </c>
      <c r="H221" s="1087"/>
    </row>
    <row r="222" spans="1:8" s="1056" customFormat="1" ht="14.25" customHeight="1" thickBot="1">
      <c r="A222" s="1068" t="s">
        <v>1391</v>
      </c>
      <c r="B222" s="1062" t="s">
        <v>1221</v>
      </c>
      <c r="C222" s="1090"/>
      <c r="D222" s="1090"/>
      <c r="E222" s="1090"/>
      <c r="F222" s="1080">
        <v>870</v>
      </c>
      <c r="H222" s="1087"/>
    </row>
    <row r="223" spans="1:8" s="1056" customFormat="1" ht="14.25" customHeight="1" thickBot="1">
      <c r="A223" s="1068" t="s">
        <v>1391</v>
      </c>
      <c r="B223" s="1062" t="s">
        <v>1231</v>
      </c>
      <c r="C223" s="1090"/>
      <c r="D223" s="1090"/>
      <c r="E223" s="1090"/>
      <c r="F223" s="1080">
        <v>940</v>
      </c>
      <c r="H223" s="1087"/>
    </row>
    <row r="224" spans="1:8" s="1056" customFormat="1" ht="14.25" customHeight="1" thickBot="1">
      <c r="A224" s="1068" t="s">
        <v>1391</v>
      </c>
      <c r="B224" s="1062" t="s">
        <v>1241</v>
      </c>
      <c r="C224" s="1090"/>
      <c r="D224" s="1090"/>
      <c r="E224" s="1090"/>
      <c r="F224" s="1080">
        <v>990</v>
      </c>
      <c r="H224" s="1087"/>
    </row>
    <row r="225" spans="1:8" s="1056" customFormat="1" ht="14.25" customHeight="1" thickBot="1">
      <c r="A225" s="1068" t="s">
        <v>1391</v>
      </c>
      <c r="B225" s="1062" t="s">
        <v>1250</v>
      </c>
      <c r="C225" s="1062">
        <v>5730</v>
      </c>
      <c r="D225" s="1062">
        <v>5680</v>
      </c>
      <c r="E225" s="1062">
        <v>6020</v>
      </c>
      <c r="F225" s="1080">
        <v>1000</v>
      </c>
      <c r="H225" s="1087"/>
    </row>
    <row r="226" spans="1:8" s="1056" customFormat="1" ht="14.25" customHeight="1" thickBot="1">
      <c r="A226" s="1068" t="s">
        <v>1391</v>
      </c>
      <c r="B226" s="1062" t="s">
        <v>1259</v>
      </c>
      <c r="C226" s="1062">
        <v>4970</v>
      </c>
      <c r="D226" s="1062">
        <v>4940</v>
      </c>
      <c r="E226" s="1062">
        <v>5180</v>
      </c>
      <c r="F226" s="1080">
        <v>960</v>
      </c>
      <c r="H226" s="1087"/>
    </row>
    <row r="227" spans="1:8" s="1056" customFormat="1" ht="14.25" customHeight="1" thickBot="1">
      <c r="A227" s="1068" t="s">
        <v>1391</v>
      </c>
      <c r="B227" s="1062" t="s">
        <v>1267</v>
      </c>
      <c r="C227" s="1062">
        <v>5550</v>
      </c>
      <c r="D227" s="1062">
        <v>5500</v>
      </c>
      <c r="E227" s="1062">
        <v>5780</v>
      </c>
      <c r="F227" s="1080">
        <v>940</v>
      </c>
      <c r="H227" s="1087"/>
    </row>
    <row r="228" spans="1:8" s="1056" customFormat="1" ht="14.25" customHeight="1" thickBot="1">
      <c r="A228" s="1068" t="s">
        <v>1391</v>
      </c>
      <c r="B228" s="1062" t="s">
        <v>1274</v>
      </c>
      <c r="C228" s="1062">
        <v>5460</v>
      </c>
      <c r="D228" s="1062">
        <v>5420</v>
      </c>
      <c r="E228" s="1062">
        <v>5690</v>
      </c>
      <c r="F228" s="1080">
        <v>910</v>
      </c>
      <c r="H228" s="1087"/>
    </row>
    <row r="229" spans="1:8" s="1056" customFormat="1" ht="14.25" customHeight="1" thickBot="1">
      <c r="A229" s="1068" t="s">
        <v>1391</v>
      </c>
      <c r="B229" s="1062" t="s">
        <v>1281</v>
      </c>
      <c r="C229" s="1062">
        <v>5310</v>
      </c>
      <c r="D229" s="1062">
        <v>5270</v>
      </c>
      <c r="E229" s="1062">
        <v>5510</v>
      </c>
      <c r="F229" s="1089"/>
      <c r="H229" s="1087"/>
    </row>
    <row r="230" spans="1:8" s="1056" customFormat="1" ht="14.25" customHeight="1" thickBot="1">
      <c r="A230" s="1068" t="s">
        <v>1391</v>
      </c>
      <c r="B230" s="1062" t="s">
        <v>1288</v>
      </c>
      <c r="C230" s="1062">
        <v>4540</v>
      </c>
      <c r="D230" s="1062">
        <v>4500</v>
      </c>
      <c r="E230" s="1062">
        <v>4730</v>
      </c>
      <c r="F230" s="1089"/>
      <c r="H230" s="1087"/>
    </row>
    <row r="231" spans="1:8" s="1056" customFormat="1" ht="14.25" customHeight="1" thickBot="1">
      <c r="A231" s="1068" t="s">
        <v>1391</v>
      </c>
      <c r="B231" s="1062" t="s">
        <v>1295</v>
      </c>
      <c r="C231" s="1062">
        <v>4480</v>
      </c>
      <c r="D231" s="1062">
        <v>4410</v>
      </c>
      <c r="E231" s="1062">
        <v>4640</v>
      </c>
      <c r="F231" s="1089"/>
      <c r="H231" s="1087"/>
    </row>
    <row r="232" spans="1:8" s="1056" customFormat="1" ht="14.25" customHeight="1" thickBot="1">
      <c r="A232" s="1068" t="s">
        <v>1391</v>
      </c>
      <c r="B232" s="1062" t="s">
        <v>1302</v>
      </c>
      <c r="C232" s="1062">
        <v>5670</v>
      </c>
      <c r="D232" s="1062">
        <v>5600</v>
      </c>
      <c r="E232" s="1062">
        <v>5890</v>
      </c>
      <c r="F232" s="1080">
        <v>1150</v>
      </c>
      <c r="H232" s="1087"/>
    </row>
    <row r="233" spans="1:8" s="1056" customFormat="1" ht="14.25" customHeight="1" thickBot="1">
      <c r="A233" s="1068" t="s">
        <v>1391</v>
      </c>
      <c r="B233" s="1062" t="s">
        <v>1309</v>
      </c>
      <c r="C233" s="1062">
        <v>4590</v>
      </c>
      <c r="D233" s="1062">
        <v>4500</v>
      </c>
      <c r="E233" s="1062">
        <v>4600</v>
      </c>
      <c r="F233" s="1089"/>
      <c r="H233" s="1087"/>
    </row>
    <row r="234" spans="1:8" s="1056" customFormat="1" ht="14.25" customHeight="1" thickBot="1">
      <c r="A234" s="1068" t="s">
        <v>1391</v>
      </c>
      <c r="B234" s="1062" t="s">
        <v>2398</v>
      </c>
      <c r="C234" s="1062">
        <v>3990</v>
      </c>
      <c r="D234" s="1062">
        <v>3950</v>
      </c>
      <c r="E234" s="1062">
        <v>4180</v>
      </c>
      <c r="F234" s="1089"/>
      <c r="H234" s="1087"/>
    </row>
    <row r="235" spans="1:8" s="1056" customFormat="1" ht="14.25" customHeight="1" thickBot="1">
      <c r="A235" s="1068" t="s">
        <v>1391</v>
      </c>
      <c r="B235" s="1062" t="s">
        <v>1318</v>
      </c>
      <c r="C235" s="1062">
        <v>5590</v>
      </c>
      <c r="D235" s="1062">
        <v>5540</v>
      </c>
      <c r="E235" s="1062">
        <v>5810</v>
      </c>
      <c r="F235" s="1080">
        <v>970</v>
      </c>
      <c r="H235" s="1087"/>
    </row>
    <row r="236" spans="1:8" s="1056" customFormat="1" ht="14.25" customHeight="1" thickBot="1">
      <c r="A236" s="1068" t="s">
        <v>1391</v>
      </c>
      <c r="B236" s="1062" t="s">
        <v>1323</v>
      </c>
      <c r="C236" s="1062"/>
      <c r="D236" s="1062"/>
      <c r="E236" s="1062"/>
      <c r="F236" s="1080">
        <v>1020</v>
      </c>
      <c r="H236" s="1087"/>
    </row>
    <row r="237" spans="1:8" s="1056" customFormat="1" ht="14.25" customHeight="1" thickBot="1">
      <c r="A237" s="1068" t="s">
        <v>1391</v>
      </c>
      <c r="B237" s="1062" t="s">
        <v>1328</v>
      </c>
      <c r="C237" s="1062"/>
      <c r="D237" s="1062"/>
      <c r="E237" s="1062"/>
      <c r="F237" s="1080">
        <v>960</v>
      </c>
      <c r="H237" s="1087"/>
    </row>
    <row r="238" spans="1:8" s="1056" customFormat="1" ht="14.25" customHeight="1" thickBot="1">
      <c r="A238" s="1068" t="s">
        <v>1391</v>
      </c>
      <c r="B238" s="1062" t="s">
        <v>1333</v>
      </c>
      <c r="C238" s="1062"/>
      <c r="D238" s="1062"/>
      <c r="E238" s="1062"/>
      <c r="F238" s="1080">
        <v>960</v>
      </c>
      <c r="H238" s="1087"/>
    </row>
    <row r="239" spans="1:8" s="1056" customFormat="1" ht="14.25" customHeight="1" thickBot="1">
      <c r="A239" s="1068" t="s">
        <v>1391</v>
      </c>
      <c r="B239" s="1062" t="s">
        <v>1338</v>
      </c>
      <c r="C239" s="1062"/>
      <c r="D239" s="1062"/>
      <c r="E239" s="1062"/>
      <c r="F239" s="1080">
        <v>960</v>
      </c>
      <c r="H239" s="1087"/>
    </row>
    <row r="240" spans="1:8" s="1056" customFormat="1" ht="14.25" customHeight="1" thickBot="1">
      <c r="A240" s="1068" t="s">
        <v>1391</v>
      </c>
      <c r="B240" s="1062" t="s">
        <v>1342</v>
      </c>
      <c r="C240" s="1062"/>
      <c r="D240" s="1062"/>
      <c r="E240" s="1062"/>
      <c r="F240" s="1080">
        <v>990</v>
      </c>
      <c r="H240" s="1087"/>
    </row>
    <row r="241" spans="1:8" s="1056" customFormat="1" ht="14.25" customHeight="1" thickBot="1">
      <c r="A241" s="1068" t="s">
        <v>1391</v>
      </c>
      <c r="B241" s="1062" t="s">
        <v>1346</v>
      </c>
      <c r="C241" s="1062"/>
      <c r="D241" s="1062"/>
      <c r="E241" s="1062"/>
      <c r="F241" s="1080">
        <v>1000</v>
      </c>
      <c r="H241" s="1087"/>
    </row>
    <row r="242" spans="1:8" s="1056" customFormat="1" ht="14.25" customHeight="1" thickBot="1">
      <c r="A242" s="1068" t="s">
        <v>1391</v>
      </c>
      <c r="B242" s="1062" t="s">
        <v>1350</v>
      </c>
      <c r="C242" s="1062"/>
      <c r="D242" s="1062"/>
      <c r="E242" s="1062"/>
      <c r="F242" s="1080">
        <v>980</v>
      </c>
      <c r="H242" s="1087"/>
    </row>
    <row r="243" spans="1:8" s="1056" customFormat="1" ht="14.25" customHeight="1" thickBot="1">
      <c r="A243" s="1068" t="s">
        <v>1391</v>
      </c>
      <c r="B243" s="1062" t="s">
        <v>1354</v>
      </c>
      <c r="C243" s="1062"/>
      <c r="D243" s="1062"/>
      <c r="E243" s="1062"/>
      <c r="F243" s="1080">
        <v>970</v>
      </c>
      <c r="H243" s="1087"/>
    </row>
    <row r="244" spans="1:8" s="1056" customFormat="1" ht="14.25" customHeight="1" thickBot="1">
      <c r="A244" s="1068" t="s">
        <v>1391</v>
      </c>
      <c r="B244" s="1078" t="s">
        <v>1358</v>
      </c>
      <c r="C244" s="1078"/>
      <c r="D244" s="1078"/>
      <c r="E244" s="1078"/>
      <c r="F244" s="1088">
        <v>970</v>
      </c>
      <c r="H244" s="1087"/>
    </row>
    <row r="245" spans="1:8" s="1056" customFormat="1" ht="14.25" customHeight="1" thickBot="1">
      <c r="A245" s="1068" t="s">
        <v>1393</v>
      </c>
      <c r="B245" s="1069" t="s">
        <v>1394</v>
      </c>
      <c r="C245" s="1069">
        <v>4050</v>
      </c>
      <c r="D245" s="1069">
        <v>4020</v>
      </c>
      <c r="E245" s="1069">
        <v>4160</v>
      </c>
      <c r="F245" s="1070">
        <v>840</v>
      </c>
      <c r="H245" s="1087"/>
    </row>
    <row r="246" spans="1:8" s="1056" customFormat="1" ht="14.25" customHeight="1" thickBot="1">
      <c r="A246" s="1068" t="s">
        <v>1393</v>
      </c>
      <c r="B246" s="1062" t="s">
        <v>1056</v>
      </c>
      <c r="C246" s="1062">
        <v>4010</v>
      </c>
      <c r="D246" s="1062">
        <v>3960</v>
      </c>
      <c r="E246" s="1062">
        <v>4130</v>
      </c>
      <c r="F246" s="1080">
        <v>840</v>
      </c>
      <c r="H246" s="1087"/>
    </row>
    <row r="247" spans="1:8" s="1056" customFormat="1" ht="14.25" customHeight="1" thickBot="1">
      <c r="A247" s="1068" t="s">
        <v>1393</v>
      </c>
      <c r="B247" s="1062" t="s">
        <v>1395</v>
      </c>
      <c r="C247" s="1062">
        <v>3170</v>
      </c>
      <c r="D247" s="1062">
        <v>3140</v>
      </c>
      <c r="E247" s="1062">
        <v>3270</v>
      </c>
      <c r="F247" s="1080">
        <v>640</v>
      </c>
      <c r="H247" s="1087"/>
    </row>
    <row r="248" spans="1:8" s="1056" customFormat="1" ht="14.25" customHeight="1" thickBot="1">
      <c r="A248" s="1068" t="s">
        <v>1393</v>
      </c>
      <c r="B248" s="1062" t="s">
        <v>1396</v>
      </c>
      <c r="C248" s="1062">
        <v>3140</v>
      </c>
      <c r="D248" s="1062">
        <v>3120</v>
      </c>
      <c r="E248" s="1062">
        <v>3240</v>
      </c>
      <c r="F248" s="1080">
        <v>620</v>
      </c>
      <c r="H248" s="1087"/>
    </row>
    <row r="249" spans="1:8" s="1056" customFormat="1" ht="14.25" customHeight="1" thickBot="1">
      <c r="A249" s="1068" t="s">
        <v>1393</v>
      </c>
      <c r="B249" s="1062" t="s">
        <v>1097</v>
      </c>
      <c r="C249" s="1062">
        <v>3200</v>
      </c>
      <c r="D249" s="1062">
        <v>3100</v>
      </c>
      <c r="E249" s="1062">
        <v>3230</v>
      </c>
      <c r="F249" s="1080">
        <v>750</v>
      </c>
      <c r="H249" s="1087"/>
    </row>
    <row r="250" spans="1:8" s="1056" customFormat="1" ht="14.25" customHeight="1" thickBot="1">
      <c r="A250" s="1068" t="s">
        <v>1393</v>
      </c>
      <c r="B250" s="1062" t="s">
        <v>1108</v>
      </c>
      <c r="C250" s="1062">
        <v>4060</v>
      </c>
      <c r="D250" s="1062">
        <v>4000</v>
      </c>
      <c r="E250" s="1062">
        <v>4140</v>
      </c>
      <c r="F250" s="1080">
        <v>790</v>
      </c>
      <c r="H250" s="1087"/>
    </row>
    <row r="251" spans="1:8" s="1056" customFormat="1" ht="14.25" customHeight="1" thickBot="1">
      <c r="A251" s="1068" t="s">
        <v>1393</v>
      </c>
      <c r="B251" s="1062" t="s">
        <v>1119</v>
      </c>
      <c r="C251" s="1062">
        <v>3990</v>
      </c>
      <c r="D251" s="1062">
        <v>3970</v>
      </c>
      <c r="E251" s="1062">
        <v>4110</v>
      </c>
      <c r="F251" s="1080">
        <v>730</v>
      </c>
      <c r="H251" s="1087"/>
    </row>
    <row r="252" spans="1:8" s="1056" customFormat="1" ht="14.25" customHeight="1" thickBot="1">
      <c r="A252" s="1068" t="s">
        <v>1393</v>
      </c>
      <c r="B252" s="1062" t="s">
        <v>1130</v>
      </c>
      <c r="C252" s="1062">
        <v>3560</v>
      </c>
      <c r="D252" s="1062">
        <v>3530</v>
      </c>
      <c r="E252" s="1062">
        <v>3650</v>
      </c>
      <c r="F252" s="1080">
        <v>750</v>
      </c>
      <c r="H252" s="1087"/>
    </row>
    <row r="253" spans="1:8" s="1056" customFormat="1" ht="14.25" customHeight="1" thickBot="1">
      <c r="A253" s="1068" t="s">
        <v>1393</v>
      </c>
      <c r="B253" s="1062" t="s">
        <v>1142</v>
      </c>
      <c r="C253" s="1062">
        <v>3780</v>
      </c>
      <c r="D253" s="1062">
        <v>3750</v>
      </c>
      <c r="E253" s="1062">
        <v>3870</v>
      </c>
      <c r="F253" s="1080">
        <v>770</v>
      </c>
      <c r="H253" s="1087"/>
    </row>
    <row r="254" spans="1:8" s="1056" customFormat="1" ht="14.25" customHeight="1" thickBot="1">
      <c r="A254" s="1068" t="s">
        <v>1393</v>
      </c>
      <c r="B254" s="1062" t="s">
        <v>1152</v>
      </c>
      <c r="C254" s="1090"/>
      <c r="D254" s="1090"/>
      <c r="E254" s="1090"/>
      <c r="F254" s="1080">
        <v>740</v>
      </c>
      <c r="H254" s="1087"/>
    </row>
    <row r="255" spans="1:8" s="1056" customFormat="1" ht="14.25" customHeight="1" thickBot="1">
      <c r="A255" s="1068" t="s">
        <v>1393</v>
      </c>
      <c r="B255" s="1062" t="s">
        <v>1162</v>
      </c>
      <c r="C255" s="1090"/>
      <c r="D255" s="1090"/>
      <c r="E255" s="1090"/>
      <c r="F255" s="1080">
        <v>760</v>
      </c>
      <c r="H255" s="1087"/>
    </row>
    <row r="256" spans="1:8" s="1056" customFormat="1" ht="14.25" customHeight="1" thickBot="1">
      <c r="A256" s="1068" t="s">
        <v>1393</v>
      </c>
      <c r="B256" s="1062" t="s">
        <v>1172</v>
      </c>
      <c r="C256" s="1062">
        <v>3760</v>
      </c>
      <c r="D256" s="1062">
        <v>3730</v>
      </c>
      <c r="E256" s="1062">
        <v>3870</v>
      </c>
      <c r="F256" s="1080">
        <v>830</v>
      </c>
      <c r="H256" s="1087"/>
    </row>
    <row r="257" spans="1:8" s="1056" customFormat="1" ht="14.25" customHeight="1" thickBot="1">
      <c r="A257" s="1068" t="s">
        <v>1393</v>
      </c>
      <c r="B257" s="1062" t="s">
        <v>1182</v>
      </c>
      <c r="C257" s="1062">
        <v>3570</v>
      </c>
      <c r="D257" s="1062">
        <v>3540</v>
      </c>
      <c r="E257" s="1062">
        <v>3650</v>
      </c>
      <c r="F257" s="1080">
        <v>790</v>
      </c>
      <c r="H257" s="1087"/>
    </row>
    <row r="258" spans="1:8" s="1056" customFormat="1" ht="14.25" customHeight="1" thickBot="1">
      <c r="A258" s="1068" t="s">
        <v>1393</v>
      </c>
      <c r="B258" s="1062" t="s">
        <v>1192</v>
      </c>
      <c r="C258" s="1062">
        <v>3410</v>
      </c>
      <c r="D258" s="1062">
        <v>3380</v>
      </c>
      <c r="E258" s="1062">
        <v>3500</v>
      </c>
      <c r="F258" s="1080">
        <v>830</v>
      </c>
      <c r="H258" s="1087"/>
    </row>
    <row r="259" spans="1:8" s="1056" customFormat="1" ht="14.25" customHeight="1" thickBot="1">
      <c r="A259" s="1068" t="s">
        <v>1393</v>
      </c>
      <c r="B259" s="1062" t="s">
        <v>1202</v>
      </c>
      <c r="C259" s="1062">
        <v>3870</v>
      </c>
      <c r="D259" s="1062">
        <v>3840</v>
      </c>
      <c r="E259" s="1062">
        <v>3970</v>
      </c>
      <c r="F259" s="1080">
        <v>830</v>
      </c>
      <c r="H259" s="1087"/>
    </row>
    <row r="260" spans="1:8" s="1056" customFormat="1" ht="14.25" customHeight="1" thickBot="1">
      <c r="A260" s="1068" t="s">
        <v>1393</v>
      </c>
      <c r="B260" s="1062" t="s">
        <v>1212</v>
      </c>
      <c r="C260" s="1062">
        <v>3700</v>
      </c>
      <c r="D260" s="1062">
        <v>3660</v>
      </c>
      <c r="E260" s="1062">
        <v>3810</v>
      </c>
      <c r="F260" s="1080">
        <v>790</v>
      </c>
      <c r="H260" s="1087"/>
    </row>
    <row r="261" spans="1:8" s="1056" customFormat="1" ht="14.25" customHeight="1" thickBot="1">
      <c r="A261" s="1068" t="s">
        <v>1393</v>
      </c>
      <c r="B261" s="1062" t="s">
        <v>1222</v>
      </c>
      <c r="C261" s="1062">
        <v>3470</v>
      </c>
      <c r="D261" s="1062">
        <v>3430</v>
      </c>
      <c r="E261" s="1062">
        <v>3640</v>
      </c>
      <c r="F261" s="1080">
        <v>760</v>
      </c>
      <c r="H261" s="1087"/>
    </row>
    <row r="262" spans="1:8" s="1056" customFormat="1" ht="14.25" customHeight="1" thickBot="1">
      <c r="A262" s="1068" t="s">
        <v>1393</v>
      </c>
      <c r="B262" s="1062" t="s">
        <v>1232</v>
      </c>
      <c r="C262" s="1062">
        <v>3510</v>
      </c>
      <c r="D262" s="1062">
        <v>3470</v>
      </c>
      <c r="E262" s="1062">
        <v>3680</v>
      </c>
      <c r="F262" s="1089"/>
      <c r="H262" s="1087"/>
    </row>
    <row r="263" spans="1:8" s="1056" customFormat="1" ht="14.25" customHeight="1" thickBot="1">
      <c r="A263" s="1068" t="s">
        <v>1393</v>
      </c>
      <c r="B263" s="1062" t="s">
        <v>1242</v>
      </c>
      <c r="C263" s="1062">
        <v>3960</v>
      </c>
      <c r="D263" s="1062">
        <v>3930</v>
      </c>
      <c r="E263" s="1062">
        <v>4070</v>
      </c>
      <c r="F263" s="1080">
        <v>830</v>
      </c>
      <c r="H263" s="1087"/>
    </row>
    <row r="264" spans="1:8" s="1056" customFormat="1" ht="14.25" customHeight="1" thickBot="1">
      <c r="A264" s="1068" t="s">
        <v>1393</v>
      </c>
      <c r="B264" s="1062" t="s">
        <v>1251</v>
      </c>
      <c r="C264" s="1062">
        <v>4010</v>
      </c>
      <c r="D264" s="1062">
        <v>3980</v>
      </c>
      <c r="E264" s="1062">
        <v>4150</v>
      </c>
      <c r="F264" s="1080">
        <v>760</v>
      </c>
      <c r="H264" s="1087"/>
    </row>
    <row r="265" spans="1:8" s="1056" customFormat="1" ht="14.25" customHeight="1" thickBot="1">
      <c r="A265" s="1068" t="s">
        <v>1393</v>
      </c>
      <c r="B265" s="1062" t="s">
        <v>1260</v>
      </c>
      <c r="C265" s="1062">
        <v>3910</v>
      </c>
      <c r="D265" s="1062">
        <v>3890</v>
      </c>
      <c r="E265" s="1062">
        <v>4040</v>
      </c>
      <c r="F265" s="1080">
        <v>780</v>
      </c>
      <c r="H265" s="1087"/>
    </row>
    <row r="266" spans="1:8" s="1056" customFormat="1" ht="14.25" customHeight="1" thickBot="1">
      <c r="A266" s="1068" t="s">
        <v>1393</v>
      </c>
      <c r="B266" s="1062" t="s">
        <v>1268</v>
      </c>
      <c r="C266" s="1062">
        <v>3930</v>
      </c>
      <c r="D266" s="1062">
        <v>3900</v>
      </c>
      <c r="E266" s="1062">
        <v>4080</v>
      </c>
      <c r="F266" s="1080">
        <v>770</v>
      </c>
      <c r="H266" s="1087"/>
    </row>
    <row r="267" spans="1:8" s="1056" customFormat="1" ht="14.25" customHeight="1" thickBot="1">
      <c r="A267" s="1068" t="s">
        <v>1393</v>
      </c>
      <c r="B267" s="1062" t="s">
        <v>1275</v>
      </c>
      <c r="C267" s="1062">
        <v>3800</v>
      </c>
      <c r="D267" s="1062">
        <v>3780</v>
      </c>
      <c r="E267" s="1062">
        <v>3930</v>
      </c>
      <c r="F267" s="1089"/>
      <c r="H267" s="1087"/>
    </row>
    <row r="268" spans="1:8" s="1056" customFormat="1" ht="14.25" customHeight="1" thickBot="1">
      <c r="A268" s="1068" t="s">
        <v>1393</v>
      </c>
      <c r="B268" s="1062" t="s">
        <v>1282</v>
      </c>
      <c r="C268" s="1062">
        <v>3460</v>
      </c>
      <c r="D268" s="1062">
        <v>3430</v>
      </c>
      <c r="E268" s="1062">
        <v>3560</v>
      </c>
      <c r="F268" s="1080">
        <v>840</v>
      </c>
      <c r="H268" s="1087"/>
    </row>
    <row r="269" spans="1:8" s="1056" customFormat="1" ht="14.25" customHeight="1" thickBot="1">
      <c r="A269" s="1068" t="s">
        <v>1393</v>
      </c>
      <c r="B269" s="1062" t="s">
        <v>1289</v>
      </c>
      <c r="C269" s="1062">
        <v>3210</v>
      </c>
      <c r="D269" s="1062">
        <v>3190</v>
      </c>
      <c r="E269" s="1062">
        <v>3310</v>
      </c>
      <c r="F269" s="1080">
        <v>730</v>
      </c>
      <c r="H269" s="1087"/>
    </row>
    <row r="270" spans="1:8" s="1056" customFormat="1" ht="14.25" customHeight="1" thickBot="1">
      <c r="A270" s="1068" t="s">
        <v>1393</v>
      </c>
      <c r="B270" s="1062" t="s">
        <v>1296</v>
      </c>
      <c r="C270" s="1062">
        <v>3240</v>
      </c>
      <c r="D270" s="1062">
        <v>3210</v>
      </c>
      <c r="E270" s="1062">
        <v>3390</v>
      </c>
      <c r="F270" s="1080">
        <v>820</v>
      </c>
      <c r="H270" s="1087"/>
    </row>
    <row r="271" spans="1:8" s="1056" customFormat="1" ht="14.25" customHeight="1" thickBot="1">
      <c r="A271" s="1068" t="s">
        <v>1393</v>
      </c>
      <c r="B271" s="1062" t="s">
        <v>1303</v>
      </c>
      <c r="C271" s="1062">
        <v>3300</v>
      </c>
      <c r="D271" s="1062">
        <v>3270</v>
      </c>
      <c r="E271" s="1062">
        <v>3380</v>
      </c>
      <c r="F271" s="1080">
        <v>750</v>
      </c>
      <c r="H271" s="1087"/>
    </row>
    <row r="272" spans="1:8" s="1056" customFormat="1" ht="14.25" customHeight="1" thickBot="1">
      <c r="A272" s="1068" t="s">
        <v>1393</v>
      </c>
      <c r="B272" s="1062" t="s">
        <v>1310</v>
      </c>
      <c r="C272" s="1090"/>
      <c r="D272" s="1090"/>
      <c r="E272" s="1090"/>
      <c r="F272" s="1080">
        <v>740</v>
      </c>
      <c r="H272" s="1087"/>
    </row>
    <row r="273" spans="1:8" s="1056" customFormat="1" ht="14.25" customHeight="1" thickBot="1">
      <c r="A273" s="1068" t="s">
        <v>1393</v>
      </c>
      <c r="B273" s="1062" t="s">
        <v>1314</v>
      </c>
      <c r="C273" s="1062">
        <v>3130</v>
      </c>
      <c r="D273" s="1062">
        <v>3100</v>
      </c>
      <c r="E273" s="1062">
        <v>3230</v>
      </c>
      <c r="F273" s="1080">
        <v>700</v>
      </c>
      <c r="H273" s="1087"/>
    </row>
    <row r="274" spans="1:8" s="1056" customFormat="1" ht="14.25" customHeight="1" thickBot="1">
      <c r="A274" s="1068" t="s">
        <v>1393</v>
      </c>
      <c r="B274" s="1062" t="s">
        <v>1319</v>
      </c>
      <c r="C274" s="1062">
        <v>3460</v>
      </c>
      <c r="D274" s="1062">
        <v>3430</v>
      </c>
      <c r="E274" s="1062">
        <v>3560</v>
      </c>
      <c r="F274" s="1080">
        <v>690</v>
      </c>
      <c r="H274" s="1087"/>
    </row>
    <row r="275" spans="1:8" s="1056" customFormat="1" ht="14.25" customHeight="1" thickBot="1">
      <c r="A275" s="1068" t="s">
        <v>1393</v>
      </c>
      <c r="B275" s="1062" t="s">
        <v>1324</v>
      </c>
      <c r="C275" s="1062">
        <v>4040</v>
      </c>
      <c r="D275" s="1062">
        <v>4020</v>
      </c>
      <c r="E275" s="1062">
        <v>4160</v>
      </c>
      <c r="F275" s="1080">
        <v>820</v>
      </c>
      <c r="H275" s="1087"/>
    </row>
    <row r="276" spans="1:8" s="1056" customFormat="1" ht="14.25" customHeight="1" thickBot="1">
      <c r="A276" s="1068" t="s">
        <v>1393</v>
      </c>
      <c r="B276" s="1062" t="s">
        <v>1329</v>
      </c>
      <c r="C276" s="1062">
        <v>3270</v>
      </c>
      <c r="D276" s="1062">
        <v>3240</v>
      </c>
      <c r="E276" s="1062">
        <v>3350</v>
      </c>
      <c r="F276" s="1080">
        <v>680</v>
      </c>
      <c r="H276" s="1087"/>
    </row>
    <row r="277" spans="1:8" s="1056" customFormat="1" ht="14.25" customHeight="1" thickBot="1">
      <c r="A277" s="1068" t="s">
        <v>1393</v>
      </c>
      <c r="B277" s="1062" t="s">
        <v>1334</v>
      </c>
      <c r="C277" s="1062">
        <v>2930</v>
      </c>
      <c r="D277" s="1062">
        <v>2900</v>
      </c>
      <c r="E277" s="1062">
        <v>3000</v>
      </c>
      <c r="F277" s="1080">
        <v>640</v>
      </c>
      <c r="H277" s="1087"/>
    </row>
    <row r="278" spans="1:8" s="1056" customFormat="1" ht="14.25" customHeight="1" thickBot="1">
      <c r="A278" s="1068" t="s">
        <v>1393</v>
      </c>
      <c r="B278" s="1062" t="s">
        <v>1339</v>
      </c>
      <c r="C278" s="1062">
        <v>4080</v>
      </c>
      <c r="D278" s="1062">
        <v>4030</v>
      </c>
      <c r="E278" s="1062">
        <v>4140</v>
      </c>
      <c r="F278" s="1080">
        <v>850</v>
      </c>
      <c r="H278" s="1087"/>
    </row>
    <row r="279" spans="1:8" s="1056" customFormat="1" ht="14.25" customHeight="1" thickBot="1">
      <c r="A279" s="1068" t="s">
        <v>1393</v>
      </c>
      <c r="B279" s="1062" t="s">
        <v>1343</v>
      </c>
      <c r="C279" s="1062"/>
      <c r="D279" s="1062"/>
      <c r="E279" s="1062"/>
      <c r="F279" s="1080">
        <v>760</v>
      </c>
      <c r="H279" s="1087"/>
    </row>
    <row r="280" spans="1:8" s="1056" customFormat="1" ht="14.25" customHeight="1" thickBot="1">
      <c r="A280" s="1068" t="s">
        <v>1393</v>
      </c>
      <c r="B280" s="1062" t="s">
        <v>1347</v>
      </c>
      <c r="C280" s="1062"/>
      <c r="D280" s="1062"/>
      <c r="E280" s="1062"/>
      <c r="F280" s="1080">
        <v>760</v>
      </c>
      <c r="H280" s="1087"/>
    </row>
    <row r="281" spans="1:8" s="1056" customFormat="1" ht="14.25" customHeight="1" thickBot="1">
      <c r="A281" s="1068" t="s">
        <v>1393</v>
      </c>
      <c r="B281" s="1062" t="s">
        <v>1351</v>
      </c>
      <c r="C281" s="1062"/>
      <c r="D281" s="1062"/>
      <c r="E281" s="1062"/>
      <c r="F281" s="1080">
        <v>780</v>
      </c>
      <c r="H281" s="1087"/>
    </row>
    <row r="282" spans="1:8" s="1056" customFormat="1" ht="14.25" customHeight="1" thickBot="1">
      <c r="A282" s="1068" t="s">
        <v>1393</v>
      </c>
      <c r="B282" s="1062" t="s">
        <v>1355</v>
      </c>
      <c r="C282" s="1062"/>
      <c r="D282" s="1062"/>
      <c r="E282" s="1062"/>
      <c r="F282" s="1080">
        <v>730</v>
      </c>
      <c r="H282" s="1087"/>
    </row>
    <row r="283" spans="1:8" s="1056" customFormat="1" ht="14.25" customHeight="1" thickBot="1">
      <c r="A283" s="1068" t="s">
        <v>1393</v>
      </c>
      <c r="B283" s="1062" t="s">
        <v>1359</v>
      </c>
      <c r="C283" s="1062"/>
      <c r="D283" s="1062"/>
      <c r="E283" s="1062"/>
      <c r="F283" s="1080">
        <v>770</v>
      </c>
      <c r="H283" s="1087"/>
    </row>
    <row r="284" spans="1:8" s="1056" customFormat="1" ht="14.25" customHeight="1" thickBot="1">
      <c r="A284" s="1068" t="s">
        <v>1393</v>
      </c>
      <c r="B284" s="1062" t="s">
        <v>1362</v>
      </c>
      <c r="C284" s="1062"/>
      <c r="D284" s="1062"/>
      <c r="E284" s="1062"/>
      <c r="F284" s="1080">
        <v>640</v>
      </c>
      <c r="H284" s="1087"/>
    </row>
    <row r="285" spans="1:8" s="1056" customFormat="1" ht="14.25" customHeight="1" thickBot="1">
      <c r="A285" s="1068" t="s">
        <v>1393</v>
      </c>
      <c r="B285" s="1062" t="s">
        <v>1365</v>
      </c>
      <c r="C285" s="1062"/>
      <c r="D285" s="1062"/>
      <c r="E285" s="1062"/>
      <c r="F285" s="1080">
        <v>640</v>
      </c>
      <c r="H285" s="1087"/>
    </row>
    <row r="286" spans="1:8" s="1056" customFormat="1" ht="14.25" customHeight="1" thickBot="1">
      <c r="A286" s="1068" t="s">
        <v>1393</v>
      </c>
      <c r="B286" s="1062" t="s">
        <v>1368</v>
      </c>
      <c r="C286" s="1062"/>
      <c r="D286" s="1062"/>
      <c r="E286" s="1062"/>
      <c r="F286" s="1080">
        <v>850</v>
      </c>
      <c r="H286" s="1087"/>
    </row>
    <row r="287" spans="1:8" s="1056" customFormat="1" ht="14.25" customHeight="1" thickBot="1">
      <c r="A287" s="1068" t="s">
        <v>1393</v>
      </c>
      <c r="B287" s="1062" t="s">
        <v>1371</v>
      </c>
      <c r="C287" s="1062"/>
      <c r="D287" s="1062"/>
      <c r="E287" s="1062"/>
      <c r="F287" s="1080">
        <v>760</v>
      </c>
      <c r="H287" s="1087"/>
    </row>
    <row r="288" spans="1:8" s="1056" customFormat="1" ht="14.25" customHeight="1" thickBot="1">
      <c r="A288" s="1068" t="s">
        <v>1393</v>
      </c>
      <c r="B288" s="1062" t="s">
        <v>1374</v>
      </c>
      <c r="C288" s="1062"/>
      <c r="D288" s="1062"/>
      <c r="E288" s="1062"/>
      <c r="F288" s="1080">
        <v>830</v>
      </c>
      <c r="H288" s="1087"/>
    </row>
    <row r="289" spans="1:8" s="1056" customFormat="1" ht="14.25" customHeight="1" thickBot="1">
      <c r="A289" s="1068" t="s">
        <v>1393</v>
      </c>
      <c r="B289" s="1078" t="s">
        <v>1377</v>
      </c>
      <c r="C289" s="1078"/>
      <c r="D289" s="1078"/>
      <c r="E289" s="1078"/>
      <c r="F289" s="1088">
        <v>680</v>
      </c>
      <c r="H289" s="1087"/>
    </row>
    <row r="290" spans="1:8" s="1056" customFormat="1" ht="14.25" customHeight="1" thickBot="1">
      <c r="A290" s="1068" t="s">
        <v>1397</v>
      </c>
      <c r="B290" s="1069" t="s">
        <v>1398</v>
      </c>
      <c r="C290" s="1069">
        <v>2770</v>
      </c>
      <c r="D290" s="1069">
        <v>2740</v>
      </c>
      <c r="E290" s="1069">
        <v>2720</v>
      </c>
      <c r="F290" s="1091"/>
      <c r="H290" s="1087"/>
    </row>
    <row r="291" spans="1:8" s="1056" customFormat="1" ht="14.25" customHeight="1" thickBot="1">
      <c r="A291" s="1068" t="s">
        <v>1397</v>
      </c>
      <c r="B291" s="1062" t="s">
        <v>1057</v>
      </c>
      <c r="C291" s="1062">
        <v>2670</v>
      </c>
      <c r="D291" s="1062">
        <v>2640</v>
      </c>
      <c r="E291" s="1062">
        <v>2620</v>
      </c>
      <c r="F291" s="1089"/>
      <c r="H291" s="1087"/>
    </row>
    <row r="292" spans="1:8" s="1056" customFormat="1" ht="14.25" customHeight="1" thickBot="1">
      <c r="A292" s="1068" t="s">
        <v>1397</v>
      </c>
      <c r="B292" s="1062" t="s">
        <v>1399</v>
      </c>
      <c r="C292" s="1062">
        <v>2180</v>
      </c>
      <c r="D292" s="1062">
        <v>2140</v>
      </c>
      <c r="E292" s="1062">
        <v>2120</v>
      </c>
      <c r="F292" s="1080">
        <v>490</v>
      </c>
      <c r="H292" s="1087"/>
    </row>
    <row r="293" spans="1:8" s="1056" customFormat="1" ht="14.25" customHeight="1" thickBot="1">
      <c r="A293" s="1068" t="s">
        <v>1397</v>
      </c>
      <c r="B293" s="1062" t="s">
        <v>1400</v>
      </c>
      <c r="C293" s="1062"/>
      <c r="D293" s="1062"/>
      <c r="E293" s="1062"/>
      <c r="F293" s="1080">
        <v>470</v>
      </c>
      <c r="H293" s="1087"/>
    </row>
    <row r="294" spans="1:8" s="1056" customFormat="1" ht="14.25" customHeight="1" thickBot="1">
      <c r="A294" s="1068" t="s">
        <v>1397</v>
      </c>
      <c r="B294" s="1062" t="s">
        <v>1401</v>
      </c>
      <c r="C294" s="1062">
        <v>2730</v>
      </c>
      <c r="D294" s="1062">
        <v>2700</v>
      </c>
      <c r="E294" s="1062">
        <v>2680</v>
      </c>
      <c r="F294" s="1080">
        <v>490</v>
      </c>
      <c r="H294" s="1087"/>
    </row>
    <row r="295" spans="1:8" s="1056" customFormat="1" ht="14.25" customHeight="1" thickBot="1">
      <c r="A295" s="1068" t="s">
        <v>1397</v>
      </c>
      <c r="B295" s="1062" t="s">
        <v>1098</v>
      </c>
      <c r="C295" s="1062">
        <v>2380</v>
      </c>
      <c r="D295" s="1062">
        <v>2350</v>
      </c>
      <c r="E295" s="1062">
        <v>2330</v>
      </c>
      <c r="F295" s="1080">
        <v>530</v>
      </c>
      <c r="H295" s="1087"/>
    </row>
    <row r="296" spans="1:8" s="1056" customFormat="1" ht="14.25" customHeight="1" thickBot="1">
      <c r="A296" s="1068" t="s">
        <v>1397</v>
      </c>
      <c r="B296" s="1062" t="s">
        <v>1109</v>
      </c>
      <c r="C296" s="1062">
        <v>2650</v>
      </c>
      <c r="D296" s="1062">
        <v>2620</v>
      </c>
      <c r="E296" s="1062">
        <v>2590</v>
      </c>
      <c r="F296" s="1080">
        <v>590</v>
      </c>
      <c r="H296" s="1087"/>
    </row>
    <row r="297" spans="1:8" s="1056" customFormat="1" ht="14.25" customHeight="1" thickBot="1">
      <c r="A297" s="1068" t="s">
        <v>1397</v>
      </c>
      <c r="B297" s="1062" t="s">
        <v>1120</v>
      </c>
      <c r="C297" s="1062">
        <v>2700</v>
      </c>
      <c r="D297" s="1062">
        <v>2670</v>
      </c>
      <c r="E297" s="1062">
        <v>2650</v>
      </c>
      <c r="F297" s="1080">
        <v>630</v>
      </c>
      <c r="H297" s="1087"/>
    </row>
    <row r="298" spans="1:8" s="1056" customFormat="1" ht="14.25" customHeight="1" thickBot="1">
      <c r="A298" s="1068" t="s">
        <v>1397</v>
      </c>
      <c r="B298" s="1062" t="s">
        <v>1131</v>
      </c>
      <c r="C298" s="1062">
        <v>2650</v>
      </c>
      <c r="D298" s="1062">
        <v>2620</v>
      </c>
      <c r="E298" s="1062">
        <v>2590</v>
      </c>
      <c r="F298" s="1080">
        <v>640</v>
      </c>
      <c r="H298" s="1087"/>
    </row>
    <row r="299" spans="1:8" s="1056" customFormat="1" ht="14.25" customHeight="1" thickBot="1">
      <c r="A299" s="1068" t="s">
        <v>1397</v>
      </c>
      <c r="B299" s="1062" t="s">
        <v>1143</v>
      </c>
      <c r="C299" s="1062">
        <v>2500</v>
      </c>
      <c r="D299" s="1062">
        <v>2480</v>
      </c>
      <c r="E299" s="1062">
        <v>2460</v>
      </c>
      <c r="F299" s="1089"/>
      <c r="H299" s="1087"/>
    </row>
    <row r="300" spans="1:8" s="1056" customFormat="1" ht="14.25" customHeight="1" thickBot="1">
      <c r="A300" s="1068" t="s">
        <v>1397</v>
      </c>
      <c r="B300" s="1062" t="s">
        <v>1153</v>
      </c>
      <c r="C300" s="1062">
        <v>2760</v>
      </c>
      <c r="D300" s="1062">
        <v>2730</v>
      </c>
      <c r="E300" s="1062">
        <v>2700</v>
      </c>
      <c r="F300" s="1080">
        <v>630</v>
      </c>
      <c r="H300" s="1087"/>
    </row>
    <row r="301" spans="1:8" s="1056" customFormat="1" ht="14.25" customHeight="1" thickBot="1">
      <c r="A301" s="1068" t="s">
        <v>1397</v>
      </c>
      <c r="B301" s="1062" t="s">
        <v>1163</v>
      </c>
      <c r="C301" s="1062">
        <v>2510</v>
      </c>
      <c r="D301" s="1062">
        <v>2480</v>
      </c>
      <c r="E301" s="1062">
        <v>2460</v>
      </c>
      <c r="F301" s="1089"/>
      <c r="H301" s="1087"/>
    </row>
    <row r="302" spans="1:8" s="1056" customFormat="1" ht="14.25" customHeight="1" thickBot="1">
      <c r="A302" s="1068" t="s">
        <v>1397</v>
      </c>
      <c r="B302" s="1062" t="s">
        <v>1173</v>
      </c>
      <c r="C302" s="1062">
        <v>2480</v>
      </c>
      <c r="D302" s="1062">
        <v>2450</v>
      </c>
      <c r="E302" s="1062">
        <v>2420</v>
      </c>
      <c r="F302" s="1080">
        <v>600</v>
      </c>
      <c r="H302" s="1087"/>
    </row>
    <row r="303" spans="1:8" s="1056" customFormat="1" ht="14.25" customHeight="1" thickBot="1">
      <c r="A303" s="1068" t="s">
        <v>1397</v>
      </c>
      <c r="B303" s="1062" t="s">
        <v>1183</v>
      </c>
      <c r="C303" s="1062">
        <v>2270</v>
      </c>
      <c r="D303" s="1062">
        <v>2240</v>
      </c>
      <c r="E303" s="1062">
        <v>2210</v>
      </c>
      <c r="F303" s="1080">
        <v>540</v>
      </c>
      <c r="H303" s="1087"/>
    </row>
    <row r="304" spans="1:8" s="1056" customFormat="1" ht="14.25" customHeight="1" thickBot="1">
      <c r="A304" s="1068" t="s">
        <v>1397</v>
      </c>
      <c r="B304" s="1062" t="s">
        <v>1193</v>
      </c>
      <c r="C304" s="1062">
        <v>2310</v>
      </c>
      <c r="D304" s="1062">
        <v>2290</v>
      </c>
      <c r="E304" s="1062">
        <v>2270</v>
      </c>
      <c r="F304" s="1089"/>
      <c r="H304" s="1087"/>
    </row>
    <row r="305" spans="1:8" s="1056" customFormat="1" ht="14.25" customHeight="1" thickBot="1">
      <c r="A305" s="1068" t="s">
        <v>1397</v>
      </c>
      <c r="B305" s="1062" t="s">
        <v>1203</v>
      </c>
      <c r="C305" s="1062">
        <v>2490</v>
      </c>
      <c r="D305" s="1062">
        <v>2470</v>
      </c>
      <c r="E305" s="1062">
        <v>2440</v>
      </c>
      <c r="F305" s="1080">
        <v>560</v>
      </c>
      <c r="H305" s="1087"/>
    </row>
    <row r="306" spans="1:8" s="1056" customFormat="1" ht="14.25" customHeight="1" thickBot="1">
      <c r="A306" s="1068" t="s">
        <v>1397</v>
      </c>
      <c r="B306" s="1062" t="s">
        <v>1213</v>
      </c>
      <c r="C306" s="1062">
        <v>2420</v>
      </c>
      <c r="D306" s="1062">
        <v>2400</v>
      </c>
      <c r="E306" s="1062">
        <v>2380</v>
      </c>
      <c r="F306" s="1089"/>
      <c r="H306" s="1087"/>
    </row>
    <row r="307" spans="1:8" s="1056" customFormat="1" ht="14.25" customHeight="1" thickBot="1">
      <c r="A307" s="1068" t="s">
        <v>1397</v>
      </c>
      <c r="B307" s="1062" t="s">
        <v>1223</v>
      </c>
      <c r="C307" s="1062">
        <v>2770</v>
      </c>
      <c r="D307" s="1062">
        <v>2740</v>
      </c>
      <c r="E307" s="1062">
        <v>2710</v>
      </c>
      <c r="F307" s="1080">
        <v>650</v>
      </c>
      <c r="H307" s="1087"/>
    </row>
    <row r="308" spans="1:8" s="1056" customFormat="1" ht="14.25" customHeight="1" thickBot="1">
      <c r="A308" s="1068" t="s">
        <v>1397</v>
      </c>
      <c r="B308" s="1062" t="s">
        <v>1233</v>
      </c>
      <c r="C308" s="1062">
        <v>2610</v>
      </c>
      <c r="D308" s="1062">
        <v>2580</v>
      </c>
      <c r="E308" s="1062">
        <v>2550</v>
      </c>
      <c r="F308" s="1080">
        <v>580</v>
      </c>
      <c r="H308" s="1087"/>
    </row>
    <row r="309" spans="1:8" s="1056" customFormat="1" ht="14.25" customHeight="1" thickBot="1">
      <c r="A309" s="1068" t="s">
        <v>1397</v>
      </c>
      <c r="B309" s="1062" t="s">
        <v>1243</v>
      </c>
      <c r="C309" s="1062">
        <v>2690</v>
      </c>
      <c r="D309" s="1062">
        <v>2670</v>
      </c>
      <c r="E309" s="1062">
        <v>2650</v>
      </c>
      <c r="F309" s="1089"/>
      <c r="H309" s="1087"/>
    </row>
    <row r="310" spans="1:8" s="1056" customFormat="1" ht="14.25" customHeight="1" thickBot="1">
      <c r="A310" s="1068" t="s">
        <v>1397</v>
      </c>
      <c r="B310" s="1062" t="s">
        <v>1252</v>
      </c>
      <c r="C310" s="1062">
        <v>2360</v>
      </c>
      <c r="D310" s="1062">
        <v>2330</v>
      </c>
      <c r="E310" s="1062">
        <v>2310</v>
      </c>
      <c r="F310" s="1080">
        <v>560</v>
      </c>
      <c r="H310" s="1087"/>
    </row>
    <row r="311" spans="1:8" s="1056" customFormat="1" ht="14.25" customHeight="1" thickBot="1">
      <c r="A311" s="1068" t="s">
        <v>1397</v>
      </c>
      <c r="B311" s="1062" t="s">
        <v>1261</v>
      </c>
      <c r="C311" s="1062">
        <v>1970</v>
      </c>
      <c r="D311" s="1062">
        <v>1950</v>
      </c>
      <c r="E311" s="1062">
        <v>1920</v>
      </c>
      <c r="F311" s="1080">
        <v>470</v>
      </c>
      <c r="H311" s="1087"/>
    </row>
    <row r="312" spans="1:8" s="1056" customFormat="1" ht="14.25" customHeight="1" thickBot="1">
      <c r="A312" s="1068" t="s">
        <v>1397</v>
      </c>
      <c r="B312" s="1062" t="s">
        <v>1269</v>
      </c>
      <c r="C312" s="1062">
        <v>2230</v>
      </c>
      <c r="D312" s="1062">
        <v>2200</v>
      </c>
      <c r="E312" s="1062">
        <v>2170</v>
      </c>
      <c r="F312" s="1080">
        <v>460</v>
      </c>
      <c r="H312" s="1087"/>
    </row>
    <row r="313" spans="1:8" s="1056" customFormat="1" ht="14.25" customHeight="1" thickBot="1">
      <c r="A313" s="1068" t="s">
        <v>1397</v>
      </c>
      <c r="B313" s="1062" t="s">
        <v>1276</v>
      </c>
      <c r="C313" s="1062">
        <v>2770</v>
      </c>
      <c r="D313" s="1062">
        <v>2740</v>
      </c>
      <c r="E313" s="1062">
        <v>2710</v>
      </c>
      <c r="F313" s="1080">
        <v>610</v>
      </c>
      <c r="H313" s="1087"/>
    </row>
    <row r="314" spans="1:8" s="1056" customFormat="1" ht="14.25" customHeight="1" thickBot="1">
      <c r="A314" s="1068" t="s">
        <v>1397</v>
      </c>
      <c r="B314" s="1062" t="s">
        <v>1283</v>
      </c>
      <c r="C314" s="1062"/>
      <c r="D314" s="1062"/>
      <c r="E314" s="1062"/>
      <c r="F314" s="1080">
        <v>490</v>
      </c>
      <c r="H314" s="1087"/>
    </row>
    <row r="315" spans="1:8" s="1056" customFormat="1" ht="14.25" customHeight="1" thickBot="1">
      <c r="A315" s="1068" t="s">
        <v>1397</v>
      </c>
      <c r="B315" s="1062" t="s">
        <v>1290</v>
      </c>
      <c r="C315" s="1062"/>
      <c r="D315" s="1062"/>
      <c r="E315" s="1062"/>
      <c r="F315" s="1080">
        <v>520</v>
      </c>
      <c r="H315" s="1087"/>
    </row>
    <row r="316" spans="1:8" s="1056" customFormat="1" ht="14.25" customHeight="1" thickBot="1">
      <c r="A316" s="1068" t="s">
        <v>1397</v>
      </c>
      <c r="B316" s="1078" t="s">
        <v>1297</v>
      </c>
      <c r="C316" s="1078"/>
      <c r="D316" s="1078"/>
      <c r="E316" s="1078"/>
      <c r="F316" s="1088">
        <v>460</v>
      </c>
      <c r="H316" s="1087"/>
    </row>
    <row r="317" spans="1:8" s="1056" customFormat="1" ht="14.25" customHeight="1" thickBot="1">
      <c r="A317" s="1068" t="s">
        <v>895</v>
      </c>
      <c r="B317" s="1069" t="s">
        <v>1402</v>
      </c>
      <c r="C317" s="1069">
        <v>1200</v>
      </c>
      <c r="D317" s="1069">
        <v>1180</v>
      </c>
      <c r="E317" s="1069">
        <v>1160</v>
      </c>
      <c r="F317" s="1070">
        <v>370</v>
      </c>
      <c r="H317" s="1053"/>
    </row>
    <row r="318" spans="1:8" s="1056" customFormat="1" ht="14.25" customHeight="1" thickBot="1">
      <c r="A318" s="1068" t="s">
        <v>895</v>
      </c>
      <c r="B318" s="1062" t="s">
        <v>1403</v>
      </c>
      <c r="C318" s="1062">
        <v>1090</v>
      </c>
      <c r="D318" s="1062">
        <v>1060</v>
      </c>
      <c r="E318" s="1062">
        <v>1040</v>
      </c>
      <c r="F318" s="1089"/>
      <c r="H318" s="1053"/>
    </row>
    <row r="319" spans="1:8" s="1056" customFormat="1" ht="14.25" customHeight="1" thickBot="1">
      <c r="A319" s="1068" t="s">
        <v>895</v>
      </c>
      <c r="B319" s="1062" t="s">
        <v>1404</v>
      </c>
      <c r="C319" s="1062">
        <v>1520</v>
      </c>
      <c r="D319" s="1062">
        <v>1470</v>
      </c>
      <c r="E319" s="1062">
        <v>1440</v>
      </c>
      <c r="F319" s="1080">
        <v>370</v>
      </c>
      <c r="H319" s="1053"/>
    </row>
    <row r="320" spans="1:8" s="1056" customFormat="1" ht="14.25" customHeight="1" thickBot="1">
      <c r="A320" s="1068" t="s">
        <v>895</v>
      </c>
      <c r="B320" s="1062" t="s">
        <v>1085</v>
      </c>
      <c r="C320" s="1062">
        <v>1360</v>
      </c>
      <c r="D320" s="1062">
        <v>1300</v>
      </c>
      <c r="E320" s="1062">
        <v>1270</v>
      </c>
      <c r="F320" s="1089"/>
      <c r="H320" s="1053"/>
    </row>
    <row r="321" spans="1:8" s="1056" customFormat="1" ht="14.25" customHeight="1" thickBot="1">
      <c r="A321" s="1068" t="s">
        <v>895</v>
      </c>
      <c r="B321" s="1062" t="s">
        <v>1099</v>
      </c>
      <c r="C321" s="1062">
        <v>1750</v>
      </c>
      <c r="D321" s="1062">
        <v>1690</v>
      </c>
      <c r="E321" s="1062">
        <v>1660</v>
      </c>
      <c r="F321" s="1089"/>
      <c r="H321" s="1053"/>
    </row>
    <row r="322" spans="1:8" s="1056" customFormat="1" ht="14.25" customHeight="1" thickBot="1">
      <c r="A322" s="1068" t="s">
        <v>895</v>
      </c>
      <c r="B322" s="1062" t="s">
        <v>1110</v>
      </c>
      <c r="C322" s="1062">
        <v>1650</v>
      </c>
      <c r="D322" s="1062">
        <v>1610</v>
      </c>
      <c r="E322" s="1062">
        <v>1580</v>
      </c>
      <c r="F322" s="1080">
        <v>500</v>
      </c>
      <c r="H322" s="1053"/>
    </row>
    <row r="323" spans="1:8" s="1056" customFormat="1" ht="14.25" customHeight="1" thickBot="1">
      <c r="A323" s="1068" t="s">
        <v>895</v>
      </c>
      <c r="B323" s="1062" t="s">
        <v>1121</v>
      </c>
      <c r="C323" s="1062">
        <v>1780</v>
      </c>
      <c r="D323" s="1062">
        <v>1740</v>
      </c>
      <c r="E323" s="1062">
        <v>1720</v>
      </c>
      <c r="F323" s="1089"/>
      <c r="H323" s="1053"/>
    </row>
    <row r="324" spans="1:8" s="1056" customFormat="1" ht="14.25" customHeight="1" thickBot="1">
      <c r="A324" s="1068" t="s">
        <v>895</v>
      </c>
      <c r="B324" s="1062" t="s">
        <v>1132</v>
      </c>
      <c r="C324" s="1062">
        <v>1650</v>
      </c>
      <c r="D324" s="1062">
        <v>1610</v>
      </c>
      <c r="E324" s="1062">
        <v>1580</v>
      </c>
      <c r="F324" s="1089"/>
      <c r="H324" s="1053"/>
    </row>
    <row r="325" spans="1:8" s="1056" customFormat="1" ht="14.25" customHeight="1" thickBot="1">
      <c r="A325" s="1068" t="s">
        <v>895</v>
      </c>
      <c r="B325" s="1062" t="s">
        <v>1144</v>
      </c>
      <c r="C325" s="1062">
        <v>1330</v>
      </c>
      <c r="D325" s="1062">
        <v>1270</v>
      </c>
      <c r="E325" s="1062">
        <v>1240</v>
      </c>
      <c r="F325" s="1080">
        <v>430</v>
      </c>
      <c r="H325" s="1053"/>
    </row>
    <row r="326" spans="1:8" s="1056" customFormat="1" ht="14.25" customHeight="1" thickBot="1">
      <c r="A326" s="1068" t="s">
        <v>895</v>
      </c>
      <c r="B326" s="1062" t="s">
        <v>1154</v>
      </c>
      <c r="C326" s="1062">
        <v>1470</v>
      </c>
      <c r="D326" s="1062">
        <v>1430</v>
      </c>
      <c r="E326" s="1062">
        <v>1400</v>
      </c>
      <c r="F326" s="1089"/>
      <c r="H326" s="1053"/>
    </row>
    <row r="327" spans="1:8" s="1056" customFormat="1" ht="14.25" customHeight="1" thickBot="1">
      <c r="A327" s="1068" t="s">
        <v>895</v>
      </c>
      <c r="B327" s="1062" t="s">
        <v>1164</v>
      </c>
      <c r="C327" s="1062">
        <v>1420</v>
      </c>
      <c r="D327" s="1062">
        <v>1380</v>
      </c>
      <c r="E327" s="1062">
        <v>1360</v>
      </c>
      <c r="F327" s="1080">
        <v>420</v>
      </c>
      <c r="H327" s="1053"/>
    </row>
    <row r="328" spans="1:8" s="1056" customFormat="1" ht="14.25" customHeight="1" thickBot="1">
      <c r="A328" s="1068" t="s">
        <v>895</v>
      </c>
      <c r="B328" s="1062" t="s">
        <v>1174</v>
      </c>
      <c r="C328" s="1062">
        <v>1400</v>
      </c>
      <c r="D328" s="1062">
        <v>1360</v>
      </c>
      <c r="E328" s="1062">
        <v>1330</v>
      </c>
      <c r="F328" s="1080">
        <v>460</v>
      </c>
      <c r="H328" s="1053"/>
    </row>
    <row r="329" spans="1:8" s="1056" customFormat="1" ht="14.25" customHeight="1" thickBot="1">
      <c r="A329" s="1068" t="s">
        <v>895</v>
      </c>
      <c r="B329" s="1062" t="s">
        <v>1184</v>
      </c>
      <c r="C329" s="1062">
        <v>1640</v>
      </c>
      <c r="D329" s="1062">
        <v>1610</v>
      </c>
      <c r="E329" s="1062">
        <v>1580</v>
      </c>
      <c r="F329" s="1080">
        <v>410</v>
      </c>
      <c r="H329" s="1053"/>
    </row>
    <row r="330" spans="1:8" s="1056" customFormat="1" ht="14.25" customHeight="1" thickBot="1">
      <c r="A330" s="1068" t="s">
        <v>895</v>
      </c>
      <c r="B330" s="1062" t="s">
        <v>1194</v>
      </c>
      <c r="C330" s="1062">
        <v>1260</v>
      </c>
      <c r="D330" s="1062">
        <v>1220</v>
      </c>
      <c r="E330" s="1062">
        <v>1200</v>
      </c>
      <c r="F330" s="1089"/>
      <c r="H330" s="1053"/>
    </row>
    <row r="331" spans="1:8" s="1056" customFormat="1" ht="14.25" customHeight="1" thickBot="1">
      <c r="A331" s="1068" t="s">
        <v>895</v>
      </c>
      <c r="B331" s="1062" t="s">
        <v>1204</v>
      </c>
      <c r="C331" s="1062">
        <v>1620</v>
      </c>
      <c r="D331" s="1062">
        <v>1560</v>
      </c>
      <c r="E331" s="1062">
        <v>1530</v>
      </c>
      <c r="F331" s="1080">
        <v>490</v>
      </c>
      <c r="H331" s="1053"/>
    </row>
    <row r="332" spans="1:8" s="1056" customFormat="1" ht="14.25" customHeight="1" thickBot="1">
      <c r="A332" s="1068" t="s">
        <v>895</v>
      </c>
      <c r="B332" s="1062" t="s">
        <v>1214</v>
      </c>
      <c r="C332" s="1062">
        <v>1520</v>
      </c>
      <c r="D332" s="1062">
        <v>1470</v>
      </c>
      <c r="E332" s="1062">
        <v>1440</v>
      </c>
      <c r="F332" s="1080">
        <v>440</v>
      </c>
      <c r="H332" s="1053"/>
    </row>
    <row r="333" spans="1:8" s="1056" customFormat="1" ht="14.25" customHeight="1" thickBot="1">
      <c r="A333" s="1068" t="s">
        <v>895</v>
      </c>
      <c r="B333" s="1062" t="s">
        <v>1224</v>
      </c>
      <c r="C333" s="1062">
        <v>1370</v>
      </c>
      <c r="D333" s="1062">
        <v>1320</v>
      </c>
      <c r="E333" s="1062">
        <v>1300</v>
      </c>
      <c r="F333" s="1080">
        <v>460</v>
      </c>
      <c r="H333" s="1053"/>
    </row>
    <row r="334" spans="1:8" s="1056" customFormat="1" ht="14.25" customHeight="1" thickBot="1">
      <c r="A334" s="1068" t="s">
        <v>895</v>
      </c>
      <c r="B334" s="1062" t="s">
        <v>1234</v>
      </c>
      <c r="C334" s="1062">
        <v>1410</v>
      </c>
      <c r="D334" s="1062">
        <v>1340</v>
      </c>
      <c r="E334" s="1062">
        <v>1310</v>
      </c>
      <c r="F334" s="1080">
        <v>410</v>
      </c>
      <c r="H334" s="1053"/>
    </row>
    <row r="335" spans="1:8" s="1056" customFormat="1" ht="14.25" customHeight="1" thickBot="1">
      <c r="A335" s="1068" t="s">
        <v>895</v>
      </c>
      <c r="B335" s="1062" t="s">
        <v>1244</v>
      </c>
      <c r="C335" s="1062">
        <v>1260</v>
      </c>
      <c r="D335" s="1062">
        <v>1220</v>
      </c>
      <c r="E335" s="1062">
        <v>1200</v>
      </c>
      <c r="F335" s="1089"/>
      <c r="H335" s="1053"/>
    </row>
    <row r="336" spans="1:8" s="1056" customFormat="1" ht="14.25" customHeight="1" thickBot="1">
      <c r="A336" s="1068" t="s">
        <v>895</v>
      </c>
      <c r="B336" s="1062" t="s">
        <v>1253</v>
      </c>
      <c r="C336" s="1062">
        <v>1160</v>
      </c>
      <c r="D336" s="1062">
        <v>1140</v>
      </c>
      <c r="E336" s="1062">
        <v>1120</v>
      </c>
      <c r="F336" s="1080">
        <v>430</v>
      </c>
      <c r="H336" s="1053"/>
    </row>
    <row r="337" spans="1:8" s="1056" customFormat="1" ht="14.25" customHeight="1" thickBot="1">
      <c r="A337" s="1068" t="s">
        <v>895</v>
      </c>
      <c r="B337" s="1078" t="s">
        <v>1262</v>
      </c>
      <c r="C337" s="1078"/>
      <c r="D337" s="1078"/>
      <c r="E337" s="1078"/>
      <c r="F337" s="1088">
        <v>380</v>
      </c>
      <c r="H337" s="1053"/>
    </row>
    <row r="338" spans="1:8" s="1056" customFormat="1" ht="14.25" customHeight="1" thickBot="1">
      <c r="A338" s="1068" t="s">
        <v>896</v>
      </c>
      <c r="B338" s="1069" t="s">
        <v>1405</v>
      </c>
      <c r="C338" s="1069">
        <v>880</v>
      </c>
      <c r="D338" s="1069">
        <v>850</v>
      </c>
      <c r="E338" s="1069">
        <v>830</v>
      </c>
      <c r="F338" s="1091"/>
      <c r="H338" s="1053"/>
    </row>
    <row r="339" spans="1:8" s="1056" customFormat="1" ht="14.25" customHeight="1" thickBot="1">
      <c r="A339" s="1068" t="s">
        <v>896</v>
      </c>
      <c r="B339" s="1062" t="s">
        <v>1406</v>
      </c>
      <c r="C339" s="1062">
        <v>830</v>
      </c>
      <c r="D339" s="1062">
        <v>800</v>
      </c>
      <c r="E339" s="1062">
        <v>780</v>
      </c>
      <c r="F339" s="1089"/>
      <c r="H339" s="1053"/>
    </row>
    <row r="340" spans="1:8" s="1056" customFormat="1" ht="14.25" customHeight="1" thickBot="1">
      <c r="A340" s="1068" t="s">
        <v>896</v>
      </c>
      <c r="B340" s="1062" t="s">
        <v>1407</v>
      </c>
      <c r="C340" s="1062">
        <v>980</v>
      </c>
      <c r="D340" s="1062">
        <v>950</v>
      </c>
      <c r="E340" s="1062">
        <v>920</v>
      </c>
      <c r="F340" s="1089"/>
      <c r="H340" s="1053"/>
    </row>
    <row r="341" spans="1:8" s="1056" customFormat="1" ht="14.25" customHeight="1" thickBot="1">
      <c r="A341" s="1068" t="s">
        <v>896</v>
      </c>
      <c r="B341" s="1062" t="s">
        <v>1408</v>
      </c>
      <c r="C341" s="1062">
        <v>760</v>
      </c>
      <c r="D341" s="1062">
        <v>720</v>
      </c>
      <c r="E341" s="1062">
        <v>690</v>
      </c>
      <c r="F341" s="1080">
        <v>350</v>
      </c>
      <c r="H341" s="1053"/>
    </row>
    <row r="342" spans="1:8" s="1056" customFormat="1" ht="14.25" customHeight="1" thickBot="1">
      <c r="A342" s="1068" t="s">
        <v>896</v>
      </c>
      <c r="B342" s="1062" t="s">
        <v>1100</v>
      </c>
      <c r="C342" s="1062">
        <v>910</v>
      </c>
      <c r="D342" s="1062">
        <v>870</v>
      </c>
      <c r="E342" s="1062">
        <v>850</v>
      </c>
      <c r="F342" s="1080">
        <v>370</v>
      </c>
      <c r="H342" s="1053"/>
    </row>
    <row r="343" spans="1:8" s="1056" customFormat="1" ht="14.25" customHeight="1" thickBot="1">
      <c r="A343" s="1068" t="s">
        <v>896</v>
      </c>
      <c r="B343" s="1062" t="s">
        <v>1111</v>
      </c>
      <c r="C343" s="1062">
        <v>800</v>
      </c>
      <c r="D343" s="1062">
        <v>760</v>
      </c>
      <c r="E343" s="1062">
        <v>730</v>
      </c>
      <c r="F343" s="1080">
        <v>340</v>
      </c>
      <c r="H343" s="1053"/>
    </row>
    <row r="344" spans="1:8" s="1056" customFormat="1" ht="14.25" customHeight="1" thickBot="1">
      <c r="A344" s="1068" t="s">
        <v>896</v>
      </c>
      <c r="B344" s="1078" t="s">
        <v>1122</v>
      </c>
      <c r="C344" s="1078">
        <v>720</v>
      </c>
      <c r="D344" s="1078">
        <v>690</v>
      </c>
      <c r="E344" s="1078">
        <v>660</v>
      </c>
      <c r="F344" s="1088">
        <v>300</v>
      </c>
      <c r="H344" s="1053"/>
    </row>
  </sheetData>
  <sheetProtection password="C66D" sheet="1" objects="1" scenarios="1" formatCells="0" formatColumns="0" formatRows="0"/>
  <mergeCells count="3">
    <mergeCell ref="A1:F1"/>
    <mergeCell ref="A2:F2"/>
    <mergeCell ref="A3:A4"/>
  </mergeCells>
  <phoneticPr fontId="127"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8"/>
    <col min="2" max="16384" width="9" style="1002"/>
  </cols>
  <sheetData>
    <row r="1" spans="1:14" ht="14.25">
      <c r="A1" s="1000" t="s">
        <v>860</v>
      </c>
      <c r="B1" s="1001"/>
      <c r="C1" s="1001"/>
      <c r="D1" s="1001"/>
      <c r="E1" s="1001"/>
      <c r="F1" s="1001"/>
      <c r="G1" s="1001"/>
      <c r="H1" s="1001"/>
      <c r="I1" s="1001"/>
      <c r="J1" s="1001"/>
      <c r="K1" s="1001"/>
      <c r="L1" s="1001"/>
      <c r="M1" s="1001"/>
      <c r="N1" s="1001"/>
    </row>
    <row r="2" spans="1:14">
      <c r="A2" s="1003" t="s">
        <v>861</v>
      </c>
      <c r="B2" s="1004" t="s">
        <v>862</v>
      </c>
      <c r="C2" s="1004" t="s">
        <v>863</v>
      </c>
      <c r="D2" s="1004" t="s">
        <v>864</v>
      </c>
      <c r="E2" s="1004" t="s">
        <v>865</v>
      </c>
      <c r="F2" s="1004" t="s">
        <v>866</v>
      </c>
      <c r="G2" s="1004" t="s">
        <v>867</v>
      </c>
      <c r="H2" s="1005" t="s">
        <v>868</v>
      </c>
      <c r="I2" s="1005" t="s">
        <v>869</v>
      </c>
      <c r="J2" s="1006" t="s">
        <v>870</v>
      </c>
      <c r="K2" s="1006" t="s">
        <v>871</v>
      </c>
      <c r="L2" s="1006" t="s">
        <v>872</v>
      </c>
      <c r="M2" s="1006" t="s">
        <v>873</v>
      </c>
    </row>
    <row r="3" spans="1:14">
      <c r="A3" s="1003">
        <v>0.1</v>
      </c>
      <c r="B3" s="1012">
        <v>15.052</v>
      </c>
      <c r="C3" s="1012">
        <v>15.052</v>
      </c>
      <c r="D3" s="1012">
        <v>14.263</v>
      </c>
      <c r="E3" s="1012">
        <v>14.263</v>
      </c>
      <c r="F3" s="1012">
        <v>14.263</v>
      </c>
      <c r="G3" s="1012">
        <v>14.263</v>
      </c>
      <c r="H3" s="1012">
        <v>14.263</v>
      </c>
      <c r="I3" s="1012">
        <v>14.097</v>
      </c>
      <c r="J3" s="1012">
        <v>14.097</v>
      </c>
      <c r="K3" s="1012">
        <v>14.097</v>
      </c>
      <c r="L3" s="1012">
        <v>14.097</v>
      </c>
      <c r="M3" s="1012">
        <v>14.097</v>
      </c>
      <c r="N3" s="1013"/>
    </row>
    <row r="4" spans="1:14">
      <c r="A4" s="1003">
        <v>0.2</v>
      </c>
      <c r="B4" s="1012">
        <v>7.5259999999999998</v>
      </c>
      <c r="C4" s="1012">
        <v>7.5259999999999998</v>
      </c>
      <c r="D4" s="1012">
        <v>7.1315</v>
      </c>
      <c r="E4" s="1012">
        <v>7.1315</v>
      </c>
      <c r="F4" s="1012">
        <v>7.1315</v>
      </c>
      <c r="G4" s="1012">
        <v>7.1315</v>
      </c>
      <c r="H4" s="1012">
        <v>7.1315</v>
      </c>
      <c r="I4" s="1012">
        <v>7.0484999999999998</v>
      </c>
      <c r="J4" s="1012">
        <v>7.0484999999999998</v>
      </c>
      <c r="K4" s="1012">
        <v>7.0484999999999998</v>
      </c>
      <c r="L4" s="1012">
        <v>7.0484999999999998</v>
      </c>
      <c r="M4" s="1012">
        <v>7.0484999999999998</v>
      </c>
    </row>
    <row r="5" spans="1:14">
      <c r="A5" s="1003">
        <v>0.3</v>
      </c>
      <c r="B5" s="1012">
        <v>5.0172999999999996</v>
      </c>
      <c r="C5" s="1012">
        <v>5.0172999999999996</v>
      </c>
      <c r="D5" s="1012">
        <v>4.7542999999999997</v>
      </c>
      <c r="E5" s="1012">
        <v>4.7542999999999997</v>
      </c>
      <c r="F5" s="1012">
        <v>4.7542999999999997</v>
      </c>
      <c r="G5" s="1012">
        <v>4.7542999999999997</v>
      </c>
      <c r="H5" s="1012">
        <v>4.7542999999999997</v>
      </c>
      <c r="I5" s="1012">
        <v>4.6989999999999998</v>
      </c>
      <c r="J5" s="1012">
        <v>4.6989999999999998</v>
      </c>
      <c r="K5" s="1012">
        <v>4.6989999999999998</v>
      </c>
      <c r="L5" s="1012">
        <v>4.6989999999999998</v>
      </c>
      <c r="M5" s="1012">
        <v>4.6989999999999998</v>
      </c>
    </row>
    <row r="6" spans="1:14">
      <c r="A6" s="1003">
        <v>0.4</v>
      </c>
      <c r="B6" s="1012">
        <v>3.7629999999999999</v>
      </c>
      <c r="C6" s="1012">
        <v>3.7629999999999999</v>
      </c>
      <c r="D6" s="1012">
        <v>3.5657999999999999</v>
      </c>
      <c r="E6" s="1012">
        <v>3.5657999999999999</v>
      </c>
      <c r="F6" s="1012">
        <v>3.5657999999999999</v>
      </c>
      <c r="G6" s="1012">
        <v>3.5657999999999999</v>
      </c>
      <c r="H6" s="1012">
        <v>3.5657999999999999</v>
      </c>
      <c r="I6" s="1012">
        <v>3.5243000000000002</v>
      </c>
      <c r="J6" s="1012">
        <v>3.5243000000000002</v>
      </c>
      <c r="K6" s="1012">
        <v>3.5243000000000002</v>
      </c>
      <c r="L6" s="1012">
        <v>3.5243000000000002</v>
      </c>
      <c r="M6" s="1012">
        <v>3.5243000000000002</v>
      </c>
    </row>
    <row r="7" spans="1:14">
      <c r="A7" s="1003">
        <v>0.5</v>
      </c>
      <c r="B7" s="1012">
        <v>3.0104000000000002</v>
      </c>
      <c r="C7" s="1012">
        <v>3.0104000000000002</v>
      </c>
      <c r="D7" s="1012">
        <v>2.8525999999999998</v>
      </c>
      <c r="E7" s="1012">
        <v>2.8525999999999998</v>
      </c>
      <c r="F7" s="1012">
        <v>2.8525999999999998</v>
      </c>
      <c r="G7" s="1012">
        <v>2.8525999999999998</v>
      </c>
      <c r="H7" s="1012">
        <v>2.8525999999999998</v>
      </c>
      <c r="I7" s="1012">
        <v>2.8193999999999999</v>
      </c>
      <c r="J7" s="1012">
        <v>2.8193999999999999</v>
      </c>
      <c r="K7" s="1012">
        <v>2.8193999999999999</v>
      </c>
      <c r="L7" s="1012">
        <v>2.8193999999999999</v>
      </c>
      <c r="M7" s="1012">
        <v>2.8193999999999999</v>
      </c>
    </row>
    <row r="8" spans="1:14">
      <c r="A8" s="1003">
        <v>0.6</v>
      </c>
      <c r="B8" s="1012">
        <v>2.5087000000000002</v>
      </c>
      <c r="C8" s="1012">
        <v>2.5087000000000002</v>
      </c>
      <c r="D8" s="1012">
        <v>2.3772000000000002</v>
      </c>
      <c r="E8" s="1012">
        <v>2.3772000000000002</v>
      </c>
      <c r="F8" s="1012">
        <v>2.3772000000000002</v>
      </c>
      <c r="G8" s="1012">
        <v>2.3772000000000002</v>
      </c>
      <c r="H8" s="1012">
        <v>2.3772000000000002</v>
      </c>
      <c r="I8" s="1012">
        <v>2.3494999999999999</v>
      </c>
      <c r="J8" s="1012">
        <v>2.3494999999999999</v>
      </c>
      <c r="K8" s="1012">
        <v>2.3494999999999999</v>
      </c>
      <c r="L8" s="1012">
        <v>2.3494999999999999</v>
      </c>
      <c r="M8" s="1012">
        <v>2.3494999999999999</v>
      </c>
    </row>
    <row r="9" spans="1:14">
      <c r="A9" s="1003">
        <v>0.7</v>
      </c>
      <c r="B9" s="1012">
        <v>2.1503000000000001</v>
      </c>
      <c r="C9" s="1012">
        <v>2.1503000000000001</v>
      </c>
      <c r="D9" s="1012">
        <v>2.0375999999999999</v>
      </c>
      <c r="E9" s="1012">
        <v>2.0375999999999999</v>
      </c>
      <c r="F9" s="1012">
        <v>2.0375999999999999</v>
      </c>
      <c r="G9" s="1012">
        <v>2.0375999999999999</v>
      </c>
      <c r="H9" s="1012">
        <v>2.0375999999999999</v>
      </c>
      <c r="I9" s="1012">
        <v>2.0139</v>
      </c>
      <c r="J9" s="1012">
        <v>2.0139</v>
      </c>
      <c r="K9" s="1012">
        <v>2.0139</v>
      </c>
      <c r="L9" s="1012">
        <v>2.0139</v>
      </c>
      <c r="M9" s="1012">
        <v>2.0139</v>
      </c>
    </row>
    <row r="10" spans="1:14">
      <c r="A10" s="1003">
        <v>0.8</v>
      </c>
      <c r="B10" s="1012">
        <v>1.8815</v>
      </c>
      <c r="C10" s="1012">
        <v>1.8815</v>
      </c>
      <c r="D10" s="1012">
        <v>1.7828999999999999</v>
      </c>
      <c r="E10" s="1012">
        <v>1.7828999999999999</v>
      </c>
      <c r="F10" s="1012">
        <v>1.7828999999999999</v>
      </c>
      <c r="G10" s="1012">
        <v>1.7828999999999999</v>
      </c>
      <c r="H10" s="1012">
        <v>1.7828999999999999</v>
      </c>
      <c r="I10" s="1012">
        <v>1.7621</v>
      </c>
      <c r="J10" s="1012">
        <v>1.7621</v>
      </c>
      <c r="K10" s="1012">
        <v>1.7621</v>
      </c>
      <c r="L10" s="1012">
        <v>1.7621</v>
      </c>
      <c r="M10" s="1012">
        <v>1.7621</v>
      </c>
    </row>
    <row r="11" spans="1:14">
      <c r="A11" s="1003">
        <v>0.9</v>
      </c>
      <c r="B11" s="1012">
        <v>1.6724000000000001</v>
      </c>
      <c r="C11" s="1012">
        <v>1.6724000000000001</v>
      </c>
      <c r="D11" s="1012">
        <v>1.5848</v>
      </c>
      <c r="E11" s="1012">
        <v>1.5848</v>
      </c>
      <c r="F11" s="1012">
        <v>1.5848</v>
      </c>
      <c r="G11" s="1012">
        <v>1.5848</v>
      </c>
      <c r="H11" s="1012">
        <v>1.5848</v>
      </c>
      <c r="I11" s="1012">
        <v>1.5663</v>
      </c>
      <c r="J11" s="1012">
        <v>1.5663</v>
      </c>
      <c r="K11" s="1012">
        <v>1.5663</v>
      </c>
      <c r="L11" s="1012">
        <v>1.5663</v>
      </c>
      <c r="M11" s="1012">
        <v>1.5663</v>
      </c>
    </row>
    <row r="12" spans="1:14">
      <c r="A12" s="1003">
        <v>1</v>
      </c>
      <c r="B12" s="1012">
        <v>1.5052000000000001</v>
      </c>
      <c r="C12" s="1012">
        <v>1.5052000000000001</v>
      </c>
      <c r="D12" s="1012">
        <v>1.4262999999999999</v>
      </c>
      <c r="E12" s="1012">
        <v>1.4262999999999999</v>
      </c>
      <c r="F12" s="1012">
        <v>1.4262999999999999</v>
      </c>
      <c r="G12" s="1012">
        <v>1.4262999999999999</v>
      </c>
      <c r="H12" s="1012">
        <v>1.4262999999999999</v>
      </c>
      <c r="I12" s="1012">
        <v>1.4097</v>
      </c>
      <c r="J12" s="1012">
        <v>1.4097</v>
      </c>
      <c r="K12" s="1012">
        <v>1.4097</v>
      </c>
      <c r="L12" s="1012">
        <v>1.4097</v>
      </c>
      <c r="M12" s="1012">
        <v>1.4097</v>
      </c>
    </row>
    <row r="13" spans="1:14">
      <c r="A13" s="1003">
        <v>1.1000000000000001</v>
      </c>
      <c r="B13" s="1012">
        <v>1.4509000000000001</v>
      </c>
      <c r="C13" s="1012">
        <v>1.4509000000000001</v>
      </c>
      <c r="D13" s="1012">
        <v>1.3697999999999999</v>
      </c>
      <c r="E13" s="1012">
        <v>1.3697999999999999</v>
      </c>
      <c r="F13" s="1012">
        <v>1.3697999999999999</v>
      </c>
      <c r="G13" s="1012">
        <v>1.3697999999999999</v>
      </c>
      <c r="H13" s="1012">
        <v>1.3697999999999999</v>
      </c>
      <c r="I13" s="1012">
        <v>1.343</v>
      </c>
      <c r="J13" s="1012">
        <v>1.343</v>
      </c>
      <c r="K13" s="1012">
        <v>1.343</v>
      </c>
      <c r="L13" s="1012">
        <v>1.343</v>
      </c>
      <c r="M13" s="1012">
        <v>1.343</v>
      </c>
    </row>
    <row r="14" spans="1:14">
      <c r="A14" s="1003">
        <v>1.2</v>
      </c>
      <c r="B14" s="1012">
        <v>1.4035</v>
      </c>
      <c r="C14" s="1012">
        <v>1.4035</v>
      </c>
      <c r="D14" s="1012">
        <v>1.3205</v>
      </c>
      <c r="E14" s="1012">
        <v>1.3205</v>
      </c>
      <c r="F14" s="1012">
        <v>1.3205</v>
      </c>
      <c r="G14" s="1012">
        <v>1.3205</v>
      </c>
      <c r="H14" s="1012">
        <v>1.3205</v>
      </c>
      <c r="I14" s="1012">
        <v>1.2845</v>
      </c>
      <c r="J14" s="1012">
        <v>1.2845</v>
      </c>
      <c r="K14" s="1012">
        <v>1.2845</v>
      </c>
      <c r="L14" s="1012">
        <v>1.2845</v>
      </c>
      <c r="M14" s="1012">
        <v>1.2845</v>
      </c>
    </row>
    <row r="15" spans="1:14">
      <c r="A15" s="1003">
        <v>1.3</v>
      </c>
      <c r="B15" s="1012">
        <v>1.3622000000000001</v>
      </c>
      <c r="C15" s="1012">
        <v>1.3622000000000001</v>
      </c>
      <c r="D15" s="1012">
        <v>1.2775000000000001</v>
      </c>
      <c r="E15" s="1012">
        <v>1.2775000000000001</v>
      </c>
      <c r="F15" s="1012">
        <v>1.2775000000000001</v>
      </c>
      <c r="G15" s="1012">
        <v>1.2775000000000001</v>
      </c>
      <c r="H15" s="1012">
        <v>1.2775000000000001</v>
      </c>
      <c r="I15" s="1012">
        <v>1.2332000000000001</v>
      </c>
      <c r="J15" s="1012">
        <v>1.2332000000000001</v>
      </c>
      <c r="K15" s="1012">
        <v>1.2332000000000001</v>
      </c>
      <c r="L15" s="1012">
        <v>1.2332000000000001</v>
      </c>
      <c r="M15" s="1012">
        <v>1.2332000000000001</v>
      </c>
    </row>
    <row r="16" spans="1:14">
      <c r="A16" s="1003">
        <v>1.4</v>
      </c>
      <c r="B16" s="1012">
        <v>1.3262</v>
      </c>
      <c r="C16" s="1012">
        <v>1.3262</v>
      </c>
      <c r="D16" s="1012">
        <v>1.2402</v>
      </c>
      <c r="E16" s="1012">
        <v>1.2402</v>
      </c>
      <c r="F16" s="1012">
        <v>1.2402</v>
      </c>
      <c r="G16" s="1012">
        <v>1.2402</v>
      </c>
      <c r="H16" s="1012">
        <v>1.2402</v>
      </c>
      <c r="I16" s="1012">
        <v>1.1881999999999999</v>
      </c>
      <c r="J16" s="1012">
        <v>1.1881999999999999</v>
      </c>
      <c r="K16" s="1012">
        <v>1.1881999999999999</v>
      </c>
      <c r="L16" s="1012">
        <v>1.1881999999999999</v>
      </c>
      <c r="M16" s="1012">
        <v>1.1881999999999999</v>
      </c>
      <c r="N16" s="1013"/>
    </row>
    <row r="17" spans="1:14">
      <c r="A17" s="1003">
        <v>1.5</v>
      </c>
      <c r="B17" s="1012">
        <v>1.2948</v>
      </c>
      <c r="C17" s="1012">
        <v>1.2948</v>
      </c>
      <c r="D17" s="1012">
        <v>1.2075</v>
      </c>
      <c r="E17" s="1012">
        <v>1.2075</v>
      </c>
      <c r="F17" s="1012">
        <v>1.2075</v>
      </c>
      <c r="G17" s="1012">
        <v>1.2075</v>
      </c>
      <c r="H17" s="1012">
        <v>1.2075</v>
      </c>
      <c r="I17" s="1012">
        <v>1.1486000000000001</v>
      </c>
      <c r="J17" s="1012">
        <v>1.1486000000000001</v>
      </c>
      <c r="K17" s="1012">
        <v>1.1486000000000001</v>
      </c>
      <c r="L17" s="1012">
        <v>1.1486000000000001</v>
      </c>
      <c r="M17" s="1012">
        <v>1.1486000000000001</v>
      </c>
      <c r="N17" s="1013"/>
    </row>
    <row r="18" spans="1:14">
      <c r="A18" s="1003">
        <v>1.6</v>
      </c>
      <c r="B18" s="1012">
        <v>1.2673000000000001</v>
      </c>
      <c r="C18" s="1012">
        <v>1.2673000000000001</v>
      </c>
      <c r="D18" s="1012">
        <v>1.1789000000000001</v>
      </c>
      <c r="E18" s="1012">
        <v>1.1789000000000001</v>
      </c>
      <c r="F18" s="1012">
        <v>1.1789000000000001</v>
      </c>
      <c r="G18" s="1012">
        <v>1.1789000000000001</v>
      </c>
      <c r="H18" s="1012">
        <v>1.1789000000000001</v>
      </c>
      <c r="I18" s="1012">
        <v>1.1134999999999999</v>
      </c>
      <c r="J18" s="1012">
        <v>1.1134999999999999</v>
      </c>
      <c r="K18" s="1012">
        <v>1.1134999999999999</v>
      </c>
      <c r="L18" s="1012">
        <v>1.1134999999999999</v>
      </c>
      <c r="M18" s="1012">
        <v>1.1134999999999999</v>
      </c>
    </row>
    <row r="19" spans="1:14">
      <c r="A19" s="1003">
        <v>1.7</v>
      </c>
      <c r="B19" s="1012">
        <v>1.2428999999999999</v>
      </c>
      <c r="C19" s="1012">
        <v>1.2428999999999999</v>
      </c>
      <c r="D19" s="1012">
        <v>1.1534</v>
      </c>
      <c r="E19" s="1012">
        <v>1.1534</v>
      </c>
      <c r="F19" s="1012">
        <v>1.1534</v>
      </c>
      <c r="G19" s="1012">
        <v>1.1534</v>
      </c>
      <c r="H19" s="1012">
        <v>1.1534</v>
      </c>
      <c r="I19" s="1012">
        <v>1.0820000000000001</v>
      </c>
      <c r="J19" s="1012">
        <v>1.0820000000000001</v>
      </c>
      <c r="K19" s="1012">
        <v>1.0820000000000001</v>
      </c>
      <c r="L19" s="1012">
        <v>1.0820000000000001</v>
      </c>
      <c r="M19" s="1012">
        <v>1.0820000000000001</v>
      </c>
    </row>
    <row r="20" spans="1:14">
      <c r="A20" s="1003">
        <v>1.8</v>
      </c>
      <c r="B20" s="1012">
        <v>1.2206999999999999</v>
      </c>
      <c r="C20" s="1012">
        <v>1.2206999999999999</v>
      </c>
      <c r="D20" s="1012">
        <v>1.1304000000000001</v>
      </c>
      <c r="E20" s="1012">
        <v>1.1304000000000001</v>
      </c>
      <c r="F20" s="1012">
        <v>1.1304000000000001</v>
      </c>
      <c r="G20" s="1012">
        <v>1.1304000000000001</v>
      </c>
      <c r="H20" s="1012">
        <v>1.1304000000000001</v>
      </c>
      <c r="I20" s="1012">
        <v>1.0531999999999999</v>
      </c>
      <c r="J20" s="1012">
        <v>1.0531999999999999</v>
      </c>
      <c r="K20" s="1012">
        <v>1.0531999999999999</v>
      </c>
      <c r="L20" s="1012">
        <v>1.0531999999999999</v>
      </c>
      <c r="M20" s="1012">
        <v>1.0531999999999999</v>
      </c>
    </row>
    <row r="21" spans="1:14">
      <c r="A21" s="1003">
        <v>1.9</v>
      </c>
      <c r="B21" s="1012">
        <v>1.2</v>
      </c>
      <c r="C21" s="1012">
        <v>1.2</v>
      </c>
      <c r="D21" s="1012">
        <v>1.1089</v>
      </c>
      <c r="E21" s="1012">
        <v>1.1089</v>
      </c>
      <c r="F21" s="1012">
        <v>1.1089</v>
      </c>
      <c r="G21" s="1012">
        <v>1.1089</v>
      </c>
      <c r="H21" s="1012">
        <v>1.1089</v>
      </c>
      <c r="I21" s="1012">
        <v>1.0261</v>
      </c>
      <c r="J21" s="1012">
        <v>1.0261</v>
      </c>
      <c r="K21" s="1012">
        <v>1.0261</v>
      </c>
      <c r="L21" s="1012">
        <v>1.0261</v>
      </c>
      <c r="M21" s="1012">
        <v>1.0261</v>
      </c>
    </row>
    <row r="22" spans="1:14">
      <c r="A22" s="1003">
        <v>2</v>
      </c>
      <c r="B22" s="1012">
        <v>1.1800999999999999</v>
      </c>
      <c r="C22" s="1012">
        <v>1.1800999999999999</v>
      </c>
      <c r="D22" s="1012">
        <v>1.0883</v>
      </c>
      <c r="E22" s="1012">
        <v>1.0883</v>
      </c>
      <c r="F22" s="1012">
        <v>1.0883</v>
      </c>
      <c r="G22" s="1012">
        <v>1.0883</v>
      </c>
      <c r="H22" s="1012">
        <v>1.0883</v>
      </c>
      <c r="I22" s="1012">
        <v>1</v>
      </c>
      <c r="J22" s="1012">
        <v>1</v>
      </c>
      <c r="K22" s="1012">
        <v>1</v>
      </c>
      <c r="L22" s="1012">
        <v>1</v>
      </c>
      <c r="M22" s="1012">
        <v>1</v>
      </c>
    </row>
    <row r="23" spans="1:14">
      <c r="A23" s="1027">
        <v>2.1</v>
      </c>
      <c r="B23" s="1012">
        <v>1.1616</v>
      </c>
      <c r="C23" s="1012">
        <v>1.1616</v>
      </c>
      <c r="D23" s="1012">
        <v>1.0685</v>
      </c>
      <c r="E23" s="1012">
        <v>1.0685</v>
      </c>
      <c r="F23" s="1012">
        <v>1.0685</v>
      </c>
      <c r="G23" s="1012">
        <v>1.0685</v>
      </c>
      <c r="H23" s="1012">
        <v>1.0685</v>
      </c>
      <c r="I23" s="1012">
        <v>0.97550000000000003</v>
      </c>
      <c r="J23" s="1012">
        <v>0.97550000000000003</v>
      </c>
      <c r="K23" s="1012">
        <v>0.97550000000000003</v>
      </c>
      <c r="L23" s="1012">
        <v>0.97550000000000003</v>
      </c>
      <c r="M23" s="1012">
        <v>0.97550000000000003</v>
      </c>
    </row>
    <row r="24" spans="1:14">
      <c r="A24" s="1027">
        <v>2.2000000000000002</v>
      </c>
      <c r="B24" s="1012">
        <v>1.1440999999999999</v>
      </c>
      <c r="C24" s="1012">
        <v>1.1440999999999999</v>
      </c>
      <c r="D24" s="1012">
        <v>1.0497000000000001</v>
      </c>
      <c r="E24" s="1012">
        <v>1.0497000000000001</v>
      </c>
      <c r="F24" s="1012">
        <v>1.0497000000000001</v>
      </c>
      <c r="G24" s="1012">
        <v>1.0497000000000001</v>
      </c>
      <c r="H24" s="1012">
        <v>1.0497000000000001</v>
      </c>
      <c r="I24" s="1012">
        <v>0.95230000000000004</v>
      </c>
      <c r="J24" s="1012">
        <v>0.95230000000000004</v>
      </c>
      <c r="K24" s="1012">
        <v>0.95230000000000004</v>
      </c>
      <c r="L24" s="1012">
        <v>0.95230000000000004</v>
      </c>
      <c r="M24" s="1012">
        <v>0.95230000000000004</v>
      </c>
    </row>
    <row r="25" spans="1:14">
      <c r="A25" s="1027">
        <v>2.2999999999999998</v>
      </c>
      <c r="B25" s="1012">
        <v>1.1275999999999999</v>
      </c>
      <c r="C25" s="1012">
        <v>1.1275999999999999</v>
      </c>
      <c r="D25" s="1012">
        <v>1.032</v>
      </c>
      <c r="E25" s="1012">
        <v>1.032</v>
      </c>
      <c r="F25" s="1012">
        <v>1.032</v>
      </c>
      <c r="G25" s="1012">
        <v>1.032</v>
      </c>
      <c r="H25" s="1012">
        <v>1.032</v>
      </c>
      <c r="I25" s="1012">
        <v>0.9304</v>
      </c>
      <c r="J25" s="1012">
        <v>0.9304</v>
      </c>
      <c r="K25" s="1012">
        <v>0.9304</v>
      </c>
      <c r="L25" s="1012">
        <v>0.9304</v>
      </c>
      <c r="M25" s="1012">
        <v>0.9304</v>
      </c>
    </row>
    <row r="26" spans="1:14">
      <c r="A26" s="1027">
        <v>2.4</v>
      </c>
      <c r="B26" s="1012">
        <v>1.1121000000000001</v>
      </c>
      <c r="C26" s="1012">
        <v>1.1121000000000001</v>
      </c>
      <c r="D26" s="1012">
        <v>1.0155000000000001</v>
      </c>
      <c r="E26" s="1012">
        <v>1.0155000000000001</v>
      </c>
      <c r="F26" s="1012">
        <v>1.0155000000000001</v>
      </c>
      <c r="G26" s="1012">
        <v>1.0155000000000001</v>
      </c>
      <c r="H26" s="1012">
        <v>1.0155000000000001</v>
      </c>
      <c r="I26" s="1012">
        <v>0.91</v>
      </c>
      <c r="J26" s="1012">
        <v>0.91</v>
      </c>
      <c r="K26" s="1012">
        <v>0.91</v>
      </c>
      <c r="L26" s="1012">
        <v>0.91</v>
      </c>
      <c r="M26" s="1012">
        <v>0.91</v>
      </c>
    </row>
    <row r="27" spans="1:14">
      <c r="A27" s="1027">
        <v>2.5</v>
      </c>
      <c r="B27" s="1012">
        <v>1.0975999999999999</v>
      </c>
      <c r="C27" s="1012">
        <v>1.0975999999999999</v>
      </c>
      <c r="D27" s="1012">
        <v>1</v>
      </c>
      <c r="E27" s="1012">
        <v>1</v>
      </c>
      <c r="F27" s="1012">
        <v>1</v>
      </c>
      <c r="G27" s="1012">
        <v>1</v>
      </c>
      <c r="H27" s="1012">
        <v>1</v>
      </c>
      <c r="I27" s="1012">
        <v>0.89080000000000004</v>
      </c>
      <c r="J27" s="1012">
        <v>0.89080000000000004</v>
      </c>
      <c r="K27" s="1012">
        <v>0.89080000000000004</v>
      </c>
      <c r="L27" s="1012">
        <v>0.89080000000000004</v>
      </c>
      <c r="M27" s="1012">
        <v>0.89080000000000004</v>
      </c>
    </row>
    <row r="28" spans="1:14">
      <c r="A28" s="1027">
        <v>2.6</v>
      </c>
      <c r="B28" s="1012">
        <v>1.0841000000000001</v>
      </c>
      <c r="C28" s="1012">
        <v>1.0841000000000001</v>
      </c>
      <c r="D28" s="1012">
        <v>0.98619999999999997</v>
      </c>
      <c r="E28" s="1012">
        <v>0.98619999999999997</v>
      </c>
      <c r="F28" s="1012">
        <v>0.98619999999999997</v>
      </c>
      <c r="G28" s="1012">
        <v>0.98619999999999997</v>
      </c>
      <c r="H28" s="1012">
        <v>0.98619999999999997</v>
      </c>
      <c r="I28" s="1012">
        <v>0.873</v>
      </c>
      <c r="J28" s="1012">
        <v>0.873</v>
      </c>
      <c r="K28" s="1012">
        <v>0.873</v>
      </c>
      <c r="L28" s="1012">
        <v>0.873</v>
      </c>
      <c r="M28" s="1012">
        <v>0.873</v>
      </c>
    </row>
    <row r="29" spans="1:14">
      <c r="A29" s="1027">
        <v>2.7</v>
      </c>
      <c r="B29" s="1012">
        <v>1.0716000000000001</v>
      </c>
      <c r="C29" s="1012">
        <v>1.0716000000000001</v>
      </c>
      <c r="D29" s="1012">
        <v>0.97330000000000005</v>
      </c>
      <c r="E29" s="1012">
        <v>0.97330000000000005</v>
      </c>
      <c r="F29" s="1012">
        <v>0.97330000000000005</v>
      </c>
      <c r="G29" s="1012">
        <v>0.97330000000000005</v>
      </c>
      <c r="H29" s="1012">
        <v>0.97330000000000005</v>
      </c>
      <c r="I29" s="1012">
        <v>0.85670000000000002</v>
      </c>
      <c r="J29" s="1012">
        <v>0.85670000000000002</v>
      </c>
      <c r="K29" s="1012">
        <v>0.85670000000000002</v>
      </c>
      <c r="L29" s="1012">
        <v>0.85670000000000002</v>
      </c>
      <c r="M29" s="1012">
        <v>0.85670000000000002</v>
      </c>
    </row>
    <row r="30" spans="1:14">
      <c r="A30" s="1027">
        <v>2.8</v>
      </c>
      <c r="B30" s="1012">
        <v>1.0602</v>
      </c>
      <c r="C30" s="1012">
        <v>1.0602</v>
      </c>
      <c r="D30" s="1012">
        <v>0.96160000000000001</v>
      </c>
      <c r="E30" s="1012">
        <v>0.96160000000000001</v>
      </c>
      <c r="F30" s="1012">
        <v>0.96160000000000001</v>
      </c>
      <c r="G30" s="1012">
        <v>0.96160000000000001</v>
      </c>
      <c r="H30" s="1012">
        <v>0.96160000000000001</v>
      </c>
      <c r="I30" s="1012">
        <v>0.8417</v>
      </c>
      <c r="J30" s="1012">
        <v>0.8417</v>
      </c>
      <c r="K30" s="1012">
        <v>0.8417</v>
      </c>
      <c r="L30" s="1012">
        <v>0.8417</v>
      </c>
      <c r="M30" s="1012">
        <v>0.8417</v>
      </c>
    </row>
    <row r="31" spans="1:14">
      <c r="A31" s="1027">
        <v>2.9</v>
      </c>
      <c r="B31" s="1012">
        <v>1.0497000000000001</v>
      </c>
      <c r="C31" s="1012">
        <v>1.0497000000000001</v>
      </c>
      <c r="D31" s="1012">
        <v>0.95089999999999997</v>
      </c>
      <c r="E31" s="1012">
        <v>0.95089999999999997</v>
      </c>
      <c r="F31" s="1012">
        <v>0.95089999999999997</v>
      </c>
      <c r="G31" s="1012">
        <v>0.95089999999999997</v>
      </c>
      <c r="H31" s="1012">
        <v>0.95089999999999997</v>
      </c>
      <c r="I31" s="1012">
        <v>0.82809999999999995</v>
      </c>
      <c r="J31" s="1012">
        <v>0.82809999999999995</v>
      </c>
      <c r="K31" s="1012">
        <v>0.82809999999999995</v>
      </c>
      <c r="L31" s="1012">
        <v>0.82809999999999995</v>
      </c>
      <c r="M31" s="1012">
        <v>0.82809999999999995</v>
      </c>
    </row>
    <row r="32" spans="1:14">
      <c r="A32" s="1027">
        <v>3</v>
      </c>
      <c r="B32" s="1012">
        <v>1.0401</v>
      </c>
      <c r="C32" s="1012">
        <v>1.0401</v>
      </c>
      <c r="D32" s="1012">
        <v>0.94089999999999996</v>
      </c>
      <c r="E32" s="1012">
        <v>0.94089999999999996</v>
      </c>
      <c r="F32" s="1012">
        <v>0.94089999999999996</v>
      </c>
      <c r="G32" s="1012">
        <v>0.94089999999999996</v>
      </c>
      <c r="H32" s="1012">
        <v>0.94089999999999996</v>
      </c>
      <c r="I32" s="1012">
        <v>0.81579999999999997</v>
      </c>
      <c r="J32" s="1012">
        <v>0.81579999999999997</v>
      </c>
      <c r="K32" s="1012">
        <v>0.81579999999999997</v>
      </c>
      <c r="L32" s="1012">
        <v>0.81579999999999997</v>
      </c>
      <c r="M32" s="1012">
        <v>0.81579999999999997</v>
      </c>
    </row>
    <row r="33" spans="1:13">
      <c r="A33" s="1027">
        <v>3.1</v>
      </c>
      <c r="B33" s="1012">
        <v>1.0314000000000001</v>
      </c>
      <c r="C33" s="1012">
        <v>1.0314000000000001</v>
      </c>
      <c r="D33" s="1012">
        <v>0.93169999999999997</v>
      </c>
      <c r="E33" s="1012">
        <v>0.93169999999999997</v>
      </c>
      <c r="F33" s="1012">
        <v>0.93169999999999997</v>
      </c>
      <c r="G33" s="1012">
        <v>0.93169999999999997</v>
      </c>
      <c r="H33" s="1012">
        <v>0.93169999999999997</v>
      </c>
      <c r="I33" s="1012">
        <v>0.80410000000000004</v>
      </c>
      <c r="J33" s="1012">
        <v>0.80410000000000004</v>
      </c>
      <c r="K33" s="1012">
        <v>0.80410000000000004</v>
      </c>
      <c r="L33" s="1012">
        <v>0.80410000000000004</v>
      </c>
      <c r="M33" s="1012">
        <v>0.80410000000000004</v>
      </c>
    </row>
    <row r="34" spans="1:13">
      <c r="A34" s="1027">
        <v>3.2</v>
      </c>
      <c r="B34" s="1012">
        <v>1.0229999999999999</v>
      </c>
      <c r="C34" s="1012">
        <v>1.0229999999999999</v>
      </c>
      <c r="D34" s="1012">
        <v>0.92279999999999995</v>
      </c>
      <c r="E34" s="1012">
        <v>0.92279999999999995</v>
      </c>
      <c r="F34" s="1012">
        <v>0.92279999999999995</v>
      </c>
      <c r="G34" s="1012">
        <v>0.92279999999999995</v>
      </c>
      <c r="H34" s="1012">
        <v>0.92279999999999995</v>
      </c>
      <c r="I34" s="1012">
        <v>0.79300000000000004</v>
      </c>
      <c r="J34" s="1012">
        <v>0.79300000000000004</v>
      </c>
      <c r="K34" s="1012">
        <v>0.79300000000000004</v>
      </c>
      <c r="L34" s="1012">
        <v>0.79300000000000004</v>
      </c>
      <c r="M34" s="1012">
        <v>0.79300000000000004</v>
      </c>
    </row>
    <row r="35" spans="1:13">
      <c r="A35" s="1027">
        <v>3.3</v>
      </c>
      <c r="B35" s="1012">
        <v>1.0149999999999999</v>
      </c>
      <c r="C35" s="1012">
        <v>1.0149999999999999</v>
      </c>
      <c r="D35" s="1012">
        <v>0.91439999999999999</v>
      </c>
      <c r="E35" s="1012">
        <v>0.91439999999999999</v>
      </c>
      <c r="F35" s="1012">
        <v>0.91439999999999999</v>
      </c>
      <c r="G35" s="1012">
        <v>0.91439999999999999</v>
      </c>
      <c r="H35" s="1012">
        <v>0.91439999999999999</v>
      </c>
      <c r="I35" s="1012">
        <v>0.78220000000000001</v>
      </c>
      <c r="J35" s="1012">
        <v>0.78220000000000001</v>
      </c>
      <c r="K35" s="1012">
        <v>0.78220000000000001</v>
      </c>
      <c r="L35" s="1012">
        <v>0.78220000000000001</v>
      </c>
      <c r="M35" s="1012">
        <v>0.78220000000000001</v>
      </c>
    </row>
    <row r="36" spans="1:13">
      <c r="A36" s="1027">
        <v>3.4</v>
      </c>
      <c r="B36" s="1012">
        <v>1.0073000000000001</v>
      </c>
      <c r="C36" s="1012">
        <v>1.0073000000000001</v>
      </c>
      <c r="D36" s="1012">
        <v>0.90629999999999999</v>
      </c>
      <c r="E36" s="1012">
        <v>0.90629999999999999</v>
      </c>
      <c r="F36" s="1012">
        <v>0.90629999999999999</v>
      </c>
      <c r="G36" s="1012">
        <v>0.90629999999999999</v>
      </c>
      <c r="H36" s="1012">
        <v>0.90629999999999999</v>
      </c>
      <c r="I36" s="1012">
        <v>0.77210000000000001</v>
      </c>
      <c r="J36" s="1012">
        <v>0.77210000000000001</v>
      </c>
      <c r="K36" s="1012">
        <v>0.77210000000000001</v>
      </c>
      <c r="L36" s="1012">
        <v>0.77210000000000001</v>
      </c>
      <c r="M36" s="1012">
        <v>0.77210000000000001</v>
      </c>
    </row>
    <row r="37" spans="1:13">
      <c r="A37" s="1027">
        <v>3.5</v>
      </c>
      <c r="B37" s="1012">
        <v>1</v>
      </c>
      <c r="C37" s="1012">
        <v>1</v>
      </c>
      <c r="D37" s="1012">
        <v>0.89870000000000005</v>
      </c>
      <c r="E37" s="1012">
        <v>0.89870000000000005</v>
      </c>
      <c r="F37" s="1012">
        <v>0.89870000000000005</v>
      </c>
      <c r="G37" s="1012">
        <v>0.89870000000000005</v>
      </c>
      <c r="H37" s="1012">
        <v>0.89870000000000005</v>
      </c>
      <c r="I37" s="1012">
        <v>0.76239999999999997</v>
      </c>
      <c r="J37" s="1012">
        <v>0.76239999999999997</v>
      </c>
      <c r="K37" s="1012">
        <v>0.76239999999999997</v>
      </c>
      <c r="L37" s="1012">
        <v>0.76239999999999997</v>
      </c>
      <c r="M37" s="1012">
        <v>0.76239999999999997</v>
      </c>
    </row>
    <row r="38" spans="1:13">
      <c r="A38" s="1027">
        <v>3.6</v>
      </c>
      <c r="B38" s="1012">
        <v>0.99329999999999996</v>
      </c>
      <c r="C38" s="1012">
        <v>0.99329999999999996</v>
      </c>
      <c r="D38" s="1012">
        <v>0.89139999999999997</v>
      </c>
      <c r="E38" s="1012">
        <v>0.89139999999999997</v>
      </c>
      <c r="F38" s="1012">
        <v>0.89139999999999997</v>
      </c>
      <c r="G38" s="1012">
        <v>0.89139999999999997</v>
      </c>
      <c r="H38" s="1012">
        <v>0.89139999999999997</v>
      </c>
      <c r="I38" s="1012">
        <v>0.75319999999999998</v>
      </c>
      <c r="J38" s="1012">
        <v>0.75319999999999998</v>
      </c>
      <c r="K38" s="1012">
        <v>0.75319999999999998</v>
      </c>
      <c r="L38" s="1012">
        <v>0.75319999999999998</v>
      </c>
      <c r="M38" s="1012">
        <v>0.75319999999999998</v>
      </c>
    </row>
    <row r="39" spans="1:13">
      <c r="A39" s="1027">
        <v>3.7</v>
      </c>
      <c r="B39" s="1012">
        <v>0.9869</v>
      </c>
      <c r="C39" s="1012">
        <v>0.9869</v>
      </c>
      <c r="D39" s="1012">
        <v>0.88449999999999995</v>
      </c>
      <c r="E39" s="1012">
        <v>0.88449999999999995</v>
      </c>
      <c r="F39" s="1012">
        <v>0.88449999999999995</v>
      </c>
      <c r="G39" s="1012">
        <v>0.88449999999999995</v>
      </c>
      <c r="H39" s="1012">
        <v>0.88449999999999995</v>
      </c>
      <c r="I39" s="1012">
        <v>0.74460000000000004</v>
      </c>
      <c r="J39" s="1012">
        <v>0.74460000000000004</v>
      </c>
      <c r="K39" s="1012">
        <v>0.74460000000000004</v>
      </c>
      <c r="L39" s="1012">
        <v>0.74460000000000004</v>
      </c>
      <c r="M39" s="1012">
        <v>0.74460000000000004</v>
      </c>
    </row>
    <row r="40" spans="1:13">
      <c r="A40" s="1027">
        <v>3.8</v>
      </c>
      <c r="B40" s="1012">
        <v>0.98080000000000001</v>
      </c>
      <c r="C40" s="1012">
        <v>0.98080000000000001</v>
      </c>
      <c r="D40" s="1012">
        <v>0.87809999999999999</v>
      </c>
      <c r="E40" s="1012">
        <v>0.87809999999999999</v>
      </c>
      <c r="F40" s="1012">
        <v>0.87809999999999999</v>
      </c>
      <c r="G40" s="1012">
        <v>0.87809999999999999</v>
      </c>
      <c r="H40" s="1012">
        <v>0.87809999999999999</v>
      </c>
      <c r="I40" s="1012">
        <v>0.73640000000000005</v>
      </c>
      <c r="J40" s="1012">
        <v>0.73640000000000005</v>
      </c>
      <c r="K40" s="1012">
        <v>0.73640000000000005</v>
      </c>
      <c r="L40" s="1012">
        <v>0.73640000000000005</v>
      </c>
      <c r="M40" s="1012">
        <v>0.73640000000000005</v>
      </c>
    </row>
    <row r="41" spans="1:13">
      <c r="A41" s="1027">
        <v>3.9</v>
      </c>
      <c r="B41" s="1012">
        <v>0.97509999999999997</v>
      </c>
      <c r="C41" s="1012">
        <v>0.97509999999999997</v>
      </c>
      <c r="D41" s="1012">
        <v>0.87209999999999999</v>
      </c>
      <c r="E41" s="1012">
        <v>0.87209999999999999</v>
      </c>
      <c r="F41" s="1012">
        <v>0.87209999999999999</v>
      </c>
      <c r="G41" s="1012">
        <v>0.87209999999999999</v>
      </c>
      <c r="H41" s="1012">
        <v>0.87209999999999999</v>
      </c>
      <c r="I41" s="1012">
        <v>0.7288</v>
      </c>
      <c r="J41" s="1012">
        <v>0.7288</v>
      </c>
      <c r="K41" s="1012">
        <v>0.7288</v>
      </c>
      <c r="L41" s="1012">
        <v>0.7288</v>
      </c>
      <c r="M41" s="1012">
        <v>0.7288</v>
      </c>
    </row>
    <row r="42" spans="1:13">
      <c r="A42" s="1027">
        <v>4</v>
      </c>
      <c r="B42" s="1012">
        <v>0.96989999999999998</v>
      </c>
      <c r="C42" s="1012">
        <v>0.96989999999999998</v>
      </c>
      <c r="D42" s="1012">
        <v>0.86650000000000005</v>
      </c>
      <c r="E42" s="1012">
        <v>0.86650000000000005</v>
      </c>
      <c r="F42" s="1012">
        <v>0.86650000000000005</v>
      </c>
      <c r="G42" s="1012">
        <v>0.86650000000000005</v>
      </c>
      <c r="H42" s="1012">
        <v>0.86650000000000005</v>
      </c>
      <c r="I42" s="1012">
        <v>0.7218</v>
      </c>
      <c r="J42" s="1012">
        <v>0.7218</v>
      </c>
      <c r="K42" s="1012">
        <v>0.7218</v>
      </c>
      <c r="L42" s="1012">
        <v>0.7218</v>
      </c>
      <c r="M42" s="1012">
        <v>0.7218</v>
      </c>
    </row>
    <row r="43" spans="1:13">
      <c r="A43" s="1027">
        <v>4.0999999999999996</v>
      </c>
      <c r="B43" s="1012">
        <v>0.96479999999999999</v>
      </c>
      <c r="C43" s="1012">
        <v>0.96479999999999999</v>
      </c>
      <c r="D43" s="1012">
        <v>0.86109999999999998</v>
      </c>
      <c r="E43" s="1012">
        <v>0.86109999999999998</v>
      </c>
      <c r="F43" s="1012">
        <v>0.86109999999999998</v>
      </c>
      <c r="G43" s="1012">
        <v>0.86109999999999998</v>
      </c>
      <c r="H43" s="1012">
        <v>0.86109999999999998</v>
      </c>
      <c r="I43" s="1012">
        <v>0.71499999999999997</v>
      </c>
      <c r="J43" s="1012">
        <v>0.71499999999999997</v>
      </c>
      <c r="K43" s="1012">
        <v>0.71499999999999997</v>
      </c>
      <c r="L43" s="1012">
        <v>0.71499999999999997</v>
      </c>
      <c r="M43" s="1012">
        <v>0.71499999999999997</v>
      </c>
    </row>
    <row r="44" spans="1:13">
      <c r="A44" s="1027">
        <v>4.2</v>
      </c>
      <c r="B44" s="1012">
        <v>0.96</v>
      </c>
      <c r="C44" s="1012">
        <v>0.96</v>
      </c>
      <c r="D44" s="1012">
        <v>0.85599999999999998</v>
      </c>
      <c r="E44" s="1012">
        <v>0.85599999999999998</v>
      </c>
      <c r="F44" s="1012">
        <v>0.85599999999999998</v>
      </c>
      <c r="G44" s="1012">
        <v>0.85599999999999998</v>
      </c>
      <c r="H44" s="1012">
        <v>0.85599999999999998</v>
      </c>
      <c r="I44" s="1012">
        <v>0.70840000000000003</v>
      </c>
      <c r="J44" s="1012">
        <v>0.70840000000000003</v>
      </c>
      <c r="K44" s="1012">
        <v>0.70840000000000003</v>
      </c>
      <c r="L44" s="1012">
        <v>0.70840000000000003</v>
      </c>
      <c r="M44" s="1012">
        <v>0.70840000000000003</v>
      </c>
    </row>
    <row r="45" spans="1:13">
      <c r="A45" s="1027">
        <v>4.3</v>
      </c>
      <c r="B45" s="1012">
        <v>0.95530000000000004</v>
      </c>
      <c r="C45" s="1012">
        <v>0.95530000000000004</v>
      </c>
      <c r="D45" s="1012">
        <v>0.85099999999999998</v>
      </c>
      <c r="E45" s="1012">
        <v>0.85099999999999998</v>
      </c>
      <c r="F45" s="1012">
        <v>0.85099999999999998</v>
      </c>
      <c r="G45" s="1012">
        <v>0.85099999999999998</v>
      </c>
      <c r="H45" s="1012">
        <v>0.85099999999999998</v>
      </c>
      <c r="I45" s="1012">
        <v>0.70199999999999996</v>
      </c>
      <c r="J45" s="1012">
        <v>0.70199999999999996</v>
      </c>
      <c r="K45" s="1012">
        <v>0.70199999999999996</v>
      </c>
      <c r="L45" s="1012">
        <v>0.70199999999999996</v>
      </c>
      <c r="M45" s="1012">
        <v>0.70199999999999996</v>
      </c>
    </row>
    <row r="46" spans="1:13">
      <c r="A46" s="1027">
        <v>4.4000000000000004</v>
      </c>
      <c r="B46" s="1012">
        <v>0.95079999999999998</v>
      </c>
      <c r="C46" s="1012">
        <v>0.95079999999999998</v>
      </c>
      <c r="D46" s="1012">
        <v>0.84619999999999995</v>
      </c>
      <c r="E46" s="1012">
        <v>0.84619999999999995</v>
      </c>
      <c r="F46" s="1012">
        <v>0.84619999999999995</v>
      </c>
      <c r="G46" s="1012">
        <v>0.84619999999999995</v>
      </c>
      <c r="H46" s="1012">
        <v>0.84619999999999995</v>
      </c>
      <c r="I46" s="1012">
        <v>0.69579999999999997</v>
      </c>
      <c r="J46" s="1012">
        <v>0.69579999999999997</v>
      </c>
      <c r="K46" s="1012">
        <v>0.69579999999999997</v>
      </c>
      <c r="L46" s="1012">
        <v>0.69579999999999997</v>
      </c>
      <c r="M46" s="1012">
        <v>0.69579999999999997</v>
      </c>
    </row>
    <row r="47" spans="1:13">
      <c r="A47" s="1027">
        <v>4.5</v>
      </c>
      <c r="B47" s="1012">
        <v>0.94640000000000002</v>
      </c>
      <c r="C47" s="1012">
        <v>0.94640000000000002</v>
      </c>
      <c r="D47" s="1012">
        <v>0.84150000000000003</v>
      </c>
      <c r="E47" s="1012">
        <v>0.84150000000000003</v>
      </c>
      <c r="F47" s="1012">
        <v>0.84150000000000003</v>
      </c>
      <c r="G47" s="1012">
        <v>0.84150000000000003</v>
      </c>
      <c r="H47" s="1012">
        <v>0.84150000000000003</v>
      </c>
      <c r="I47" s="1012">
        <v>0.68989999999999996</v>
      </c>
      <c r="J47" s="1012">
        <v>0.68989999999999996</v>
      </c>
      <c r="K47" s="1012">
        <v>0.68989999999999996</v>
      </c>
      <c r="L47" s="1012">
        <v>0.68989999999999996</v>
      </c>
      <c r="M47" s="1012">
        <v>0.68989999999999996</v>
      </c>
    </row>
    <row r="48" spans="1:13">
      <c r="A48" s="1027">
        <v>4.5999999999999996</v>
      </c>
      <c r="B48" s="1012">
        <v>0.94230000000000003</v>
      </c>
      <c r="C48" s="1012">
        <v>0.94230000000000003</v>
      </c>
      <c r="D48" s="1012">
        <v>0.83709999999999996</v>
      </c>
      <c r="E48" s="1012">
        <v>0.83709999999999996</v>
      </c>
      <c r="F48" s="1012">
        <v>0.83709999999999996</v>
      </c>
      <c r="G48" s="1012">
        <v>0.83709999999999996</v>
      </c>
      <c r="H48" s="1012">
        <v>0.83709999999999996</v>
      </c>
      <c r="I48" s="1012">
        <v>0.68430000000000002</v>
      </c>
      <c r="J48" s="1012">
        <v>0.68430000000000002</v>
      </c>
      <c r="K48" s="1012">
        <v>0.68430000000000002</v>
      </c>
      <c r="L48" s="1012">
        <v>0.68430000000000002</v>
      </c>
      <c r="M48" s="1012">
        <v>0.68430000000000002</v>
      </c>
    </row>
    <row r="49" spans="1:13">
      <c r="A49" s="1027">
        <v>4.7</v>
      </c>
      <c r="B49" s="1012">
        <v>0.93830000000000002</v>
      </c>
      <c r="C49" s="1012">
        <v>0.93830000000000002</v>
      </c>
      <c r="D49" s="1012">
        <v>0.83279999999999998</v>
      </c>
      <c r="E49" s="1012">
        <v>0.83279999999999998</v>
      </c>
      <c r="F49" s="1012">
        <v>0.83279999999999998</v>
      </c>
      <c r="G49" s="1012">
        <v>0.83279999999999998</v>
      </c>
      <c r="H49" s="1012">
        <v>0.83279999999999998</v>
      </c>
      <c r="I49" s="1012">
        <v>0.67879999999999996</v>
      </c>
      <c r="J49" s="1012">
        <v>0.67879999999999996</v>
      </c>
      <c r="K49" s="1012">
        <v>0.67879999999999996</v>
      </c>
      <c r="L49" s="1012">
        <v>0.67879999999999996</v>
      </c>
      <c r="M49" s="1012">
        <v>0.67879999999999996</v>
      </c>
    </row>
    <row r="50" spans="1:13">
      <c r="A50" s="1027">
        <v>4.8</v>
      </c>
      <c r="B50" s="1012">
        <v>0.9345</v>
      </c>
      <c r="C50" s="1012">
        <v>0.9345</v>
      </c>
      <c r="D50" s="1012">
        <v>0.82869999999999999</v>
      </c>
      <c r="E50" s="1012">
        <v>0.82869999999999999</v>
      </c>
      <c r="F50" s="1012">
        <v>0.82869999999999999</v>
      </c>
      <c r="G50" s="1012">
        <v>0.82869999999999999</v>
      </c>
      <c r="H50" s="1012">
        <v>0.82869999999999999</v>
      </c>
      <c r="I50" s="1012">
        <v>0.67359999999999998</v>
      </c>
      <c r="J50" s="1012">
        <v>0.67359999999999998</v>
      </c>
      <c r="K50" s="1012">
        <v>0.67359999999999998</v>
      </c>
      <c r="L50" s="1012">
        <v>0.67359999999999998</v>
      </c>
      <c r="M50" s="1012">
        <v>0.67359999999999998</v>
      </c>
    </row>
    <row r="51" spans="1:13">
      <c r="A51" s="1027">
        <v>4.9000000000000004</v>
      </c>
      <c r="B51" s="1012">
        <v>0.93079999999999996</v>
      </c>
      <c r="C51" s="1012">
        <v>0.93079999999999996</v>
      </c>
      <c r="D51" s="1012">
        <v>0.82479999999999998</v>
      </c>
      <c r="E51" s="1012">
        <v>0.82479999999999998</v>
      </c>
      <c r="F51" s="1012">
        <v>0.82479999999999998</v>
      </c>
      <c r="G51" s="1012">
        <v>0.82479999999999998</v>
      </c>
      <c r="H51" s="1012">
        <v>0.82479999999999998</v>
      </c>
      <c r="I51" s="1012">
        <v>0.66849999999999998</v>
      </c>
      <c r="J51" s="1012">
        <v>0.66849999999999998</v>
      </c>
      <c r="K51" s="1012">
        <v>0.66849999999999998</v>
      </c>
      <c r="L51" s="1012">
        <v>0.66849999999999998</v>
      </c>
      <c r="M51" s="1012">
        <v>0.66849999999999998</v>
      </c>
    </row>
    <row r="52" spans="1:13">
      <c r="A52" s="1027">
        <v>5</v>
      </c>
      <c r="B52" s="1012">
        <v>0.9274</v>
      </c>
      <c r="C52" s="1012">
        <v>0.9274</v>
      </c>
      <c r="D52" s="1012">
        <v>0.82110000000000005</v>
      </c>
      <c r="E52" s="1012">
        <v>0.82110000000000005</v>
      </c>
      <c r="F52" s="1012">
        <v>0.82110000000000005</v>
      </c>
      <c r="G52" s="1012">
        <v>0.82110000000000005</v>
      </c>
      <c r="H52" s="1012">
        <v>0.82110000000000005</v>
      </c>
      <c r="I52" s="1012">
        <v>0.66369999999999996</v>
      </c>
      <c r="J52" s="1012">
        <v>0.66369999999999996</v>
      </c>
      <c r="K52" s="1012">
        <v>0.66369999999999996</v>
      </c>
      <c r="L52" s="1012">
        <v>0.66369999999999996</v>
      </c>
      <c r="M52" s="1012">
        <v>0.66369999999999996</v>
      </c>
    </row>
    <row r="53" spans="1:13">
      <c r="A53" s="1003">
        <v>5.0999999999999996</v>
      </c>
      <c r="B53" s="1012">
        <v>0.92410000000000003</v>
      </c>
      <c r="C53" s="1012">
        <v>0.92410000000000003</v>
      </c>
      <c r="D53" s="1012">
        <v>0.8175</v>
      </c>
      <c r="E53" s="1012">
        <v>0.8175</v>
      </c>
      <c r="F53" s="1012">
        <v>0.8175</v>
      </c>
      <c r="G53" s="1012">
        <v>0.8175</v>
      </c>
      <c r="H53" s="1012">
        <v>0.8175</v>
      </c>
      <c r="I53" s="1012">
        <v>0.65900000000000003</v>
      </c>
      <c r="J53" s="1012">
        <v>0.65900000000000003</v>
      </c>
      <c r="K53" s="1012">
        <v>0.65900000000000003</v>
      </c>
      <c r="L53" s="1012">
        <v>0.65900000000000003</v>
      </c>
      <c r="M53" s="1012">
        <v>0.65900000000000003</v>
      </c>
    </row>
    <row r="54" spans="1:13">
      <c r="A54" s="1003">
        <v>5.2</v>
      </c>
      <c r="B54" s="1012">
        <v>0.92090000000000005</v>
      </c>
      <c r="C54" s="1012">
        <v>0.92090000000000005</v>
      </c>
      <c r="D54" s="1012">
        <v>0.81399999999999995</v>
      </c>
      <c r="E54" s="1012">
        <v>0.81399999999999995</v>
      </c>
      <c r="F54" s="1012">
        <v>0.81399999999999995</v>
      </c>
      <c r="G54" s="1012">
        <v>0.81399999999999995</v>
      </c>
      <c r="H54" s="1012">
        <v>0.81399999999999995</v>
      </c>
      <c r="I54" s="1012">
        <v>0.65449999999999997</v>
      </c>
      <c r="J54" s="1012">
        <v>0.65449999999999997</v>
      </c>
      <c r="K54" s="1012">
        <v>0.65449999999999997</v>
      </c>
      <c r="L54" s="1012">
        <v>0.65449999999999997</v>
      </c>
      <c r="M54" s="1012">
        <v>0.65449999999999997</v>
      </c>
    </row>
    <row r="55" spans="1:13">
      <c r="A55" s="1003">
        <v>5.3</v>
      </c>
      <c r="B55" s="1012">
        <v>0.91790000000000005</v>
      </c>
      <c r="C55" s="1012">
        <v>0.91790000000000005</v>
      </c>
      <c r="D55" s="1012">
        <v>0.81059999999999999</v>
      </c>
      <c r="E55" s="1012">
        <v>0.81059999999999999</v>
      </c>
      <c r="F55" s="1012">
        <v>0.81059999999999999</v>
      </c>
      <c r="G55" s="1012">
        <v>0.81059999999999999</v>
      </c>
      <c r="H55" s="1012">
        <v>0.81059999999999999</v>
      </c>
      <c r="I55" s="1012">
        <v>0.6502</v>
      </c>
      <c r="J55" s="1012">
        <v>0.6502</v>
      </c>
      <c r="K55" s="1012">
        <v>0.6502</v>
      </c>
      <c r="L55" s="1012">
        <v>0.6502</v>
      </c>
      <c r="M55" s="1012">
        <v>0.6502</v>
      </c>
    </row>
    <row r="56" spans="1:13">
      <c r="A56" s="1003">
        <v>5.4</v>
      </c>
      <c r="B56" s="1012">
        <v>0.91490000000000005</v>
      </c>
      <c r="C56" s="1012">
        <v>0.91490000000000005</v>
      </c>
      <c r="D56" s="1012">
        <v>0.80740000000000001</v>
      </c>
      <c r="E56" s="1012">
        <v>0.80740000000000001</v>
      </c>
      <c r="F56" s="1012">
        <v>0.80740000000000001</v>
      </c>
      <c r="G56" s="1012">
        <v>0.80740000000000001</v>
      </c>
      <c r="H56" s="1012">
        <v>0.80740000000000001</v>
      </c>
      <c r="I56" s="1012">
        <v>0.64590000000000003</v>
      </c>
      <c r="J56" s="1012">
        <v>0.64590000000000003</v>
      </c>
      <c r="K56" s="1012">
        <v>0.64590000000000003</v>
      </c>
      <c r="L56" s="1012">
        <v>0.64590000000000003</v>
      </c>
      <c r="M56" s="1012">
        <v>0.64590000000000003</v>
      </c>
    </row>
    <row r="57" spans="1:13">
      <c r="A57" s="1003">
        <v>5.5</v>
      </c>
      <c r="B57" s="1012">
        <v>0.91200000000000003</v>
      </c>
      <c r="C57" s="1012">
        <v>0.91200000000000003</v>
      </c>
      <c r="D57" s="1012">
        <v>0.80420000000000003</v>
      </c>
      <c r="E57" s="1012">
        <v>0.80420000000000003</v>
      </c>
      <c r="F57" s="1012">
        <v>0.80420000000000003</v>
      </c>
      <c r="G57" s="1012">
        <v>0.80420000000000003</v>
      </c>
      <c r="H57" s="1012">
        <v>0.80420000000000003</v>
      </c>
      <c r="I57" s="1012">
        <v>0.64180000000000004</v>
      </c>
      <c r="J57" s="1012">
        <v>0.64180000000000004</v>
      </c>
      <c r="K57" s="1012">
        <v>0.64180000000000004</v>
      </c>
      <c r="L57" s="1012">
        <v>0.64180000000000004</v>
      </c>
      <c r="M57" s="1012">
        <v>0.64180000000000004</v>
      </c>
    </row>
    <row r="58" spans="1:13">
      <c r="A58" s="1003">
        <v>5.6</v>
      </c>
      <c r="B58" s="1012">
        <v>0.90910000000000002</v>
      </c>
      <c r="C58" s="1012">
        <v>0.90910000000000002</v>
      </c>
      <c r="D58" s="1012">
        <v>0.80120000000000002</v>
      </c>
      <c r="E58" s="1012">
        <v>0.80120000000000002</v>
      </c>
      <c r="F58" s="1012">
        <v>0.80120000000000002</v>
      </c>
      <c r="G58" s="1012">
        <v>0.80120000000000002</v>
      </c>
      <c r="H58" s="1012">
        <v>0.80120000000000002</v>
      </c>
      <c r="I58" s="1012">
        <v>0.63790000000000002</v>
      </c>
      <c r="J58" s="1012">
        <v>0.63790000000000002</v>
      </c>
      <c r="K58" s="1012">
        <v>0.63790000000000002</v>
      </c>
      <c r="L58" s="1012">
        <v>0.63790000000000002</v>
      </c>
      <c r="M58" s="1012">
        <v>0.63790000000000002</v>
      </c>
    </row>
    <row r="59" spans="1:13">
      <c r="A59" s="1027">
        <v>5.7</v>
      </c>
      <c r="B59" s="1012">
        <v>0.90639999999999998</v>
      </c>
      <c r="C59" s="1012">
        <v>0.90639999999999998</v>
      </c>
      <c r="D59" s="1012">
        <v>0.79820000000000002</v>
      </c>
      <c r="E59" s="1012">
        <v>0.79820000000000002</v>
      </c>
      <c r="F59" s="1012">
        <v>0.79820000000000002</v>
      </c>
      <c r="G59" s="1012">
        <v>0.79820000000000002</v>
      </c>
      <c r="H59" s="1012">
        <v>0.79820000000000002</v>
      </c>
      <c r="I59" s="1012">
        <v>0.6341</v>
      </c>
      <c r="J59" s="1012">
        <v>0.6341</v>
      </c>
      <c r="K59" s="1012">
        <v>0.6341</v>
      </c>
      <c r="L59" s="1012">
        <v>0.6341</v>
      </c>
      <c r="M59" s="1012">
        <v>0.6341</v>
      </c>
    </row>
    <row r="60" spans="1:13">
      <c r="A60" s="1003">
        <v>5.8</v>
      </c>
      <c r="B60" s="1012">
        <v>0.90380000000000005</v>
      </c>
      <c r="C60" s="1012">
        <v>0.90380000000000005</v>
      </c>
      <c r="D60" s="1012">
        <v>0.7954</v>
      </c>
      <c r="E60" s="1012">
        <v>0.7954</v>
      </c>
      <c r="F60" s="1012">
        <v>0.7954</v>
      </c>
      <c r="G60" s="1012">
        <v>0.7954</v>
      </c>
      <c r="H60" s="1012">
        <v>0.7954</v>
      </c>
      <c r="I60" s="1012">
        <v>0.63039999999999996</v>
      </c>
      <c r="J60" s="1012">
        <v>0.63039999999999996</v>
      </c>
      <c r="K60" s="1012">
        <v>0.63039999999999996</v>
      </c>
      <c r="L60" s="1012">
        <v>0.63039999999999996</v>
      </c>
      <c r="M60" s="1012">
        <v>0.63039999999999996</v>
      </c>
    </row>
    <row r="61" spans="1:13">
      <c r="A61" s="1003">
        <v>5.9</v>
      </c>
      <c r="B61" s="1012">
        <v>0.90129999999999999</v>
      </c>
      <c r="C61" s="1012">
        <v>0.90129999999999999</v>
      </c>
      <c r="D61" s="1012">
        <v>0.79269999999999996</v>
      </c>
      <c r="E61" s="1012">
        <v>0.79269999999999996</v>
      </c>
      <c r="F61" s="1012">
        <v>0.79269999999999996</v>
      </c>
      <c r="G61" s="1012">
        <v>0.79269999999999996</v>
      </c>
      <c r="H61" s="1012">
        <v>0.79269999999999996</v>
      </c>
      <c r="I61" s="1012">
        <v>0.62690000000000001</v>
      </c>
      <c r="J61" s="1012">
        <v>0.62690000000000001</v>
      </c>
      <c r="K61" s="1012">
        <v>0.62690000000000001</v>
      </c>
      <c r="L61" s="1012">
        <v>0.62690000000000001</v>
      </c>
      <c r="M61" s="1012">
        <v>0.62690000000000001</v>
      </c>
    </row>
    <row r="62" spans="1:13">
      <c r="A62" s="1003">
        <v>6</v>
      </c>
      <c r="B62" s="1012">
        <v>0.89890000000000003</v>
      </c>
      <c r="C62" s="1012">
        <v>0.89890000000000003</v>
      </c>
      <c r="D62" s="1012">
        <v>0.79020000000000001</v>
      </c>
      <c r="E62" s="1012">
        <v>0.79020000000000001</v>
      </c>
      <c r="F62" s="1012">
        <v>0.79020000000000001</v>
      </c>
      <c r="G62" s="1012">
        <v>0.79020000000000001</v>
      </c>
      <c r="H62" s="1012">
        <v>0.79020000000000001</v>
      </c>
      <c r="I62" s="1012">
        <v>0.62350000000000005</v>
      </c>
      <c r="J62" s="1012">
        <v>0.62350000000000005</v>
      </c>
      <c r="K62" s="1012">
        <v>0.62350000000000005</v>
      </c>
      <c r="L62" s="1012">
        <v>0.62350000000000005</v>
      </c>
      <c r="M62" s="1012">
        <v>0.62350000000000005</v>
      </c>
    </row>
    <row r="63" spans="1:13">
      <c r="A63" s="1003">
        <v>6.1</v>
      </c>
      <c r="B63" s="1012">
        <v>0.89649999999999996</v>
      </c>
      <c r="C63" s="1012">
        <v>0.89649999999999996</v>
      </c>
      <c r="D63" s="1012">
        <v>0.78769999999999996</v>
      </c>
      <c r="E63" s="1012">
        <v>0.78769999999999996</v>
      </c>
      <c r="F63" s="1012">
        <v>0.78769999999999996</v>
      </c>
      <c r="G63" s="1012">
        <v>0.78769999999999996</v>
      </c>
      <c r="H63" s="1012">
        <v>0.78769999999999996</v>
      </c>
      <c r="I63" s="1012">
        <v>0.62029999999999996</v>
      </c>
      <c r="J63" s="1012">
        <v>0.62029999999999996</v>
      </c>
      <c r="K63" s="1012">
        <v>0.62029999999999996</v>
      </c>
      <c r="L63" s="1012">
        <v>0.62029999999999996</v>
      </c>
      <c r="M63" s="1012">
        <v>0.62029999999999996</v>
      </c>
    </row>
    <row r="64" spans="1:13">
      <c r="A64" s="1003">
        <v>6.2</v>
      </c>
      <c r="B64" s="1012">
        <v>0.89429999999999998</v>
      </c>
      <c r="C64" s="1012">
        <v>0.89429999999999998</v>
      </c>
      <c r="D64" s="1012">
        <v>0.78520000000000001</v>
      </c>
      <c r="E64" s="1012">
        <v>0.78520000000000001</v>
      </c>
      <c r="F64" s="1012">
        <v>0.78520000000000001</v>
      </c>
      <c r="G64" s="1012">
        <v>0.78520000000000001</v>
      </c>
      <c r="H64" s="1012">
        <v>0.78520000000000001</v>
      </c>
      <c r="I64" s="1012">
        <v>0.61719999999999997</v>
      </c>
      <c r="J64" s="1012">
        <v>0.61719999999999997</v>
      </c>
      <c r="K64" s="1012">
        <v>0.61719999999999997</v>
      </c>
      <c r="L64" s="1012">
        <v>0.61719999999999997</v>
      </c>
      <c r="M64" s="1012">
        <v>0.61719999999999997</v>
      </c>
    </row>
    <row r="65" spans="1:13">
      <c r="A65" s="1003">
        <v>6.3</v>
      </c>
      <c r="B65" s="1012">
        <v>0.89200000000000002</v>
      </c>
      <c r="C65" s="1012">
        <v>0.89200000000000002</v>
      </c>
      <c r="D65" s="1012">
        <v>0.78280000000000005</v>
      </c>
      <c r="E65" s="1012">
        <v>0.78280000000000005</v>
      </c>
      <c r="F65" s="1012">
        <v>0.78280000000000005</v>
      </c>
      <c r="G65" s="1012">
        <v>0.78280000000000005</v>
      </c>
      <c r="H65" s="1012">
        <v>0.78280000000000005</v>
      </c>
      <c r="I65" s="1012">
        <v>0.61409999999999998</v>
      </c>
      <c r="J65" s="1012">
        <v>0.61409999999999998</v>
      </c>
      <c r="K65" s="1012">
        <v>0.61409999999999998</v>
      </c>
      <c r="L65" s="1012">
        <v>0.61409999999999998</v>
      </c>
      <c r="M65" s="1012">
        <v>0.61409999999999998</v>
      </c>
    </row>
    <row r="66" spans="1:13">
      <c r="A66" s="1003">
        <v>6.4</v>
      </c>
      <c r="B66" s="1012">
        <v>0.88990000000000002</v>
      </c>
      <c r="C66" s="1012">
        <v>0.88990000000000002</v>
      </c>
      <c r="D66" s="1012">
        <v>0.78039999999999998</v>
      </c>
      <c r="E66" s="1012">
        <v>0.78039999999999998</v>
      </c>
      <c r="F66" s="1012">
        <v>0.78039999999999998</v>
      </c>
      <c r="G66" s="1012">
        <v>0.78039999999999998</v>
      </c>
      <c r="H66" s="1012">
        <v>0.78039999999999998</v>
      </c>
      <c r="I66" s="1012">
        <v>0.61099999999999999</v>
      </c>
      <c r="J66" s="1012">
        <v>0.61099999999999999</v>
      </c>
      <c r="K66" s="1012">
        <v>0.61099999999999999</v>
      </c>
      <c r="L66" s="1012">
        <v>0.61099999999999999</v>
      </c>
      <c r="M66" s="1012">
        <v>0.61099999999999999</v>
      </c>
    </row>
    <row r="67" spans="1:13">
      <c r="A67" s="1003">
        <v>6.5</v>
      </c>
      <c r="B67" s="1012">
        <v>0.88780000000000003</v>
      </c>
      <c r="C67" s="1012">
        <v>0.88780000000000003</v>
      </c>
      <c r="D67" s="1012">
        <v>0.77810000000000001</v>
      </c>
      <c r="E67" s="1012">
        <v>0.77810000000000001</v>
      </c>
      <c r="F67" s="1012">
        <v>0.77810000000000001</v>
      </c>
      <c r="G67" s="1012">
        <v>0.77810000000000001</v>
      </c>
      <c r="H67" s="1012">
        <v>0.77810000000000001</v>
      </c>
      <c r="I67" s="1012">
        <v>0.60799999999999998</v>
      </c>
      <c r="J67" s="1012">
        <v>0.60799999999999998</v>
      </c>
      <c r="K67" s="1012">
        <v>0.60799999999999998</v>
      </c>
      <c r="L67" s="1012">
        <v>0.60799999999999998</v>
      </c>
      <c r="M67" s="1012">
        <v>0.60799999999999998</v>
      </c>
    </row>
    <row r="68" spans="1:13">
      <c r="A68" s="1003">
        <v>6.6</v>
      </c>
      <c r="B68" s="1012">
        <v>0.88580000000000003</v>
      </c>
      <c r="C68" s="1012">
        <v>0.88580000000000003</v>
      </c>
      <c r="D68" s="1012">
        <v>0.77580000000000005</v>
      </c>
      <c r="E68" s="1012">
        <v>0.77580000000000005</v>
      </c>
      <c r="F68" s="1012">
        <v>0.77580000000000005</v>
      </c>
      <c r="G68" s="1012">
        <v>0.77580000000000005</v>
      </c>
      <c r="H68" s="1012">
        <v>0.77580000000000005</v>
      </c>
      <c r="I68" s="1012">
        <v>0.60499999999999998</v>
      </c>
      <c r="J68" s="1012">
        <v>0.60499999999999998</v>
      </c>
      <c r="K68" s="1012">
        <v>0.60499999999999998</v>
      </c>
      <c r="L68" s="1012">
        <v>0.60499999999999998</v>
      </c>
      <c r="M68" s="1012">
        <v>0.60499999999999998</v>
      </c>
    </row>
    <row r="69" spans="1:13">
      <c r="A69" s="1003">
        <v>6.7</v>
      </c>
      <c r="B69" s="1012">
        <v>0.88380000000000003</v>
      </c>
      <c r="C69" s="1012">
        <v>0.88380000000000003</v>
      </c>
      <c r="D69" s="1012">
        <v>0.77359999999999995</v>
      </c>
      <c r="E69" s="1012">
        <v>0.77359999999999995</v>
      </c>
      <c r="F69" s="1012">
        <v>0.77359999999999995</v>
      </c>
      <c r="G69" s="1012">
        <v>0.77359999999999995</v>
      </c>
      <c r="H69" s="1012">
        <v>0.77359999999999995</v>
      </c>
      <c r="I69" s="1012">
        <v>0.60209999999999997</v>
      </c>
      <c r="J69" s="1012">
        <v>0.60209999999999997</v>
      </c>
      <c r="K69" s="1012">
        <v>0.60209999999999997</v>
      </c>
      <c r="L69" s="1012">
        <v>0.60209999999999997</v>
      </c>
      <c r="M69" s="1012">
        <v>0.60209999999999997</v>
      </c>
    </row>
    <row r="70" spans="1:13">
      <c r="A70" s="1003">
        <v>6.8</v>
      </c>
      <c r="B70" s="1012">
        <v>0.88190000000000002</v>
      </c>
      <c r="C70" s="1012">
        <v>0.88190000000000002</v>
      </c>
      <c r="D70" s="1012">
        <v>0.77159999999999995</v>
      </c>
      <c r="E70" s="1012">
        <v>0.77159999999999995</v>
      </c>
      <c r="F70" s="1012">
        <v>0.77159999999999995</v>
      </c>
      <c r="G70" s="1012">
        <v>0.77159999999999995</v>
      </c>
      <c r="H70" s="1012">
        <v>0.77159999999999995</v>
      </c>
      <c r="I70" s="1012">
        <v>0.59930000000000005</v>
      </c>
      <c r="J70" s="1012">
        <v>0.59930000000000005</v>
      </c>
      <c r="K70" s="1012">
        <v>0.59930000000000005</v>
      </c>
      <c r="L70" s="1012">
        <v>0.59930000000000005</v>
      </c>
      <c r="M70" s="1012">
        <v>0.59930000000000005</v>
      </c>
    </row>
    <row r="71" spans="1:13">
      <c r="A71" s="1003">
        <v>6.9</v>
      </c>
      <c r="B71" s="1012">
        <v>0.88</v>
      </c>
      <c r="C71" s="1012">
        <v>0.88</v>
      </c>
      <c r="D71" s="1012">
        <v>0.76949999999999996</v>
      </c>
      <c r="E71" s="1012">
        <v>0.76949999999999996</v>
      </c>
      <c r="F71" s="1012">
        <v>0.76949999999999996</v>
      </c>
      <c r="G71" s="1012">
        <v>0.76949999999999996</v>
      </c>
      <c r="H71" s="1012">
        <v>0.76949999999999996</v>
      </c>
      <c r="I71" s="1012">
        <v>0.59640000000000004</v>
      </c>
      <c r="J71" s="1012">
        <v>0.59640000000000004</v>
      </c>
      <c r="K71" s="1012">
        <v>0.59640000000000004</v>
      </c>
      <c r="L71" s="1012">
        <v>0.59640000000000004</v>
      </c>
      <c r="M71" s="1012">
        <v>0.59640000000000004</v>
      </c>
    </row>
    <row r="72" spans="1:13">
      <c r="A72" s="1003">
        <v>7</v>
      </c>
      <c r="B72" s="1012">
        <v>0.87819999999999998</v>
      </c>
      <c r="C72" s="1012">
        <v>0.87819999999999998</v>
      </c>
      <c r="D72" s="1012">
        <v>0.76749999999999996</v>
      </c>
      <c r="E72" s="1012">
        <v>0.76749999999999996</v>
      </c>
      <c r="F72" s="1012">
        <v>0.76749999999999996</v>
      </c>
      <c r="G72" s="1012">
        <v>0.76749999999999996</v>
      </c>
      <c r="H72" s="1012">
        <v>0.76749999999999996</v>
      </c>
      <c r="I72" s="1012">
        <v>0.59360000000000002</v>
      </c>
      <c r="J72" s="1012">
        <v>0.59360000000000002</v>
      </c>
      <c r="K72" s="1012">
        <v>0.59360000000000002</v>
      </c>
      <c r="L72" s="1012">
        <v>0.59360000000000002</v>
      </c>
      <c r="M72" s="1012">
        <v>0.59360000000000002</v>
      </c>
    </row>
    <row r="73" spans="1:13">
      <c r="A73" s="1003">
        <v>7.1</v>
      </c>
      <c r="B73" s="1012">
        <v>0.87660000000000005</v>
      </c>
      <c r="C73" s="1012">
        <v>0.87660000000000005</v>
      </c>
      <c r="D73" s="1012">
        <v>0.76570000000000005</v>
      </c>
      <c r="E73" s="1012">
        <v>0.76570000000000005</v>
      </c>
      <c r="F73" s="1012">
        <v>0.76570000000000005</v>
      </c>
      <c r="G73" s="1012">
        <v>0.76570000000000005</v>
      </c>
      <c r="H73" s="1012">
        <v>0.76570000000000005</v>
      </c>
      <c r="I73" s="1012">
        <v>0.59109999999999996</v>
      </c>
      <c r="J73" s="1012">
        <v>0.59109999999999996</v>
      </c>
      <c r="K73" s="1012">
        <v>0.59109999999999996</v>
      </c>
      <c r="L73" s="1012">
        <v>0.59109999999999996</v>
      </c>
      <c r="M73" s="1012">
        <v>0.59109999999999996</v>
      </c>
    </row>
    <row r="74" spans="1:13">
      <c r="A74" s="1003">
        <v>7.2</v>
      </c>
      <c r="B74" s="1012">
        <v>0.87490000000000001</v>
      </c>
      <c r="C74" s="1012">
        <v>0.87490000000000001</v>
      </c>
      <c r="D74" s="1012">
        <v>0.76380000000000003</v>
      </c>
      <c r="E74" s="1012">
        <v>0.76380000000000003</v>
      </c>
      <c r="F74" s="1012">
        <v>0.76380000000000003</v>
      </c>
      <c r="G74" s="1012">
        <v>0.76380000000000003</v>
      </c>
      <c r="H74" s="1012">
        <v>0.76380000000000003</v>
      </c>
      <c r="I74" s="1012">
        <v>0.58860000000000001</v>
      </c>
      <c r="J74" s="1012">
        <v>0.58860000000000001</v>
      </c>
      <c r="K74" s="1012">
        <v>0.58860000000000001</v>
      </c>
      <c r="L74" s="1012">
        <v>0.58860000000000001</v>
      </c>
      <c r="M74" s="1012">
        <v>0.58860000000000001</v>
      </c>
    </row>
    <row r="75" spans="1:13">
      <c r="A75" s="1003">
        <v>7.3</v>
      </c>
      <c r="B75" s="1012">
        <v>0.87329999999999997</v>
      </c>
      <c r="C75" s="1012">
        <v>0.87329999999999997</v>
      </c>
      <c r="D75" s="1012">
        <v>0.76200000000000001</v>
      </c>
      <c r="E75" s="1012">
        <v>0.76200000000000001</v>
      </c>
      <c r="F75" s="1012">
        <v>0.76200000000000001</v>
      </c>
      <c r="G75" s="1012">
        <v>0.76200000000000001</v>
      </c>
      <c r="H75" s="1012">
        <v>0.76200000000000001</v>
      </c>
      <c r="I75" s="1012">
        <v>0.58620000000000005</v>
      </c>
      <c r="J75" s="1012">
        <v>0.58620000000000005</v>
      </c>
      <c r="K75" s="1012">
        <v>0.58620000000000005</v>
      </c>
      <c r="L75" s="1012">
        <v>0.58620000000000005</v>
      </c>
      <c r="M75" s="1012">
        <v>0.58620000000000005</v>
      </c>
    </row>
    <row r="76" spans="1:13">
      <c r="A76" s="1003">
        <v>7.4</v>
      </c>
      <c r="B76" s="1012">
        <v>0.87160000000000004</v>
      </c>
      <c r="C76" s="1012">
        <v>0.87160000000000004</v>
      </c>
      <c r="D76" s="1012">
        <v>0.76029999999999998</v>
      </c>
      <c r="E76" s="1012">
        <v>0.76029999999999998</v>
      </c>
      <c r="F76" s="1012">
        <v>0.76029999999999998</v>
      </c>
      <c r="G76" s="1012">
        <v>0.76029999999999998</v>
      </c>
      <c r="H76" s="1012">
        <v>0.76029999999999998</v>
      </c>
      <c r="I76" s="1012">
        <v>0.58379999999999999</v>
      </c>
      <c r="J76" s="1012">
        <v>0.58379999999999999</v>
      </c>
      <c r="K76" s="1012">
        <v>0.58379999999999999</v>
      </c>
      <c r="L76" s="1012">
        <v>0.58379999999999999</v>
      </c>
      <c r="M76" s="1012">
        <v>0.58379999999999999</v>
      </c>
    </row>
    <row r="77" spans="1:13">
      <c r="A77" s="1003">
        <v>7.5</v>
      </c>
      <c r="B77" s="1012">
        <v>0.87</v>
      </c>
      <c r="C77" s="1012">
        <v>0.87</v>
      </c>
      <c r="D77" s="1012">
        <v>0.75849999999999995</v>
      </c>
      <c r="E77" s="1012">
        <v>0.75849999999999995</v>
      </c>
      <c r="F77" s="1012">
        <v>0.75849999999999995</v>
      </c>
      <c r="G77" s="1012">
        <v>0.75849999999999995</v>
      </c>
      <c r="H77" s="1012">
        <v>0.75849999999999995</v>
      </c>
      <c r="I77" s="1012">
        <v>0.58140000000000003</v>
      </c>
      <c r="J77" s="1012">
        <v>0.58140000000000003</v>
      </c>
      <c r="K77" s="1012">
        <v>0.58140000000000003</v>
      </c>
      <c r="L77" s="1012">
        <v>0.58140000000000003</v>
      </c>
      <c r="M77" s="1012">
        <v>0.58140000000000003</v>
      </c>
    </row>
    <row r="78" spans="1:13">
      <c r="A78" s="1003">
        <v>7.6</v>
      </c>
      <c r="B78" s="1012">
        <v>0.86839999999999995</v>
      </c>
      <c r="C78" s="1012">
        <v>0.86839999999999995</v>
      </c>
      <c r="D78" s="1012">
        <v>0.75680000000000003</v>
      </c>
      <c r="E78" s="1012">
        <v>0.75680000000000003</v>
      </c>
      <c r="F78" s="1012">
        <v>0.75680000000000003</v>
      </c>
      <c r="G78" s="1012">
        <v>0.75680000000000003</v>
      </c>
      <c r="H78" s="1012">
        <v>0.75680000000000003</v>
      </c>
      <c r="I78" s="1012">
        <v>0.57899999999999996</v>
      </c>
      <c r="J78" s="1012">
        <v>0.57899999999999996</v>
      </c>
      <c r="K78" s="1012">
        <v>0.57899999999999996</v>
      </c>
      <c r="L78" s="1012">
        <v>0.57899999999999996</v>
      </c>
      <c r="M78" s="1012">
        <v>0.57899999999999996</v>
      </c>
    </row>
    <row r="79" spans="1:13">
      <c r="A79" s="1003">
        <v>7.7</v>
      </c>
      <c r="B79" s="1012">
        <v>0.8669</v>
      </c>
      <c r="C79" s="1012">
        <v>0.8669</v>
      </c>
      <c r="D79" s="1012">
        <v>0.755</v>
      </c>
      <c r="E79" s="1012">
        <v>0.755</v>
      </c>
      <c r="F79" s="1012">
        <v>0.755</v>
      </c>
      <c r="G79" s="1012">
        <v>0.755</v>
      </c>
      <c r="H79" s="1012">
        <v>0.755</v>
      </c>
      <c r="I79" s="1012">
        <v>0.57669999999999999</v>
      </c>
      <c r="J79" s="1012">
        <v>0.57669999999999999</v>
      </c>
      <c r="K79" s="1012">
        <v>0.57669999999999999</v>
      </c>
      <c r="L79" s="1012">
        <v>0.57669999999999999</v>
      </c>
      <c r="M79" s="1012">
        <v>0.57669999999999999</v>
      </c>
    </row>
    <row r="80" spans="1:13">
      <c r="A80" s="1003">
        <v>7.8</v>
      </c>
      <c r="B80" s="1012">
        <v>0.86539999999999995</v>
      </c>
      <c r="C80" s="1012">
        <v>0.86539999999999995</v>
      </c>
      <c r="D80" s="1012">
        <v>0.75329999999999997</v>
      </c>
      <c r="E80" s="1012">
        <v>0.75329999999999997</v>
      </c>
      <c r="F80" s="1012">
        <v>0.75329999999999997</v>
      </c>
      <c r="G80" s="1012">
        <v>0.75329999999999997</v>
      </c>
      <c r="H80" s="1012">
        <v>0.75329999999999997</v>
      </c>
      <c r="I80" s="1012">
        <v>0.57450000000000001</v>
      </c>
      <c r="J80" s="1012">
        <v>0.57450000000000001</v>
      </c>
      <c r="K80" s="1012">
        <v>0.57450000000000001</v>
      </c>
      <c r="L80" s="1012">
        <v>0.57450000000000001</v>
      </c>
      <c r="M80" s="1012">
        <v>0.57450000000000001</v>
      </c>
    </row>
    <row r="81" spans="1:13">
      <c r="A81" s="1003">
        <v>7.9</v>
      </c>
      <c r="B81" s="1012">
        <v>0.86380000000000001</v>
      </c>
      <c r="C81" s="1012">
        <v>0.86380000000000001</v>
      </c>
      <c r="D81" s="1012">
        <v>0.75170000000000003</v>
      </c>
      <c r="E81" s="1012">
        <v>0.75170000000000003</v>
      </c>
      <c r="F81" s="1012">
        <v>0.75170000000000003</v>
      </c>
      <c r="G81" s="1012">
        <v>0.75170000000000003</v>
      </c>
      <c r="H81" s="1012">
        <v>0.75170000000000003</v>
      </c>
      <c r="I81" s="1012">
        <v>0.57220000000000004</v>
      </c>
      <c r="J81" s="1012">
        <v>0.57220000000000004</v>
      </c>
      <c r="K81" s="1012">
        <v>0.57220000000000004</v>
      </c>
      <c r="L81" s="1012">
        <v>0.57220000000000004</v>
      </c>
      <c r="M81" s="1012">
        <v>0.57220000000000004</v>
      </c>
    </row>
    <row r="82" spans="1:13">
      <c r="A82" s="1003">
        <v>8</v>
      </c>
      <c r="B82" s="1012">
        <v>0.86240000000000006</v>
      </c>
      <c r="C82" s="1012">
        <v>0.86240000000000006</v>
      </c>
      <c r="D82" s="1012">
        <v>0.75</v>
      </c>
      <c r="E82" s="1012">
        <v>0.75</v>
      </c>
      <c r="F82" s="1012">
        <v>0.75</v>
      </c>
      <c r="G82" s="1012">
        <v>0.75</v>
      </c>
      <c r="H82" s="1012">
        <v>0.75</v>
      </c>
      <c r="I82" s="1012">
        <v>0.56989999999999996</v>
      </c>
      <c r="J82" s="1012">
        <v>0.56989999999999996</v>
      </c>
      <c r="K82" s="1012">
        <v>0.56989999999999996</v>
      </c>
      <c r="L82" s="1012">
        <v>0.56989999999999996</v>
      </c>
      <c r="M82" s="1012">
        <v>0.56989999999999996</v>
      </c>
    </row>
    <row r="83" spans="1:13">
      <c r="A83" s="1003">
        <v>8.1</v>
      </c>
      <c r="B83" s="1012">
        <v>0.86099999999999999</v>
      </c>
      <c r="C83" s="1012">
        <v>0.86099999999999999</v>
      </c>
      <c r="D83" s="1012">
        <v>0.74850000000000005</v>
      </c>
      <c r="E83" s="1012">
        <v>0.74850000000000005</v>
      </c>
      <c r="F83" s="1012">
        <v>0.74850000000000005</v>
      </c>
      <c r="G83" s="1012">
        <v>0.74850000000000005</v>
      </c>
      <c r="H83" s="1012">
        <v>0.74850000000000005</v>
      </c>
      <c r="I83" s="1012">
        <v>0.56779999999999997</v>
      </c>
      <c r="J83" s="1012">
        <v>0.56779999999999997</v>
      </c>
      <c r="K83" s="1012">
        <v>0.56779999999999997</v>
      </c>
      <c r="L83" s="1012">
        <v>0.56779999999999997</v>
      </c>
      <c r="M83" s="1012">
        <v>0.56779999999999997</v>
      </c>
    </row>
    <row r="84" spans="1:13">
      <c r="A84" s="1003">
        <v>8.1999999999999993</v>
      </c>
      <c r="B84" s="1012">
        <v>0.85970000000000002</v>
      </c>
      <c r="C84" s="1012">
        <v>0.85970000000000002</v>
      </c>
      <c r="D84" s="1012">
        <v>0.747</v>
      </c>
      <c r="E84" s="1012">
        <v>0.747</v>
      </c>
      <c r="F84" s="1012">
        <v>0.747</v>
      </c>
      <c r="G84" s="1012">
        <v>0.747</v>
      </c>
      <c r="H84" s="1012">
        <v>0.747</v>
      </c>
      <c r="I84" s="1012">
        <v>0.56589999999999996</v>
      </c>
      <c r="J84" s="1012">
        <v>0.56589999999999996</v>
      </c>
      <c r="K84" s="1012">
        <v>0.56589999999999996</v>
      </c>
      <c r="L84" s="1012">
        <v>0.56589999999999996</v>
      </c>
      <c r="M84" s="1012">
        <v>0.56589999999999996</v>
      </c>
    </row>
    <row r="85" spans="1:13">
      <c r="A85" s="1003">
        <v>8.3000000000000007</v>
      </c>
      <c r="B85" s="1012">
        <v>0.85840000000000005</v>
      </c>
      <c r="C85" s="1012">
        <v>0.85840000000000005</v>
      </c>
      <c r="D85" s="1012">
        <v>0.74560000000000004</v>
      </c>
      <c r="E85" s="1012">
        <v>0.74560000000000004</v>
      </c>
      <c r="F85" s="1012">
        <v>0.74560000000000004</v>
      </c>
      <c r="G85" s="1012">
        <v>0.74560000000000004</v>
      </c>
      <c r="H85" s="1012">
        <v>0.74560000000000004</v>
      </c>
      <c r="I85" s="1012">
        <v>0.56389999999999996</v>
      </c>
      <c r="J85" s="1012">
        <v>0.56389999999999996</v>
      </c>
      <c r="K85" s="1012">
        <v>0.56389999999999996</v>
      </c>
      <c r="L85" s="1012">
        <v>0.56389999999999996</v>
      </c>
      <c r="M85" s="1012">
        <v>0.56389999999999996</v>
      </c>
    </row>
    <row r="86" spans="1:13">
      <c r="A86" s="1003">
        <v>8.4</v>
      </c>
      <c r="B86" s="1012">
        <v>0.85709999999999997</v>
      </c>
      <c r="C86" s="1012">
        <v>0.85709999999999997</v>
      </c>
      <c r="D86" s="1012">
        <v>0.74419999999999997</v>
      </c>
      <c r="E86" s="1012">
        <v>0.74419999999999997</v>
      </c>
      <c r="F86" s="1012">
        <v>0.74419999999999997</v>
      </c>
      <c r="G86" s="1012">
        <v>0.74419999999999997</v>
      </c>
      <c r="H86" s="1012">
        <v>0.74419999999999997</v>
      </c>
      <c r="I86" s="1012">
        <v>0.56189999999999996</v>
      </c>
      <c r="J86" s="1012">
        <v>0.56189999999999996</v>
      </c>
      <c r="K86" s="1012">
        <v>0.56189999999999996</v>
      </c>
      <c r="L86" s="1012">
        <v>0.56189999999999996</v>
      </c>
      <c r="M86" s="1012">
        <v>0.56189999999999996</v>
      </c>
    </row>
    <row r="87" spans="1:13">
      <c r="A87" s="1003">
        <v>8.5</v>
      </c>
      <c r="B87" s="1012">
        <v>0.85580000000000001</v>
      </c>
      <c r="C87" s="1012">
        <v>0.85580000000000001</v>
      </c>
      <c r="D87" s="1012">
        <v>0.74270000000000003</v>
      </c>
      <c r="E87" s="1012">
        <v>0.74270000000000003</v>
      </c>
      <c r="F87" s="1012">
        <v>0.74270000000000003</v>
      </c>
      <c r="G87" s="1012">
        <v>0.74270000000000003</v>
      </c>
      <c r="H87" s="1012">
        <v>0.74270000000000003</v>
      </c>
      <c r="I87" s="1012">
        <v>0.55989999999999995</v>
      </c>
      <c r="J87" s="1012">
        <v>0.55989999999999995</v>
      </c>
      <c r="K87" s="1012">
        <v>0.55989999999999995</v>
      </c>
      <c r="L87" s="1012">
        <v>0.55989999999999995</v>
      </c>
      <c r="M87" s="1012">
        <v>0.55989999999999995</v>
      </c>
    </row>
    <row r="88" spans="1:13">
      <c r="A88" s="1003">
        <v>8.6</v>
      </c>
      <c r="B88" s="1012">
        <v>0.85450000000000004</v>
      </c>
      <c r="C88" s="1012">
        <v>0.85450000000000004</v>
      </c>
      <c r="D88" s="1012">
        <v>0.74129999999999996</v>
      </c>
      <c r="E88" s="1012">
        <v>0.74129999999999996</v>
      </c>
      <c r="F88" s="1012">
        <v>0.74129999999999996</v>
      </c>
      <c r="G88" s="1012">
        <v>0.74129999999999996</v>
      </c>
      <c r="H88" s="1012">
        <v>0.74129999999999996</v>
      </c>
      <c r="I88" s="1012">
        <v>0.55800000000000005</v>
      </c>
      <c r="J88" s="1012">
        <v>0.55800000000000005</v>
      </c>
      <c r="K88" s="1012">
        <v>0.55800000000000005</v>
      </c>
      <c r="L88" s="1012">
        <v>0.55800000000000005</v>
      </c>
      <c r="M88" s="1012">
        <v>0.55800000000000005</v>
      </c>
    </row>
    <row r="89" spans="1:13">
      <c r="A89" s="1003">
        <v>8.6999999999999993</v>
      </c>
      <c r="B89" s="1012">
        <v>0.85329999999999995</v>
      </c>
      <c r="C89" s="1012">
        <v>0.85329999999999995</v>
      </c>
      <c r="D89" s="1012">
        <v>0.7399</v>
      </c>
      <c r="E89" s="1012">
        <v>0.7399</v>
      </c>
      <c r="F89" s="1012">
        <v>0.7399</v>
      </c>
      <c r="G89" s="1012">
        <v>0.7399</v>
      </c>
      <c r="H89" s="1012">
        <v>0.7399</v>
      </c>
      <c r="I89" s="1012">
        <v>0.55600000000000005</v>
      </c>
      <c r="J89" s="1012">
        <v>0.55600000000000005</v>
      </c>
      <c r="K89" s="1012">
        <v>0.55600000000000005</v>
      </c>
      <c r="L89" s="1012">
        <v>0.55600000000000005</v>
      </c>
      <c r="M89" s="1012">
        <v>0.55600000000000005</v>
      </c>
    </row>
    <row r="90" spans="1:13">
      <c r="A90" s="1003">
        <v>8.8000000000000007</v>
      </c>
      <c r="B90" s="1012">
        <v>0.85209999999999997</v>
      </c>
      <c r="C90" s="1012">
        <v>0.85209999999999997</v>
      </c>
      <c r="D90" s="1012">
        <v>0.73850000000000005</v>
      </c>
      <c r="E90" s="1012">
        <v>0.73850000000000005</v>
      </c>
      <c r="F90" s="1012">
        <v>0.73850000000000005</v>
      </c>
      <c r="G90" s="1012">
        <v>0.73850000000000005</v>
      </c>
      <c r="H90" s="1012">
        <v>0.73850000000000005</v>
      </c>
      <c r="I90" s="1012">
        <v>0.55420000000000003</v>
      </c>
      <c r="J90" s="1012">
        <v>0.55420000000000003</v>
      </c>
      <c r="K90" s="1012">
        <v>0.55420000000000003</v>
      </c>
      <c r="L90" s="1012">
        <v>0.55420000000000003</v>
      </c>
      <c r="M90" s="1012">
        <v>0.55420000000000003</v>
      </c>
    </row>
    <row r="91" spans="1:13">
      <c r="A91" s="1003">
        <v>8.9</v>
      </c>
      <c r="B91" s="1012">
        <v>0.85099999999999998</v>
      </c>
      <c r="C91" s="1012">
        <v>0.85099999999999998</v>
      </c>
      <c r="D91" s="1012">
        <v>0.73719999999999997</v>
      </c>
      <c r="E91" s="1012">
        <v>0.73719999999999997</v>
      </c>
      <c r="F91" s="1012">
        <v>0.73719999999999997</v>
      </c>
      <c r="G91" s="1012">
        <v>0.73719999999999997</v>
      </c>
      <c r="H91" s="1012">
        <v>0.73719999999999997</v>
      </c>
      <c r="I91" s="1012">
        <v>0.55230000000000001</v>
      </c>
      <c r="J91" s="1012">
        <v>0.55230000000000001</v>
      </c>
      <c r="K91" s="1012">
        <v>0.55230000000000001</v>
      </c>
      <c r="L91" s="1012">
        <v>0.55230000000000001</v>
      </c>
      <c r="M91" s="1012">
        <v>0.55230000000000001</v>
      </c>
    </row>
    <row r="92" spans="1:13">
      <c r="A92" s="1027">
        <v>9</v>
      </c>
      <c r="B92" s="1012">
        <v>0.8498</v>
      </c>
      <c r="C92" s="1012">
        <v>0.8498</v>
      </c>
      <c r="D92" s="1012">
        <v>0.7359</v>
      </c>
      <c r="E92" s="1012">
        <v>0.7359</v>
      </c>
      <c r="F92" s="1012">
        <v>0.7359</v>
      </c>
      <c r="G92" s="1012">
        <v>0.7359</v>
      </c>
      <c r="H92" s="1012">
        <v>0.7359</v>
      </c>
      <c r="I92" s="1012">
        <v>0.55049999999999999</v>
      </c>
      <c r="J92" s="1012">
        <v>0.55049999999999999</v>
      </c>
      <c r="K92" s="1012">
        <v>0.55049999999999999</v>
      </c>
      <c r="L92" s="1012">
        <v>0.55049999999999999</v>
      </c>
      <c r="M92" s="1012">
        <v>0.55049999999999999</v>
      </c>
    </row>
    <row r="93" spans="1:13">
      <c r="A93" s="1027">
        <v>9.1</v>
      </c>
      <c r="B93" s="1012">
        <v>0.84870000000000001</v>
      </c>
      <c r="C93" s="1012">
        <v>0.84870000000000001</v>
      </c>
      <c r="D93" s="1012">
        <v>0.73470000000000002</v>
      </c>
      <c r="E93" s="1012">
        <v>0.73470000000000002</v>
      </c>
      <c r="F93" s="1012">
        <v>0.73470000000000002</v>
      </c>
      <c r="G93" s="1012">
        <v>0.73470000000000002</v>
      </c>
      <c r="H93" s="1012">
        <v>0.73470000000000002</v>
      </c>
      <c r="I93" s="1012">
        <v>0.54879999999999995</v>
      </c>
      <c r="J93" s="1012">
        <v>0.54879999999999995</v>
      </c>
      <c r="K93" s="1012">
        <v>0.54879999999999995</v>
      </c>
      <c r="L93" s="1012">
        <v>0.54879999999999995</v>
      </c>
      <c r="M93" s="1012">
        <v>0.54879999999999995</v>
      </c>
    </row>
    <row r="94" spans="1:13">
      <c r="A94" s="1027">
        <v>9.1999999999999993</v>
      </c>
      <c r="B94" s="1012">
        <v>0.84770000000000001</v>
      </c>
      <c r="C94" s="1012">
        <v>0.84770000000000001</v>
      </c>
      <c r="D94" s="1012">
        <v>0.73350000000000004</v>
      </c>
      <c r="E94" s="1012">
        <v>0.73350000000000004</v>
      </c>
      <c r="F94" s="1012">
        <v>0.73350000000000004</v>
      </c>
      <c r="G94" s="1012">
        <v>0.73350000000000004</v>
      </c>
      <c r="H94" s="1012">
        <v>0.73350000000000004</v>
      </c>
      <c r="I94" s="1012">
        <v>0.54710000000000003</v>
      </c>
      <c r="J94" s="1012">
        <v>0.54710000000000003</v>
      </c>
      <c r="K94" s="1012">
        <v>0.54710000000000003</v>
      </c>
      <c r="L94" s="1012">
        <v>0.54710000000000003</v>
      </c>
      <c r="M94" s="1012">
        <v>0.54710000000000003</v>
      </c>
    </row>
    <row r="95" spans="1:13">
      <c r="A95" s="1027">
        <v>9.3000000000000007</v>
      </c>
      <c r="B95" s="1012">
        <v>0.84660000000000002</v>
      </c>
      <c r="C95" s="1012">
        <v>0.84660000000000002</v>
      </c>
      <c r="D95" s="1012">
        <v>0.73229999999999995</v>
      </c>
      <c r="E95" s="1012">
        <v>0.73229999999999995</v>
      </c>
      <c r="F95" s="1012">
        <v>0.73229999999999995</v>
      </c>
      <c r="G95" s="1012">
        <v>0.73229999999999995</v>
      </c>
      <c r="H95" s="1012">
        <v>0.73229999999999995</v>
      </c>
      <c r="I95" s="1012">
        <v>0.5454</v>
      </c>
      <c r="J95" s="1012">
        <v>0.5454</v>
      </c>
      <c r="K95" s="1012">
        <v>0.5454</v>
      </c>
      <c r="L95" s="1012">
        <v>0.5454</v>
      </c>
      <c r="M95" s="1012">
        <v>0.5454</v>
      </c>
    </row>
    <row r="96" spans="1:13">
      <c r="A96" s="1027">
        <v>9.4</v>
      </c>
      <c r="B96" s="1012">
        <v>0.84550000000000003</v>
      </c>
      <c r="C96" s="1012">
        <v>0.84550000000000003</v>
      </c>
      <c r="D96" s="1012">
        <v>0.73109999999999997</v>
      </c>
      <c r="E96" s="1012">
        <v>0.73109999999999997</v>
      </c>
      <c r="F96" s="1012">
        <v>0.73109999999999997</v>
      </c>
      <c r="G96" s="1012">
        <v>0.73109999999999997</v>
      </c>
      <c r="H96" s="1012">
        <v>0.73109999999999997</v>
      </c>
      <c r="I96" s="1012">
        <v>0.54369999999999996</v>
      </c>
      <c r="J96" s="1012">
        <v>0.54369999999999996</v>
      </c>
      <c r="K96" s="1012">
        <v>0.54369999999999996</v>
      </c>
      <c r="L96" s="1012">
        <v>0.54369999999999996</v>
      </c>
      <c r="M96" s="1012">
        <v>0.54369999999999996</v>
      </c>
    </row>
    <row r="97" spans="1:14">
      <c r="A97" s="1027">
        <v>9.5</v>
      </c>
      <c r="B97" s="1012">
        <v>0.84450000000000003</v>
      </c>
      <c r="C97" s="1012">
        <v>0.84450000000000003</v>
      </c>
      <c r="D97" s="1012">
        <v>0.72989999999999999</v>
      </c>
      <c r="E97" s="1012">
        <v>0.72989999999999999</v>
      </c>
      <c r="F97" s="1012">
        <v>0.72989999999999999</v>
      </c>
      <c r="G97" s="1012">
        <v>0.72989999999999999</v>
      </c>
      <c r="H97" s="1012">
        <v>0.72989999999999999</v>
      </c>
      <c r="I97" s="1012">
        <v>0.54200000000000004</v>
      </c>
      <c r="J97" s="1012">
        <v>0.54200000000000004</v>
      </c>
      <c r="K97" s="1012">
        <v>0.54200000000000004</v>
      </c>
      <c r="L97" s="1012">
        <v>0.54200000000000004</v>
      </c>
      <c r="M97" s="1012">
        <v>0.54200000000000004</v>
      </c>
    </row>
    <row r="98" spans="1:14">
      <c r="A98" s="1027">
        <v>9.6</v>
      </c>
      <c r="B98" s="1012">
        <v>0.84340000000000004</v>
      </c>
      <c r="C98" s="1012">
        <v>0.84340000000000004</v>
      </c>
      <c r="D98" s="1012">
        <v>0.72870000000000001</v>
      </c>
      <c r="E98" s="1012">
        <v>0.72870000000000001</v>
      </c>
      <c r="F98" s="1012">
        <v>0.72870000000000001</v>
      </c>
      <c r="G98" s="1012">
        <v>0.72870000000000001</v>
      </c>
      <c r="H98" s="1012">
        <v>0.72870000000000001</v>
      </c>
      <c r="I98" s="1012">
        <v>0.5403</v>
      </c>
      <c r="J98" s="1012">
        <v>0.5403</v>
      </c>
      <c r="K98" s="1012">
        <v>0.5403</v>
      </c>
      <c r="L98" s="1012">
        <v>0.5403</v>
      </c>
      <c r="M98" s="1012">
        <v>0.5403</v>
      </c>
    </row>
    <row r="99" spans="1:14">
      <c r="A99" s="1027">
        <v>9.6999999999999993</v>
      </c>
      <c r="B99" s="1012">
        <v>0.84230000000000005</v>
      </c>
      <c r="C99" s="1012">
        <v>0.84230000000000005</v>
      </c>
      <c r="D99" s="1012">
        <v>0.72750000000000004</v>
      </c>
      <c r="E99" s="1012">
        <v>0.72750000000000004</v>
      </c>
      <c r="F99" s="1012">
        <v>0.72750000000000004</v>
      </c>
      <c r="G99" s="1012">
        <v>0.72750000000000004</v>
      </c>
      <c r="H99" s="1012">
        <v>0.72750000000000004</v>
      </c>
      <c r="I99" s="1012">
        <v>0.53859999999999997</v>
      </c>
      <c r="J99" s="1012">
        <v>0.53859999999999997</v>
      </c>
      <c r="K99" s="1012">
        <v>0.53859999999999997</v>
      </c>
      <c r="L99" s="1012">
        <v>0.53859999999999997</v>
      </c>
      <c r="M99" s="1012">
        <v>0.53859999999999997</v>
      </c>
    </row>
    <row r="100" spans="1:14">
      <c r="A100" s="1027">
        <v>9.8000000000000007</v>
      </c>
      <c r="B100" s="1012">
        <v>0.84140000000000004</v>
      </c>
      <c r="C100" s="1012">
        <v>0.84140000000000004</v>
      </c>
      <c r="D100" s="1012">
        <v>0.72629999999999995</v>
      </c>
      <c r="E100" s="1012">
        <v>0.72629999999999995</v>
      </c>
      <c r="F100" s="1012">
        <v>0.72629999999999995</v>
      </c>
      <c r="G100" s="1012">
        <v>0.72629999999999995</v>
      </c>
      <c r="H100" s="1012">
        <v>0.72629999999999995</v>
      </c>
      <c r="I100" s="1012">
        <v>0.53710000000000002</v>
      </c>
      <c r="J100" s="1012">
        <v>0.53710000000000002</v>
      </c>
      <c r="K100" s="1012">
        <v>0.53710000000000002</v>
      </c>
      <c r="L100" s="1012">
        <v>0.53710000000000002</v>
      </c>
      <c r="M100" s="1012">
        <v>0.53710000000000002</v>
      </c>
    </row>
    <row r="101" spans="1:14">
      <c r="A101" s="1027">
        <v>9.9</v>
      </c>
      <c r="B101" s="1012">
        <v>0.84050000000000002</v>
      </c>
      <c r="C101" s="1012">
        <v>0.84050000000000002</v>
      </c>
      <c r="D101" s="1012">
        <v>0.72519999999999996</v>
      </c>
      <c r="E101" s="1012">
        <v>0.72519999999999996</v>
      </c>
      <c r="F101" s="1012">
        <v>0.72519999999999996</v>
      </c>
      <c r="G101" s="1012">
        <v>0.72519999999999996</v>
      </c>
      <c r="H101" s="1012">
        <v>0.72519999999999996</v>
      </c>
      <c r="I101" s="1012">
        <v>0.53549999999999998</v>
      </c>
      <c r="J101" s="1012">
        <v>0.53549999999999998</v>
      </c>
      <c r="K101" s="1012">
        <v>0.53549999999999998</v>
      </c>
      <c r="L101" s="1012">
        <v>0.53549999999999998</v>
      </c>
      <c r="M101" s="1012">
        <v>0.53549999999999998</v>
      </c>
    </row>
    <row r="102" spans="1:14">
      <c r="A102" s="1027">
        <v>10</v>
      </c>
      <c r="B102" s="1012">
        <v>0.83950000000000002</v>
      </c>
      <c r="C102" s="1012">
        <v>0.83950000000000002</v>
      </c>
      <c r="D102" s="1012">
        <v>0.72409999999999997</v>
      </c>
      <c r="E102" s="1012">
        <v>0.72409999999999997</v>
      </c>
      <c r="F102" s="1012">
        <v>0.72409999999999997</v>
      </c>
      <c r="G102" s="1012">
        <v>0.72409999999999997</v>
      </c>
      <c r="H102" s="1012">
        <v>0.72409999999999997</v>
      </c>
      <c r="I102" s="1012">
        <v>0.53400000000000003</v>
      </c>
      <c r="J102" s="1012">
        <v>0.53400000000000003</v>
      </c>
      <c r="K102" s="1012">
        <v>0.53400000000000003</v>
      </c>
      <c r="L102" s="1012">
        <v>0.53400000000000003</v>
      </c>
      <c r="M102" s="1012">
        <v>0.53400000000000003</v>
      </c>
    </row>
    <row r="103" spans="1:14" ht="14.25">
      <c r="A103" s="1000" t="s">
        <v>882</v>
      </c>
      <c r="B103" s="1001"/>
      <c r="C103" s="1001"/>
      <c r="D103" s="1001"/>
      <c r="E103" s="1001"/>
      <c r="F103" s="1001"/>
      <c r="G103" s="1001"/>
      <c r="H103" s="1001"/>
      <c r="I103" s="1001"/>
      <c r="J103" s="1001"/>
      <c r="K103" s="1001"/>
      <c r="L103" s="1001"/>
      <c r="M103" s="1001"/>
      <c r="N103" s="1001"/>
    </row>
    <row r="104" spans="1:14" ht="14.25">
      <c r="A104" s="1003" t="s">
        <v>861</v>
      </c>
      <c r="B104" s="1004" t="s">
        <v>862</v>
      </c>
      <c r="C104" s="1004" t="s">
        <v>863</v>
      </c>
      <c r="D104" s="1004" t="s">
        <v>864</v>
      </c>
      <c r="E104" s="1004" t="s">
        <v>865</v>
      </c>
      <c r="F104" s="1004" t="s">
        <v>866</v>
      </c>
      <c r="G104" s="1004" t="s">
        <v>867</v>
      </c>
      <c r="H104" s="1005" t="s">
        <v>868</v>
      </c>
      <c r="I104" s="1005" t="s">
        <v>869</v>
      </c>
      <c r="J104" s="1006" t="s">
        <v>870</v>
      </c>
      <c r="K104" s="1006" t="s">
        <v>871</v>
      </c>
      <c r="L104" s="1006" t="s">
        <v>872</v>
      </c>
      <c r="M104" s="1006" t="s">
        <v>873</v>
      </c>
      <c r="N104" s="1001">
        <f>SUMPRODUCT((A105:A204=ROUNDDOWN(基准地价!G3,1))*(B104:M104=基准地价!G2)*(B105:M204))</f>
        <v>0</v>
      </c>
    </row>
    <row r="105" spans="1:14">
      <c r="A105" s="1003">
        <v>0.1</v>
      </c>
      <c r="B105" s="1012">
        <v>13.733000000000001</v>
      </c>
      <c r="C105" s="1012">
        <v>13.733000000000001</v>
      </c>
      <c r="D105" s="1012">
        <v>12.787000000000001</v>
      </c>
      <c r="E105" s="1012">
        <v>12.787000000000001</v>
      </c>
      <c r="F105" s="1012">
        <v>12.787000000000001</v>
      </c>
      <c r="G105" s="1012">
        <v>12.787000000000001</v>
      </c>
      <c r="H105" s="1012">
        <v>12.787000000000001</v>
      </c>
      <c r="I105" s="1012">
        <v>12.384</v>
      </c>
      <c r="J105" s="1012">
        <v>12.384</v>
      </c>
      <c r="K105" s="1012">
        <v>12.384</v>
      </c>
      <c r="L105" s="1012">
        <v>12.384</v>
      </c>
      <c r="M105" s="1012">
        <v>12.384</v>
      </c>
    </row>
    <row r="106" spans="1:14">
      <c r="A106" s="1003">
        <v>0.2</v>
      </c>
      <c r="B106" s="1012">
        <v>6.8665000000000003</v>
      </c>
      <c r="C106" s="1012">
        <v>6.8665000000000003</v>
      </c>
      <c r="D106" s="1012">
        <v>6.3935000000000004</v>
      </c>
      <c r="E106" s="1012">
        <v>6.3935000000000004</v>
      </c>
      <c r="F106" s="1012">
        <v>6.3935000000000004</v>
      </c>
      <c r="G106" s="1012">
        <v>6.3935000000000004</v>
      </c>
      <c r="H106" s="1012">
        <v>6.3935000000000004</v>
      </c>
      <c r="I106" s="1012">
        <v>6.1920000000000002</v>
      </c>
      <c r="J106" s="1012">
        <v>6.1920000000000002</v>
      </c>
      <c r="K106" s="1012">
        <v>6.1920000000000002</v>
      </c>
      <c r="L106" s="1012">
        <v>6.1920000000000002</v>
      </c>
      <c r="M106" s="1012">
        <v>6.1920000000000002</v>
      </c>
    </row>
    <row r="107" spans="1:14">
      <c r="A107" s="1003">
        <v>0.3</v>
      </c>
      <c r="B107" s="1012">
        <v>4.5777000000000001</v>
      </c>
      <c r="C107" s="1012">
        <v>4.5777000000000001</v>
      </c>
      <c r="D107" s="1012">
        <v>4.2622999999999998</v>
      </c>
      <c r="E107" s="1012">
        <v>4.2622999999999998</v>
      </c>
      <c r="F107" s="1012">
        <v>4.2622999999999998</v>
      </c>
      <c r="G107" s="1012">
        <v>4.2622999999999998</v>
      </c>
      <c r="H107" s="1012">
        <v>4.2622999999999998</v>
      </c>
      <c r="I107" s="1012">
        <v>4.1280000000000001</v>
      </c>
      <c r="J107" s="1012">
        <v>4.1280000000000001</v>
      </c>
      <c r="K107" s="1012">
        <v>4.1280000000000001</v>
      </c>
      <c r="L107" s="1012">
        <v>4.1280000000000001</v>
      </c>
      <c r="M107" s="1012">
        <v>4.1280000000000001</v>
      </c>
    </row>
    <row r="108" spans="1:14">
      <c r="A108" s="1003">
        <v>0.4</v>
      </c>
      <c r="B108" s="1012">
        <v>3.4333</v>
      </c>
      <c r="C108" s="1012">
        <v>3.4333</v>
      </c>
      <c r="D108" s="1012">
        <v>3.1968000000000001</v>
      </c>
      <c r="E108" s="1012">
        <v>3.1968000000000001</v>
      </c>
      <c r="F108" s="1012">
        <v>3.1968000000000001</v>
      </c>
      <c r="G108" s="1012">
        <v>3.1968000000000001</v>
      </c>
      <c r="H108" s="1012">
        <v>3.1968000000000001</v>
      </c>
      <c r="I108" s="1012">
        <v>3.0960000000000001</v>
      </c>
      <c r="J108" s="1012">
        <v>3.0960000000000001</v>
      </c>
      <c r="K108" s="1012">
        <v>3.0960000000000001</v>
      </c>
      <c r="L108" s="1012">
        <v>3.0960000000000001</v>
      </c>
      <c r="M108" s="1012">
        <v>3.0960000000000001</v>
      </c>
    </row>
    <row r="109" spans="1:14">
      <c r="A109" s="1003">
        <v>0.5</v>
      </c>
      <c r="B109" s="1012">
        <v>2.7465999999999999</v>
      </c>
      <c r="C109" s="1012">
        <v>2.7465999999999999</v>
      </c>
      <c r="D109" s="1012">
        <v>2.5573999999999999</v>
      </c>
      <c r="E109" s="1012">
        <v>2.5573999999999999</v>
      </c>
      <c r="F109" s="1012">
        <v>2.5573999999999999</v>
      </c>
      <c r="G109" s="1012">
        <v>2.5573999999999999</v>
      </c>
      <c r="H109" s="1012">
        <v>2.5573999999999999</v>
      </c>
      <c r="I109" s="1012">
        <v>2.4767999999999999</v>
      </c>
      <c r="J109" s="1012">
        <v>2.4767999999999999</v>
      </c>
      <c r="K109" s="1012">
        <v>2.4767999999999999</v>
      </c>
      <c r="L109" s="1012">
        <v>2.4767999999999999</v>
      </c>
      <c r="M109" s="1012">
        <v>2.4767999999999999</v>
      </c>
    </row>
    <row r="110" spans="1:14">
      <c r="A110" s="1003">
        <v>0.6</v>
      </c>
      <c r="B110" s="1012">
        <v>2.2888000000000002</v>
      </c>
      <c r="C110" s="1012">
        <v>2.2888000000000002</v>
      </c>
      <c r="D110" s="1012">
        <v>2.1312000000000002</v>
      </c>
      <c r="E110" s="1012">
        <v>2.1312000000000002</v>
      </c>
      <c r="F110" s="1012">
        <v>2.1312000000000002</v>
      </c>
      <c r="G110" s="1012">
        <v>2.1312000000000002</v>
      </c>
      <c r="H110" s="1012">
        <v>2.1312000000000002</v>
      </c>
      <c r="I110" s="1012">
        <v>2.0640000000000001</v>
      </c>
      <c r="J110" s="1012">
        <v>2.0640000000000001</v>
      </c>
      <c r="K110" s="1012">
        <v>2.0640000000000001</v>
      </c>
      <c r="L110" s="1012">
        <v>2.0640000000000001</v>
      </c>
      <c r="M110" s="1012">
        <v>2.0640000000000001</v>
      </c>
    </row>
    <row r="111" spans="1:14">
      <c r="A111" s="1003">
        <v>0.7</v>
      </c>
      <c r="B111" s="1012">
        <v>1.9619</v>
      </c>
      <c r="C111" s="1012">
        <v>1.9619</v>
      </c>
      <c r="D111" s="1012">
        <v>1.8267</v>
      </c>
      <c r="E111" s="1012">
        <v>1.8267</v>
      </c>
      <c r="F111" s="1012">
        <v>1.8267</v>
      </c>
      <c r="G111" s="1012">
        <v>1.8267</v>
      </c>
      <c r="H111" s="1012">
        <v>1.8267</v>
      </c>
      <c r="I111" s="1012">
        <v>1.7690999999999999</v>
      </c>
      <c r="J111" s="1012">
        <v>1.7690999999999999</v>
      </c>
      <c r="K111" s="1012">
        <v>1.7690999999999999</v>
      </c>
      <c r="L111" s="1012">
        <v>1.7690999999999999</v>
      </c>
      <c r="M111" s="1012">
        <v>1.7690999999999999</v>
      </c>
    </row>
    <row r="112" spans="1:14">
      <c r="A112" s="1003">
        <v>0.8</v>
      </c>
      <c r="B112" s="1012">
        <v>1.7165999999999999</v>
      </c>
      <c r="C112" s="1012">
        <v>1.7165999999999999</v>
      </c>
      <c r="D112" s="1012">
        <v>1.5984</v>
      </c>
      <c r="E112" s="1012">
        <v>1.5984</v>
      </c>
      <c r="F112" s="1012">
        <v>1.5984</v>
      </c>
      <c r="G112" s="1012">
        <v>1.5984</v>
      </c>
      <c r="H112" s="1012">
        <v>1.5984</v>
      </c>
      <c r="I112" s="1012">
        <v>1.548</v>
      </c>
      <c r="J112" s="1012">
        <v>1.548</v>
      </c>
      <c r="K112" s="1012">
        <v>1.548</v>
      </c>
      <c r="L112" s="1012">
        <v>1.548</v>
      </c>
      <c r="M112" s="1012">
        <v>1.548</v>
      </c>
    </row>
    <row r="113" spans="1:13">
      <c r="A113" s="1003">
        <v>0.9</v>
      </c>
      <c r="B113" s="1012">
        <v>1.5259</v>
      </c>
      <c r="C113" s="1012">
        <v>1.5259</v>
      </c>
      <c r="D113" s="1012">
        <v>1.4208000000000001</v>
      </c>
      <c r="E113" s="1012">
        <v>1.4208000000000001</v>
      </c>
      <c r="F113" s="1012">
        <v>1.4208000000000001</v>
      </c>
      <c r="G113" s="1012">
        <v>1.4208000000000001</v>
      </c>
      <c r="H113" s="1012">
        <v>1.4208000000000001</v>
      </c>
      <c r="I113" s="1012">
        <v>1.3759999999999999</v>
      </c>
      <c r="J113" s="1012">
        <v>1.3759999999999999</v>
      </c>
      <c r="K113" s="1012">
        <v>1.3759999999999999</v>
      </c>
      <c r="L113" s="1012">
        <v>1.3759999999999999</v>
      </c>
      <c r="M113" s="1012">
        <v>1.3759999999999999</v>
      </c>
    </row>
    <row r="114" spans="1:13">
      <c r="A114" s="1003">
        <v>1</v>
      </c>
      <c r="B114" s="1012">
        <v>1.3733</v>
      </c>
      <c r="C114" s="1012">
        <v>1.3733</v>
      </c>
      <c r="D114" s="1012">
        <v>1.2786999999999999</v>
      </c>
      <c r="E114" s="1012">
        <v>1.2786999999999999</v>
      </c>
      <c r="F114" s="1012">
        <v>1.2786999999999999</v>
      </c>
      <c r="G114" s="1012">
        <v>1.2786999999999999</v>
      </c>
      <c r="H114" s="1012">
        <v>1.2786999999999999</v>
      </c>
      <c r="I114" s="1012">
        <v>1.2383999999999999</v>
      </c>
      <c r="J114" s="1012">
        <v>1.2383999999999999</v>
      </c>
      <c r="K114" s="1012">
        <v>1.2383999999999999</v>
      </c>
      <c r="L114" s="1012">
        <v>1.2383999999999999</v>
      </c>
      <c r="M114" s="1012">
        <v>1.2383999999999999</v>
      </c>
    </row>
    <row r="115" spans="1:13">
      <c r="A115" s="1003">
        <v>1.1000000000000001</v>
      </c>
      <c r="B115" s="1012">
        <v>1.3489</v>
      </c>
      <c r="C115" s="1012">
        <v>1.3489</v>
      </c>
      <c r="D115" s="1012">
        <v>1.2542</v>
      </c>
      <c r="E115" s="1012">
        <v>1.2542</v>
      </c>
      <c r="F115" s="1012">
        <v>1.2542</v>
      </c>
      <c r="G115" s="1012">
        <v>1.2542</v>
      </c>
      <c r="H115" s="1012">
        <v>1.2542</v>
      </c>
      <c r="I115" s="1012">
        <v>1.2050000000000001</v>
      </c>
      <c r="J115" s="1012">
        <v>1.2050000000000001</v>
      </c>
      <c r="K115" s="1012">
        <v>1.2050000000000001</v>
      </c>
      <c r="L115" s="1012">
        <v>1.2050000000000001</v>
      </c>
      <c r="M115" s="1012">
        <v>1.2050000000000001</v>
      </c>
    </row>
    <row r="116" spans="1:13">
      <c r="A116" s="1003">
        <v>1.2</v>
      </c>
      <c r="B116" s="1012">
        <v>1.3255999999999999</v>
      </c>
      <c r="C116" s="1012">
        <v>1.3255999999999999</v>
      </c>
      <c r="D116" s="1012">
        <v>1.2305999999999999</v>
      </c>
      <c r="E116" s="1012">
        <v>1.2305999999999999</v>
      </c>
      <c r="F116" s="1012">
        <v>1.2305999999999999</v>
      </c>
      <c r="G116" s="1012">
        <v>1.2305999999999999</v>
      </c>
      <c r="H116" s="1012">
        <v>1.2305999999999999</v>
      </c>
      <c r="I116" s="1012">
        <v>1.1741999999999999</v>
      </c>
      <c r="J116" s="1012">
        <v>1.1741999999999999</v>
      </c>
      <c r="K116" s="1012">
        <v>1.1741999999999999</v>
      </c>
      <c r="L116" s="1012">
        <v>1.1741999999999999</v>
      </c>
      <c r="M116" s="1012">
        <v>1.1741999999999999</v>
      </c>
    </row>
    <row r="117" spans="1:13">
      <c r="A117" s="1003">
        <v>1.3</v>
      </c>
      <c r="B117" s="1012">
        <v>1.3032999999999999</v>
      </c>
      <c r="C117" s="1012">
        <v>1.3032999999999999</v>
      </c>
      <c r="D117" s="1012">
        <v>1.2079</v>
      </c>
      <c r="E117" s="1012">
        <v>1.2079</v>
      </c>
      <c r="F117" s="1012">
        <v>1.2079</v>
      </c>
      <c r="G117" s="1012">
        <v>1.2079</v>
      </c>
      <c r="H117" s="1012">
        <v>1.2079</v>
      </c>
      <c r="I117" s="1012">
        <v>1.1459999999999999</v>
      </c>
      <c r="J117" s="1012">
        <v>1.1459999999999999</v>
      </c>
      <c r="K117" s="1012">
        <v>1.1459999999999999</v>
      </c>
      <c r="L117" s="1012">
        <v>1.1459999999999999</v>
      </c>
      <c r="M117" s="1012">
        <v>1.1459999999999999</v>
      </c>
    </row>
    <row r="118" spans="1:13">
      <c r="A118" s="1003">
        <v>1.4</v>
      </c>
      <c r="B118" s="1012">
        <v>1.282</v>
      </c>
      <c r="C118" s="1012">
        <v>1.282</v>
      </c>
      <c r="D118" s="1012">
        <v>1.1861999999999999</v>
      </c>
      <c r="E118" s="1012">
        <v>1.1861999999999999</v>
      </c>
      <c r="F118" s="1012">
        <v>1.1861999999999999</v>
      </c>
      <c r="G118" s="1012">
        <v>1.1861999999999999</v>
      </c>
      <c r="H118" s="1012">
        <v>1.1861999999999999</v>
      </c>
      <c r="I118" s="1012">
        <v>1.1200000000000001</v>
      </c>
      <c r="J118" s="1012">
        <v>1.1200000000000001</v>
      </c>
      <c r="K118" s="1012">
        <v>1.1200000000000001</v>
      </c>
      <c r="L118" s="1012">
        <v>1.1200000000000001</v>
      </c>
      <c r="M118" s="1012">
        <v>1.1200000000000001</v>
      </c>
    </row>
    <row r="119" spans="1:13">
      <c r="A119" s="1003">
        <v>1.5</v>
      </c>
      <c r="B119" s="1012">
        <v>1.2617</v>
      </c>
      <c r="C119" s="1012">
        <v>1.2617</v>
      </c>
      <c r="D119" s="1012">
        <v>1.1653</v>
      </c>
      <c r="E119" s="1012">
        <v>1.1653</v>
      </c>
      <c r="F119" s="1012">
        <v>1.1653</v>
      </c>
      <c r="G119" s="1012">
        <v>1.1653</v>
      </c>
      <c r="H119" s="1012">
        <v>1.1653</v>
      </c>
      <c r="I119" s="1012">
        <v>1.0961000000000001</v>
      </c>
      <c r="J119" s="1012">
        <v>1.0961000000000001</v>
      </c>
      <c r="K119" s="1012">
        <v>1.0961000000000001</v>
      </c>
      <c r="L119" s="1012">
        <v>1.0961000000000001</v>
      </c>
      <c r="M119" s="1012">
        <v>1.0961000000000001</v>
      </c>
    </row>
    <row r="120" spans="1:13">
      <c r="A120" s="1003">
        <v>1.6</v>
      </c>
      <c r="B120" s="1012">
        <v>1.2423</v>
      </c>
      <c r="C120" s="1012">
        <v>1.2423</v>
      </c>
      <c r="D120" s="1012">
        <v>1.1453</v>
      </c>
      <c r="E120" s="1012">
        <v>1.1453</v>
      </c>
      <c r="F120" s="1012">
        <v>1.1453</v>
      </c>
      <c r="G120" s="1012">
        <v>1.1453</v>
      </c>
      <c r="H120" s="1012">
        <v>1.1453</v>
      </c>
      <c r="I120" s="1012">
        <v>1.0740000000000001</v>
      </c>
      <c r="J120" s="1012">
        <v>1.0740000000000001</v>
      </c>
      <c r="K120" s="1012">
        <v>1.0740000000000001</v>
      </c>
      <c r="L120" s="1012">
        <v>1.0740000000000001</v>
      </c>
      <c r="M120" s="1012">
        <v>1.0740000000000001</v>
      </c>
    </row>
    <row r="121" spans="1:13">
      <c r="A121" s="1003">
        <v>1.7</v>
      </c>
      <c r="B121" s="1012">
        <v>1.2237</v>
      </c>
      <c r="C121" s="1012">
        <v>1.2237</v>
      </c>
      <c r="D121" s="1012">
        <v>1.1261000000000001</v>
      </c>
      <c r="E121" s="1012">
        <v>1.1261000000000001</v>
      </c>
      <c r="F121" s="1012">
        <v>1.1261000000000001</v>
      </c>
      <c r="G121" s="1012">
        <v>1.1261000000000001</v>
      </c>
      <c r="H121" s="1012">
        <v>1.1261000000000001</v>
      </c>
      <c r="I121" s="1012">
        <v>1.0535000000000001</v>
      </c>
      <c r="J121" s="1012">
        <v>1.0535000000000001</v>
      </c>
      <c r="K121" s="1012">
        <v>1.0535000000000001</v>
      </c>
      <c r="L121" s="1012">
        <v>1.0535000000000001</v>
      </c>
      <c r="M121" s="1012">
        <v>1.0535000000000001</v>
      </c>
    </row>
    <row r="122" spans="1:13">
      <c r="A122" s="1003">
        <v>1.8</v>
      </c>
      <c r="B122" s="1012">
        <v>1.206</v>
      </c>
      <c r="C122" s="1012">
        <v>1.206</v>
      </c>
      <c r="D122" s="1012">
        <v>1.1076999999999999</v>
      </c>
      <c r="E122" s="1012">
        <v>1.1076999999999999</v>
      </c>
      <c r="F122" s="1012">
        <v>1.1076999999999999</v>
      </c>
      <c r="G122" s="1012">
        <v>1.1076999999999999</v>
      </c>
      <c r="H122" s="1012">
        <v>1.1076999999999999</v>
      </c>
      <c r="I122" s="1012">
        <v>1.0345</v>
      </c>
      <c r="J122" s="1012">
        <v>1.0345</v>
      </c>
      <c r="K122" s="1012">
        <v>1.0345</v>
      </c>
      <c r="L122" s="1012">
        <v>1.0345</v>
      </c>
      <c r="M122" s="1012">
        <v>1.0345</v>
      </c>
    </row>
    <row r="123" spans="1:13">
      <c r="A123" s="1003">
        <v>1.9</v>
      </c>
      <c r="B123" s="1012">
        <v>1.1891</v>
      </c>
      <c r="C123" s="1012">
        <v>1.1891</v>
      </c>
      <c r="D123" s="1012">
        <v>1.0901000000000001</v>
      </c>
      <c r="E123" s="1012">
        <v>1.0901000000000001</v>
      </c>
      <c r="F123" s="1012">
        <v>1.0901000000000001</v>
      </c>
      <c r="G123" s="1012">
        <v>1.0901000000000001</v>
      </c>
      <c r="H123" s="1012">
        <v>1.0901000000000001</v>
      </c>
      <c r="I123" s="1012">
        <v>1.0166999999999999</v>
      </c>
      <c r="J123" s="1012">
        <v>1.0166999999999999</v>
      </c>
      <c r="K123" s="1012">
        <v>1.0166999999999999</v>
      </c>
      <c r="L123" s="1012">
        <v>1.0166999999999999</v>
      </c>
      <c r="M123" s="1012">
        <v>1.0166999999999999</v>
      </c>
    </row>
    <row r="124" spans="1:13">
      <c r="A124" s="1003">
        <v>2</v>
      </c>
      <c r="B124" s="1012">
        <v>1.1729000000000001</v>
      </c>
      <c r="C124" s="1012">
        <v>1.1729000000000001</v>
      </c>
      <c r="D124" s="1012">
        <v>1.0732999999999999</v>
      </c>
      <c r="E124" s="1012">
        <v>1.0732999999999999</v>
      </c>
      <c r="F124" s="1012">
        <v>1.0732999999999999</v>
      </c>
      <c r="G124" s="1012">
        <v>1.0732999999999999</v>
      </c>
      <c r="H124" s="1012">
        <v>1.0732999999999999</v>
      </c>
      <c r="I124" s="1012">
        <v>1</v>
      </c>
      <c r="J124" s="1012">
        <v>1</v>
      </c>
      <c r="K124" s="1012">
        <v>1</v>
      </c>
      <c r="L124" s="1012">
        <v>1</v>
      </c>
      <c r="M124" s="1012">
        <v>1</v>
      </c>
    </row>
    <row r="125" spans="1:13">
      <c r="A125" s="1027">
        <v>2.1</v>
      </c>
      <c r="B125" s="1012">
        <v>1.1574</v>
      </c>
      <c r="C125" s="1012">
        <v>1.1574</v>
      </c>
      <c r="D125" s="1012">
        <v>1.0571999999999999</v>
      </c>
      <c r="E125" s="1012">
        <v>1.0571999999999999</v>
      </c>
      <c r="F125" s="1012">
        <v>1.0571999999999999</v>
      </c>
      <c r="G125" s="1012">
        <v>1.0571999999999999</v>
      </c>
      <c r="H125" s="1012">
        <v>1.0571999999999999</v>
      </c>
      <c r="I125" s="1012">
        <v>0.98409999999999997</v>
      </c>
      <c r="J125" s="1012">
        <v>0.98409999999999997</v>
      </c>
      <c r="K125" s="1012">
        <v>0.98409999999999997</v>
      </c>
      <c r="L125" s="1012">
        <v>0.98409999999999997</v>
      </c>
      <c r="M125" s="1012">
        <v>0.98409999999999997</v>
      </c>
    </row>
    <row r="126" spans="1:13">
      <c r="A126" s="1027">
        <v>2.2000000000000002</v>
      </c>
      <c r="B126" s="1012">
        <v>1.1426000000000001</v>
      </c>
      <c r="C126" s="1012">
        <v>1.1426000000000001</v>
      </c>
      <c r="D126" s="1012">
        <v>1.0419</v>
      </c>
      <c r="E126" s="1012">
        <v>1.0419</v>
      </c>
      <c r="F126" s="1012">
        <v>1.0419</v>
      </c>
      <c r="G126" s="1012">
        <v>1.0419</v>
      </c>
      <c r="H126" s="1012">
        <v>1.0419</v>
      </c>
      <c r="I126" s="1012">
        <v>0.96889999999999998</v>
      </c>
      <c r="J126" s="1012">
        <v>0.96889999999999998</v>
      </c>
      <c r="K126" s="1012">
        <v>0.96889999999999998</v>
      </c>
      <c r="L126" s="1012">
        <v>0.96889999999999998</v>
      </c>
      <c r="M126" s="1012">
        <v>0.96889999999999998</v>
      </c>
    </row>
    <row r="127" spans="1:13">
      <c r="A127" s="1027">
        <v>2.2999999999999998</v>
      </c>
      <c r="B127" s="1012">
        <v>1.1285000000000001</v>
      </c>
      <c r="C127" s="1012">
        <v>1.1285000000000001</v>
      </c>
      <c r="D127" s="1012">
        <v>1.0271999999999999</v>
      </c>
      <c r="E127" s="1012">
        <v>1.0271999999999999</v>
      </c>
      <c r="F127" s="1012">
        <v>1.0271999999999999</v>
      </c>
      <c r="G127" s="1012">
        <v>1.0271999999999999</v>
      </c>
      <c r="H127" s="1012">
        <v>1.0271999999999999</v>
      </c>
      <c r="I127" s="1012">
        <v>0.95440000000000003</v>
      </c>
      <c r="J127" s="1012">
        <v>0.95440000000000003</v>
      </c>
      <c r="K127" s="1012">
        <v>0.95440000000000003</v>
      </c>
      <c r="L127" s="1012">
        <v>0.95440000000000003</v>
      </c>
      <c r="M127" s="1012">
        <v>0.95440000000000003</v>
      </c>
    </row>
    <row r="128" spans="1:13">
      <c r="A128" s="1027">
        <v>2.4</v>
      </c>
      <c r="B128" s="1012">
        <v>1.1149</v>
      </c>
      <c r="C128" s="1012">
        <v>1.1149</v>
      </c>
      <c r="D128" s="1012">
        <v>1.0133000000000001</v>
      </c>
      <c r="E128" s="1012">
        <v>1.0133000000000001</v>
      </c>
      <c r="F128" s="1012">
        <v>1.0133000000000001</v>
      </c>
      <c r="G128" s="1012">
        <v>1.0133000000000001</v>
      </c>
      <c r="H128" s="1012">
        <v>1.0133000000000001</v>
      </c>
      <c r="I128" s="1012">
        <v>0.9405</v>
      </c>
      <c r="J128" s="1012">
        <v>0.9405</v>
      </c>
      <c r="K128" s="1012">
        <v>0.9405</v>
      </c>
      <c r="L128" s="1012">
        <v>0.9405</v>
      </c>
      <c r="M128" s="1012">
        <v>0.9405</v>
      </c>
    </row>
    <row r="129" spans="1:13">
      <c r="A129" s="1027">
        <v>2.5</v>
      </c>
      <c r="B129" s="1012">
        <v>1.1020000000000001</v>
      </c>
      <c r="C129" s="1012">
        <v>1.1020000000000001</v>
      </c>
      <c r="D129" s="1012">
        <v>1</v>
      </c>
      <c r="E129" s="1012">
        <v>1</v>
      </c>
      <c r="F129" s="1012">
        <v>1</v>
      </c>
      <c r="G129" s="1012">
        <v>1</v>
      </c>
      <c r="H129" s="1012">
        <v>1</v>
      </c>
      <c r="I129" s="1012">
        <v>0.92730000000000001</v>
      </c>
      <c r="J129" s="1012">
        <v>0.92730000000000001</v>
      </c>
      <c r="K129" s="1012">
        <v>0.92730000000000001</v>
      </c>
      <c r="L129" s="1012">
        <v>0.92730000000000001</v>
      </c>
      <c r="M129" s="1012">
        <v>0.92730000000000001</v>
      </c>
    </row>
    <row r="130" spans="1:13">
      <c r="A130" s="1027">
        <v>2.6</v>
      </c>
      <c r="B130" s="1012">
        <v>1.0895999999999999</v>
      </c>
      <c r="C130" s="1012">
        <v>1.0895999999999999</v>
      </c>
      <c r="D130" s="1012">
        <v>0.98740000000000006</v>
      </c>
      <c r="E130" s="1012">
        <v>0.98740000000000006</v>
      </c>
      <c r="F130" s="1012">
        <v>0.98740000000000006</v>
      </c>
      <c r="G130" s="1012">
        <v>0.98740000000000006</v>
      </c>
      <c r="H130" s="1012">
        <v>0.98740000000000006</v>
      </c>
      <c r="I130" s="1012">
        <v>0.91469999999999996</v>
      </c>
      <c r="J130" s="1012">
        <v>0.91469999999999996</v>
      </c>
      <c r="K130" s="1012">
        <v>0.91469999999999996</v>
      </c>
      <c r="L130" s="1012">
        <v>0.91469999999999996</v>
      </c>
      <c r="M130" s="1012">
        <v>0.91469999999999996</v>
      </c>
    </row>
    <row r="131" spans="1:13">
      <c r="A131" s="1027">
        <v>2.7</v>
      </c>
      <c r="B131" s="1012">
        <v>1.0778000000000001</v>
      </c>
      <c r="C131" s="1012">
        <v>1.0778000000000001</v>
      </c>
      <c r="D131" s="1012">
        <v>0.97540000000000004</v>
      </c>
      <c r="E131" s="1012">
        <v>0.97540000000000004</v>
      </c>
      <c r="F131" s="1012">
        <v>0.97540000000000004</v>
      </c>
      <c r="G131" s="1012">
        <v>0.97540000000000004</v>
      </c>
      <c r="H131" s="1012">
        <v>0.97540000000000004</v>
      </c>
      <c r="I131" s="1012">
        <v>0.90269999999999995</v>
      </c>
      <c r="J131" s="1012">
        <v>0.90269999999999995</v>
      </c>
      <c r="K131" s="1012">
        <v>0.90269999999999995</v>
      </c>
      <c r="L131" s="1012">
        <v>0.90269999999999995</v>
      </c>
      <c r="M131" s="1012">
        <v>0.90269999999999995</v>
      </c>
    </row>
    <row r="132" spans="1:13">
      <c r="A132" s="1027">
        <v>2.8</v>
      </c>
      <c r="B132" s="1012">
        <v>1.0665</v>
      </c>
      <c r="C132" s="1012">
        <v>1.0665</v>
      </c>
      <c r="D132" s="1012">
        <v>0.96399999999999997</v>
      </c>
      <c r="E132" s="1012">
        <v>0.96399999999999997</v>
      </c>
      <c r="F132" s="1012">
        <v>0.96399999999999997</v>
      </c>
      <c r="G132" s="1012">
        <v>0.96399999999999997</v>
      </c>
      <c r="H132" s="1012">
        <v>0.96399999999999997</v>
      </c>
      <c r="I132" s="1012">
        <v>0.89119999999999999</v>
      </c>
      <c r="J132" s="1012">
        <v>0.89119999999999999</v>
      </c>
      <c r="K132" s="1012">
        <v>0.89119999999999999</v>
      </c>
      <c r="L132" s="1012">
        <v>0.89119999999999999</v>
      </c>
      <c r="M132" s="1012">
        <v>0.89119999999999999</v>
      </c>
    </row>
    <row r="133" spans="1:13">
      <c r="A133" s="1027">
        <v>2.9</v>
      </c>
      <c r="B133" s="1012">
        <v>1.0556000000000001</v>
      </c>
      <c r="C133" s="1012">
        <v>1.0556000000000001</v>
      </c>
      <c r="D133" s="1012">
        <v>0.95330000000000004</v>
      </c>
      <c r="E133" s="1012">
        <v>0.95330000000000004</v>
      </c>
      <c r="F133" s="1012">
        <v>0.95330000000000004</v>
      </c>
      <c r="G133" s="1012">
        <v>0.95330000000000004</v>
      </c>
      <c r="H133" s="1012">
        <v>0.95330000000000004</v>
      </c>
      <c r="I133" s="1012">
        <v>0.88019999999999998</v>
      </c>
      <c r="J133" s="1012">
        <v>0.88019999999999998</v>
      </c>
      <c r="K133" s="1012">
        <v>0.88019999999999998</v>
      </c>
      <c r="L133" s="1012">
        <v>0.88019999999999998</v>
      </c>
      <c r="M133" s="1012">
        <v>0.88019999999999998</v>
      </c>
    </row>
    <row r="134" spans="1:13">
      <c r="A134" s="1027">
        <v>3</v>
      </c>
      <c r="B134" s="1012">
        <v>1.0452999999999999</v>
      </c>
      <c r="C134" s="1012">
        <v>1.0452999999999999</v>
      </c>
      <c r="D134" s="1012">
        <v>0.94299999999999995</v>
      </c>
      <c r="E134" s="1012">
        <v>0.94299999999999995</v>
      </c>
      <c r="F134" s="1012">
        <v>0.94299999999999995</v>
      </c>
      <c r="G134" s="1012">
        <v>0.94299999999999995</v>
      </c>
      <c r="H134" s="1012">
        <v>0.94299999999999995</v>
      </c>
      <c r="I134" s="1012">
        <v>0.86970000000000003</v>
      </c>
      <c r="J134" s="1012">
        <v>0.86970000000000003</v>
      </c>
      <c r="K134" s="1012">
        <v>0.86970000000000003</v>
      </c>
      <c r="L134" s="1012">
        <v>0.86970000000000003</v>
      </c>
      <c r="M134" s="1012">
        <v>0.86970000000000003</v>
      </c>
    </row>
    <row r="135" spans="1:13">
      <c r="A135" s="1027">
        <v>3.1</v>
      </c>
      <c r="B135" s="1012">
        <v>1.0354000000000001</v>
      </c>
      <c r="C135" s="1012">
        <v>1.0354000000000001</v>
      </c>
      <c r="D135" s="1012">
        <v>0.93330000000000002</v>
      </c>
      <c r="E135" s="1012">
        <v>0.93330000000000002</v>
      </c>
      <c r="F135" s="1012">
        <v>0.93330000000000002</v>
      </c>
      <c r="G135" s="1012">
        <v>0.93330000000000002</v>
      </c>
      <c r="H135" s="1012">
        <v>0.93330000000000002</v>
      </c>
      <c r="I135" s="1012">
        <v>0.85970000000000002</v>
      </c>
      <c r="J135" s="1012">
        <v>0.85970000000000002</v>
      </c>
      <c r="K135" s="1012">
        <v>0.85970000000000002</v>
      </c>
      <c r="L135" s="1012">
        <v>0.85970000000000002</v>
      </c>
      <c r="M135" s="1012">
        <v>0.85970000000000002</v>
      </c>
    </row>
    <row r="136" spans="1:13">
      <c r="A136" s="1027">
        <v>3.2</v>
      </c>
      <c r="B136" s="1012">
        <v>1.0259</v>
      </c>
      <c r="C136" s="1012">
        <v>1.0259</v>
      </c>
      <c r="D136" s="1012">
        <v>0.92410000000000003</v>
      </c>
      <c r="E136" s="1012">
        <v>0.92410000000000003</v>
      </c>
      <c r="F136" s="1012">
        <v>0.92410000000000003</v>
      </c>
      <c r="G136" s="1012">
        <v>0.92410000000000003</v>
      </c>
      <c r="H136" s="1012">
        <v>0.92410000000000003</v>
      </c>
      <c r="I136" s="1012">
        <v>0.85019999999999996</v>
      </c>
      <c r="J136" s="1012">
        <v>0.85019999999999996</v>
      </c>
      <c r="K136" s="1012">
        <v>0.85019999999999996</v>
      </c>
      <c r="L136" s="1012">
        <v>0.85019999999999996</v>
      </c>
      <c r="M136" s="1012">
        <v>0.85019999999999996</v>
      </c>
    </row>
    <row r="137" spans="1:13">
      <c r="A137" s="1027">
        <v>3.3</v>
      </c>
      <c r="B137" s="1012">
        <v>1.0168999999999999</v>
      </c>
      <c r="C137" s="1012">
        <v>1.0168999999999999</v>
      </c>
      <c r="D137" s="1012">
        <v>0.91539999999999999</v>
      </c>
      <c r="E137" s="1012">
        <v>0.91539999999999999</v>
      </c>
      <c r="F137" s="1012">
        <v>0.91539999999999999</v>
      </c>
      <c r="G137" s="1012">
        <v>0.91539999999999999</v>
      </c>
      <c r="H137" s="1012">
        <v>0.91539999999999999</v>
      </c>
      <c r="I137" s="1012">
        <v>0.84109999999999996</v>
      </c>
      <c r="J137" s="1012">
        <v>0.84109999999999996</v>
      </c>
      <c r="K137" s="1012">
        <v>0.84109999999999996</v>
      </c>
      <c r="L137" s="1012">
        <v>0.84109999999999996</v>
      </c>
      <c r="M137" s="1012">
        <v>0.84109999999999996</v>
      </c>
    </row>
    <row r="138" spans="1:13">
      <c r="A138" s="1027">
        <v>3.4</v>
      </c>
      <c r="B138" s="1012">
        <v>1.0082</v>
      </c>
      <c r="C138" s="1012">
        <v>1.0082</v>
      </c>
      <c r="D138" s="1012">
        <v>0.90710000000000002</v>
      </c>
      <c r="E138" s="1012">
        <v>0.90710000000000002</v>
      </c>
      <c r="F138" s="1012">
        <v>0.90710000000000002</v>
      </c>
      <c r="G138" s="1012">
        <v>0.90710000000000002</v>
      </c>
      <c r="H138" s="1012">
        <v>0.90710000000000002</v>
      </c>
      <c r="I138" s="1012">
        <v>0.83240000000000003</v>
      </c>
      <c r="J138" s="1012">
        <v>0.83240000000000003</v>
      </c>
      <c r="K138" s="1012">
        <v>0.83240000000000003</v>
      </c>
      <c r="L138" s="1012">
        <v>0.83240000000000003</v>
      </c>
      <c r="M138" s="1012">
        <v>0.83240000000000003</v>
      </c>
    </row>
    <row r="139" spans="1:13">
      <c r="A139" s="1027">
        <v>3.5</v>
      </c>
      <c r="B139" s="1012">
        <v>1</v>
      </c>
      <c r="C139" s="1012">
        <v>1</v>
      </c>
      <c r="D139" s="1012">
        <v>0.89929999999999999</v>
      </c>
      <c r="E139" s="1012">
        <v>0.89929999999999999</v>
      </c>
      <c r="F139" s="1012">
        <v>0.89929999999999999</v>
      </c>
      <c r="G139" s="1012">
        <v>0.89929999999999999</v>
      </c>
      <c r="H139" s="1012">
        <v>0.89929999999999999</v>
      </c>
      <c r="I139" s="1012">
        <v>0.82410000000000005</v>
      </c>
      <c r="J139" s="1012">
        <v>0.82410000000000005</v>
      </c>
      <c r="K139" s="1012">
        <v>0.82410000000000005</v>
      </c>
      <c r="L139" s="1012">
        <v>0.82410000000000005</v>
      </c>
      <c r="M139" s="1012">
        <v>0.82410000000000005</v>
      </c>
    </row>
    <row r="140" spans="1:13">
      <c r="A140" s="1027">
        <v>3.6</v>
      </c>
      <c r="B140" s="1012">
        <v>0.99219999999999997</v>
      </c>
      <c r="C140" s="1012">
        <v>0.99219999999999997</v>
      </c>
      <c r="D140" s="1012">
        <v>0.89190000000000003</v>
      </c>
      <c r="E140" s="1012">
        <v>0.89190000000000003</v>
      </c>
      <c r="F140" s="1012">
        <v>0.89190000000000003</v>
      </c>
      <c r="G140" s="1012">
        <v>0.89190000000000003</v>
      </c>
      <c r="H140" s="1012">
        <v>0.89190000000000003</v>
      </c>
      <c r="I140" s="1012">
        <v>0.81620000000000004</v>
      </c>
      <c r="J140" s="1012">
        <v>0.81620000000000004</v>
      </c>
      <c r="K140" s="1012">
        <v>0.81620000000000004</v>
      </c>
      <c r="L140" s="1012">
        <v>0.81620000000000004</v>
      </c>
      <c r="M140" s="1012">
        <v>0.81620000000000004</v>
      </c>
    </row>
    <row r="141" spans="1:13">
      <c r="A141" s="1027">
        <v>3.7</v>
      </c>
      <c r="B141" s="1012">
        <v>0.98480000000000001</v>
      </c>
      <c r="C141" s="1012">
        <v>0.98480000000000001</v>
      </c>
      <c r="D141" s="1012">
        <v>0.88480000000000003</v>
      </c>
      <c r="E141" s="1012">
        <v>0.88480000000000003</v>
      </c>
      <c r="F141" s="1012">
        <v>0.88480000000000003</v>
      </c>
      <c r="G141" s="1012">
        <v>0.88480000000000003</v>
      </c>
      <c r="H141" s="1012">
        <v>0.88480000000000003</v>
      </c>
      <c r="I141" s="1012">
        <v>0.80869999999999997</v>
      </c>
      <c r="J141" s="1012">
        <v>0.80869999999999997</v>
      </c>
      <c r="K141" s="1012">
        <v>0.80869999999999997</v>
      </c>
      <c r="L141" s="1012">
        <v>0.80869999999999997</v>
      </c>
      <c r="M141" s="1012">
        <v>0.80869999999999997</v>
      </c>
    </row>
    <row r="142" spans="1:13">
      <c r="A142" s="1027">
        <v>3.8</v>
      </c>
      <c r="B142" s="1012">
        <v>0.9778</v>
      </c>
      <c r="C142" s="1012">
        <v>0.9778</v>
      </c>
      <c r="D142" s="1012">
        <v>0.87809999999999999</v>
      </c>
      <c r="E142" s="1012">
        <v>0.87809999999999999</v>
      </c>
      <c r="F142" s="1012">
        <v>0.87809999999999999</v>
      </c>
      <c r="G142" s="1012">
        <v>0.87809999999999999</v>
      </c>
      <c r="H142" s="1012">
        <v>0.87809999999999999</v>
      </c>
      <c r="I142" s="1012">
        <v>0.80159999999999998</v>
      </c>
      <c r="J142" s="1012">
        <v>0.80159999999999998</v>
      </c>
      <c r="K142" s="1012">
        <v>0.80159999999999998</v>
      </c>
      <c r="L142" s="1012">
        <v>0.80159999999999998</v>
      </c>
      <c r="M142" s="1012">
        <v>0.80159999999999998</v>
      </c>
    </row>
    <row r="143" spans="1:13">
      <c r="A143" s="1027">
        <v>3.9</v>
      </c>
      <c r="B143" s="1012">
        <v>0.97119999999999995</v>
      </c>
      <c r="C143" s="1012">
        <v>0.97119999999999995</v>
      </c>
      <c r="D143" s="1012">
        <v>0.87180000000000002</v>
      </c>
      <c r="E143" s="1012">
        <v>0.87180000000000002</v>
      </c>
      <c r="F143" s="1012">
        <v>0.87180000000000002</v>
      </c>
      <c r="G143" s="1012">
        <v>0.87180000000000002</v>
      </c>
      <c r="H143" s="1012">
        <v>0.87180000000000002</v>
      </c>
      <c r="I143" s="1012">
        <v>0.79479999999999995</v>
      </c>
      <c r="J143" s="1012">
        <v>0.79479999999999995</v>
      </c>
      <c r="K143" s="1012">
        <v>0.79479999999999995</v>
      </c>
      <c r="L143" s="1012">
        <v>0.79479999999999995</v>
      </c>
      <c r="M143" s="1012">
        <v>0.79479999999999995</v>
      </c>
    </row>
    <row r="144" spans="1:13">
      <c r="A144" s="1027">
        <v>4</v>
      </c>
      <c r="B144" s="1012">
        <v>0.96499999999999997</v>
      </c>
      <c r="C144" s="1012">
        <v>0.96499999999999997</v>
      </c>
      <c r="D144" s="1012">
        <v>0.86580000000000001</v>
      </c>
      <c r="E144" s="1012">
        <v>0.86580000000000001</v>
      </c>
      <c r="F144" s="1012">
        <v>0.86580000000000001</v>
      </c>
      <c r="G144" s="1012">
        <v>0.86580000000000001</v>
      </c>
      <c r="H144" s="1012">
        <v>0.86580000000000001</v>
      </c>
      <c r="I144" s="1012">
        <v>0.7883</v>
      </c>
      <c r="J144" s="1012">
        <v>0.7883</v>
      </c>
      <c r="K144" s="1012">
        <v>0.7883</v>
      </c>
      <c r="L144" s="1012">
        <v>0.7883</v>
      </c>
      <c r="M144" s="1012">
        <v>0.7883</v>
      </c>
    </row>
    <row r="145" spans="1:13">
      <c r="A145" s="1027">
        <v>4.0999999999999996</v>
      </c>
      <c r="B145" s="1012">
        <v>0.95909999999999995</v>
      </c>
      <c r="C145" s="1012">
        <v>0.95909999999999995</v>
      </c>
      <c r="D145" s="1012">
        <v>0.86009999999999998</v>
      </c>
      <c r="E145" s="1012">
        <v>0.86009999999999998</v>
      </c>
      <c r="F145" s="1012">
        <v>0.86009999999999998</v>
      </c>
      <c r="G145" s="1012">
        <v>0.86009999999999998</v>
      </c>
      <c r="H145" s="1012">
        <v>0.86009999999999998</v>
      </c>
      <c r="I145" s="1012">
        <v>0.78200000000000003</v>
      </c>
      <c r="J145" s="1012">
        <v>0.78200000000000003</v>
      </c>
      <c r="K145" s="1012">
        <v>0.78200000000000003</v>
      </c>
      <c r="L145" s="1012">
        <v>0.78200000000000003</v>
      </c>
      <c r="M145" s="1012">
        <v>0.78200000000000003</v>
      </c>
    </row>
    <row r="146" spans="1:13">
      <c r="A146" s="1027">
        <v>4.2</v>
      </c>
      <c r="B146" s="1012">
        <v>0.95350000000000001</v>
      </c>
      <c r="C146" s="1012">
        <v>0.95350000000000001</v>
      </c>
      <c r="D146" s="1012">
        <v>0.85470000000000002</v>
      </c>
      <c r="E146" s="1012">
        <v>0.85470000000000002</v>
      </c>
      <c r="F146" s="1012">
        <v>0.85470000000000002</v>
      </c>
      <c r="G146" s="1012">
        <v>0.85470000000000002</v>
      </c>
      <c r="H146" s="1012">
        <v>0.85470000000000002</v>
      </c>
      <c r="I146" s="1012">
        <v>0.77600000000000002</v>
      </c>
      <c r="J146" s="1012">
        <v>0.77600000000000002</v>
      </c>
      <c r="K146" s="1012">
        <v>0.77600000000000002</v>
      </c>
      <c r="L146" s="1012">
        <v>0.77600000000000002</v>
      </c>
      <c r="M146" s="1012">
        <v>0.77600000000000002</v>
      </c>
    </row>
    <row r="147" spans="1:13">
      <c r="A147" s="1027">
        <v>4.3</v>
      </c>
      <c r="B147" s="1012">
        <v>0.94820000000000004</v>
      </c>
      <c r="C147" s="1012">
        <v>0.94820000000000004</v>
      </c>
      <c r="D147" s="1012">
        <v>0.84960000000000002</v>
      </c>
      <c r="E147" s="1012">
        <v>0.84960000000000002</v>
      </c>
      <c r="F147" s="1012">
        <v>0.84960000000000002</v>
      </c>
      <c r="G147" s="1012">
        <v>0.84960000000000002</v>
      </c>
      <c r="H147" s="1012">
        <v>0.84960000000000002</v>
      </c>
      <c r="I147" s="1012">
        <v>0.77029999999999998</v>
      </c>
      <c r="J147" s="1012">
        <v>0.77029999999999998</v>
      </c>
      <c r="K147" s="1012">
        <v>0.77029999999999998</v>
      </c>
      <c r="L147" s="1012">
        <v>0.77029999999999998</v>
      </c>
      <c r="M147" s="1012">
        <v>0.77029999999999998</v>
      </c>
    </row>
    <row r="148" spans="1:13">
      <c r="A148" s="1027">
        <v>4.4000000000000004</v>
      </c>
      <c r="B148" s="1012">
        <v>0.94320000000000004</v>
      </c>
      <c r="C148" s="1012">
        <v>0.94320000000000004</v>
      </c>
      <c r="D148" s="1012">
        <v>0.8448</v>
      </c>
      <c r="E148" s="1012">
        <v>0.8448</v>
      </c>
      <c r="F148" s="1012">
        <v>0.8448</v>
      </c>
      <c r="G148" s="1012">
        <v>0.8448</v>
      </c>
      <c r="H148" s="1012">
        <v>0.8448</v>
      </c>
      <c r="I148" s="1012">
        <v>0.76490000000000002</v>
      </c>
      <c r="J148" s="1012">
        <v>0.76490000000000002</v>
      </c>
      <c r="K148" s="1012">
        <v>0.76490000000000002</v>
      </c>
      <c r="L148" s="1012">
        <v>0.76490000000000002</v>
      </c>
      <c r="M148" s="1012">
        <v>0.76490000000000002</v>
      </c>
    </row>
    <row r="149" spans="1:13">
      <c r="A149" s="1027">
        <v>4.5</v>
      </c>
      <c r="B149" s="1012">
        <v>0.9385</v>
      </c>
      <c r="C149" s="1012">
        <v>0.9385</v>
      </c>
      <c r="D149" s="1012">
        <v>0.84019999999999995</v>
      </c>
      <c r="E149" s="1012">
        <v>0.84019999999999995</v>
      </c>
      <c r="F149" s="1012">
        <v>0.84019999999999995</v>
      </c>
      <c r="G149" s="1012">
        <v>0.84019999999999995</v>
      </c>
      <c r="H149" s="1012">
        <v>0.84019999999999995</v>
      </c>
      <c r="I149" s="1012">
        <v>0.75970000000000004</v>
      </c>
      <c r="J149" s="1012">
        <v>0.75970000000000004</v>
      </c>
      <c r="K149" s="1012">
        <v>0.75970000000000004</v>
      </c>
      <c r="L149" s="1012">
        <v>0.75970000000000004</v>
      </c>
      <c r="M149" s="1012">
        <v>0.75970000000000004</v>
      </c>
    </row>
    <row r="150" spans="1:13">
      <c r="A150" s="1027">
        <v>4.5999999999999996</v>
      </c>
      <c r="B150" s="1012">
        <v>0.93410000000000004</v>
      </c>
      <c r="C150" s="1012">
        <v>0.93410000000000004</v>
      </c>
      <c r="D150" s="1012">
        <v>0.83579999999999999</v>
      </c>
      <c r="E150" s="1012">
        <v>0.83579999999999999</v>
      </c>
      <c r="F150" s="1012">
        <v>0.83579999999999999</v>
      </c>
      <c r="G150" s="1012">
        <v>0.83579999999999999</v>
      </c>
      <c r="H150" s="1012">
        <v>0.83579999999999999</v>
      </c>
      <c r="I150" s="1012">
        <v>0.75470000000000004</v>
      </c>
      <c r="J150" s="1012">
        <v>0.75470000000000004</v>
      </c>
      <c r="K150" s="1012">
        <v>0.75470000000000004</v>
      </c>
      <c r="L150" s="1012">
        <v>0.75470000000000004</v>
      </c>
      <c r="M150" s="1012">
        <v>0.75470000000000004</v>
      </c>
    </row>
    <row r="151" spans="1:13">
      <c r="A151" s="1027">
        <v>4.7</v>
      </c>
      <c r="B151" s="1012">
        <v>0.92989999999999995</v>
      </c>
      <c r="C151" s="1012">
        <v>0.92989999999999995</v>
      </c>
      <c r="D151" s="1012">
        <v>0.83160000000000001</v>
      </c>
      <c r="E151" s="1012">
        <v>0.83160000000000001</v>
      </c>
      <c r="F151" s="1012">
        <v>0.83160000000000001</v>
      </c>
      <c r="G151" s="1012">
        <v>0.83160000000000001</v>
      </c>
      <c r="H151" s="1012">
        <v>0.83160000000000001</v>
      </c>
      <c r="I151" s="1012">
        <v>0.74990000000000001</v>
      </c>
      <c r="J151" s="1012">
        <v>0.74990000000000001</v>
      </c>
      <c r="K151" s="1012">
        <v>0.74990000000000001</v>
      </c>
      <c r="L151" s="1012">
        <v>0.74990000000000001</v>
      </c>
      <c r="M151" s="1012">
        <v>0.74990000000000001</v>
      </c>
    </row>
    <row r="152" spans="1:13">
      <c r="A152" s="1027">
        <v>4.8</v>
      </c>
      <c r="B152" s="1012">
        <v>0.92589999999999995</v>
      </c>
      <c r="C152" s="1012">
        <v>0.92589999999999995</v>
      </c>
      <c r="D152" s="1012">
        <v>0.82769999999999999</v>
      </c>
      <c r="E152" s="1012">
        <v>0.82769999999999999</v>
      </c>
      <c r="F152" s="1012">
        <v>0.82769999999999999</v>
      </c>
      <c r="G152" s="1012">
        <v>0.82769999999999999</v>
      </c>
      <c r="H152" s="1012">
        <v>0.82769999999999999</v>
      </c>
      <c r="I152" s="1012">
        <v>0.74529999999999996</v>
      </c>
      <c r="J152" s="1012">
        <v>0.74529999999999996</v>
      </c>
      <c r="K152" s="1012">
        <v>0.74529999999999996</v>
      </c>
      <c r="L152" s="1012">
        <v>0.74529999999999996</v>
      </c>
      <c r="M152" s="1012">
        <v>0.74529999999999996</v>
      </c>
    </row>
    <row r="153" spans="1:13">
      <c r="A153" s="1027">
        <v>4.9000000000000004</v>
      </c>
      <c r="B153" s="1012">
        <v>0.92210000000000003</v>
      </c>
      <c r="C153" s="1012">
        <v>0.92210000000000003</v>
      </c>
      <c r="D153" s="1012">
        <v>0.82389999999999997</v>
      </c>
      <c r="E153" s="1012">
        <v>0.82389999999999997</v>
      </c>
      <c r="F153" s="1012">
        <v>0.82389999999999997</v>
      </c>
      <c r="G153" s="1012">
        <v>0.82389999999999997</v>
      </c>
      <c r="H153" s="1012">
        <v>0.82389999999999997</v>
      </c>
      <c r="I153" s="1012">
        <v>0.7409</v>
      </c>
      <c r="J153" s="1012">
        <v>0.7409</v>
      </c>
      <c r="K153" s="1012">
        <v>0.7409</v>
      </c>
      <c r="L153" s="1012">
        <v>0.7409</v>
      </c>
      <c r="M153" s="1012">
        <v>0.7409</v>
      </c>
    </row>
    <row r="154" spans="1:13">
      <c r="A154" s="1027">
        <v>5</v>
      </c>
      <c r="B154" s="1012">
        <v>0.91849999999999998</v>
      </c>
      <c r="C154" s="1012">
        <v>0.91849999999999998</v>
      </c>
      <c r="D154" s="1012">
        <v>0.82030000000000003</v>
      </c>
      <c r="E154" s="1012">
        <v>0.82030000000000003</v>
      </c>
      <c r="F154" s="1012">
        <v>0.82030000000000003</v>
      </c>
      <c r="G154" s="1012">
        <v>0.82030000000000003</v>
      </c>
      <c r="H154" s="1012">
        <v>0.82030000000000003</v>
      </c>
      <c r="I154" s="1012">
        <v>0.73670000000000002</v>
      </c>
      <c r="J154" s="1012">
        <v>0.73670000000000002</v>
      </c>
      <c r="K154" s="1012">
        <v>0.73670000000000002</v>
      </c>
      <c r="L154" s="1012">
        <v>0.73670000000000002</v>
      </c>
      <c r="M154" s="1012">
        <v>0.73670000000000002</v>
      </c>
    </row>
    <row r="155" spans="1:13">
      <c r="A155" s="1003">
        <v>5.0999999999999996</v>
      </c>
      <c r="B155" s="1012">
        <v>0.91510000000000002</v>
      </c>
      <c r="C155" s="1012">
        <v>0.91510000000000002</v>
      </c>
      <c r="D155" s="1012">
        <v>0.81689999999999996</v>
      </c>
      <c r="E155" s="1012">
        <v>0.81689999999999996</v>
      </c>
      <c r="F155" s="1012">
        <v>0.81689999999999996</v>
      </c>
      <c r="G155" s="1012">
        <v>0.81689999999999996</v>
      </c>
      <c r="H155" s="1012">
        <v>0.81689999999999996</v>
      </c>
      <c r="I155" s="1012">
        <v>0.73270000000000002</v>
      </c>
      <c r="J155" s="1012">
        <v>0.73270000000000002</v>
      </c>
      <c r="K155" s="1012">
        <v>0.73270000000000002</v>
      </c>
      <c r="L155" s="1012">
        <v>0.73270000000000002</v>
      </c>
      <c r="M155" s="1012">
        <v>0.73270000000000002</v>
      </c>
    </row>
    <row r="156" spans="1:13">
      <c r="A156" s="1003">
        <v>5.2</v>
      </c>
      <c r="B156" s="1012">
        <v>0.91190000000000004</v>
      </c>
      <c r="C156" s="1012">
        <v>0.91190000000000004</v>
      </c>
      <c r="D156" s="1012">
        <v>0.81359999999999999</v>
      </c>
      <c r="E156" s="1012">
        <v>0.81359999999999999</v>
      </c>
      <c r="F156" s="1012">
        <v>0.81359999999999999</v>
      </c>
      <c r="G156" s="1012">
        <v>0.81359999999999999</v>
      </c>
      <c r="H156" s="1012">
        <v>0.81359999999999999</v>
      </c>
      <c r="I156" s="1012">
        <v>0.72889999999999999</v>
      </c>
      <c r="J156" s="1012">
        <v>0.72889999999999999</v>
      </c>
      <c r="K156" s="1012">
        <v>0.72889999999999999</v>
      </c>
      <c r="L156" s="1012">
        <v>0.72889999999999999</v>
      </c>
      <c r="M156" s="1012">
        <v>0.72889999999999999</v>
      </c>
    </row>
    <row r="157" spans="1:13">
      <c r="A157" s="1003">
        <v>5.3</v>
      </c>
      <c r="B157" s="1012">
        <v>0.90880000000000005</v>
      </c>
      <c r="C157" s="1012">
        <v>0.90880000000000005</v>
      </c>
      <c r="D157" s="1012">
        <v>0.8105</v>
      </c>
      <c r="E157" s="1012">
        <v>0.8105</v>
      </c>
      <c r="F157" s="1012">
        <v>0.8105</v>
      </c>
      <c r="G157" s="1012">
        <v>0.8105</v>
      </c>
      <c r="H157" s="1012">
        <v>0.8105</v>
      </c>
      <c r="I157" s="1012">
        <v>0.72529999999999994</v>
      </c>
      <c r="J157" s="1012">
        <v>0.72529999999999994</v>
      </c>
      <c r="K157" s="1012">
        <v>0.72529999999999994</v>
      </c>
      <c r="L157" s="1012">
        <v>0.72529999999999994</v>
      </c>
      <c r="M157" s="1012">
        <v>0.72529999999999994</v>
      </c>
    </row>
    <row r="158" spans="1:13">
      <c r="A158" s="1003">
        <v>5.4</v>
      </c>
      <c r="B158" s="1012">
        <v>0.90580000000000005</v>
      </c>
      <c r="C158" s="1012">
        <v>0.90580000000000005</v>
      </c>
      <c r="D158" s="1012">
        <v>0.8075</v>
      </c>
      <c r="E158" s="1012">
        <v>0.8075</v>
      </c>
      <c r="F158" s="1012">
        <v>0.8075</v>
      </c>
      <c r="G158" s="1012">
        <v>0.8075</v>
      </c>
      <c r="H158" s="1012">
        <v>0.8075</v>
      </c>
      <c r="I158" s="1012">
        <v>0.7218</v>
      </c>
      <c r="J158" s="1012">
        <v>0.7218</v>
      </c>
      <c r="K158" s="1012">
        <v>0.7218</v>
      </c>
      <c r="L158" s="1012">
        <v>0.7218</v>
      </c>
      <c r="M158" s="1012">
        <v>0.7218</v>
      </c>
    </row>
    <row r="159" spans="1:13">
      <c r="A159" s="1003">
        <v>5.5</v>
      </c>
      <c r="B159" s="1012">
        <v>0.90290000000000004</v>
      </c>
      <c r="C159" s="1012">
        <v>0.90290000000000004</v>
      </c>
      <c r="D159" s="1012">
        <v>0.80469999999999997</v>
      </c>
      <c r="E159" s="1012">
        <v>0.80469999999999997</v>
      </c>
      <c r="F159" s="1012">
        <v>0.80469999999999997</v>
      </c>
      <c r="G159" s="1012">
        <v>0.80469999999999997</v>
      </c>
      <c r="H159" s="1012">
        <v>0.80469999999999997</v>
      </c>
      <c r="I159" s="1012">
        <v>0.71840000000000004</v>
      </c>
      <c r="J159" s="1012">
        <v>0.71840000000000004</v>
      </c>
      <c r="K159" s="1012">
        <v>0.71840000000000004</v>
      </c>
      <c r="L159" s="1012">
        <v>0.71840000000000004</v>
      </c>
      <c r="M159" s="1012">
        <v>0.71840000000000004</v>
      </c>
    </row>
    <row r="160" spans="1:13">
      <c r="A160" s="1003">
        <v>5.6</v>
      </c>
      <c r="B160" s="1012">
        <v>0.90010000000000001</v>
      </c>
      <c r="C160" s="1012">
        <v>0.90010000000000001</v>
      </c>
      <c r="D160" s="1012">
        <v>0.80200000000000005</v>
      </c>
      <c r="E160" s="1012">
        <v>0.80200000000000005</v>
      </c>
      <c r="F160" s="1012">
        <v>0.80200000000000005</v>
      </c>
      <c r="G160" s="1012">
        <v>0.80200000000000005</v>
      </c>
      <c r="H160" s="1012">
        <v>0.80200000000000005</v>
      </c>
      <c r="I160" s="1012">
        <v>0.71509999999999996</v>
      </c>
      <c r="J160" s="1012">
        <v>0.71509999999999996</v>
      </c>
      <c r="K160" s="1012">
        <v>0.71509999999999996</v>
      </c>
      <c r="L160" s="1012">
        <v>0.71509999999999996</v>
      </c>
      <c r="M160" s="1012">
        <v>0.71509999999999996</v>
      </c>
    </row>
    <row r="161" spans="1:13">
      <c r="A161" s="1027">
        <v>5.7</v>
      </c>
      <c r="B161" s="1012">
        <v>0.89749999999999996</v>
      </c>
      <c r="C161" s="1012">
        <v>0.89749999999999996</v>
      </c>
      <c r="D161" s="1012">
        <v>0.79930000000000001</v>
      </c>
      <c r="E161" s="1012">
        <v>0.79930000000000001</v>
      </c>
      <c r="F161" s="1012">
        <v>0.79930000000000001</v>
      </c>
      <c r="G161" s="1012">
        <v>0.79930000000000001</v>
      </c>
      <c r="H161" s="1012">
        <v>0.79930000000000001</v>
      </c>
      <c r="I161" s="1012">
        <v>0.71189999999999998</v>
      </c>
      <c r="J161" s="1012">
        <v>0.71189999999999998</v>
      </c>
      <c r="K161" s="1012">
        <v>0.71189999999999998</v>
      </c>
      <c r="L161" s="1012">
        <v>0.71189999999999998</v>
      </c>
      <c r="M161" s="1012">
        <v>0.71189999999999998</v>
      </c>
    </row>
    <row r="162" spans="1:13">
      <c r="A162" s="1003">
        <v>5.8</v>
      </c>
      <c r="B162" s="1012">
        <v>0.89500000000000002</v>
      </c>
      <c r="C162" s="1012">
        <v>0.89500000000000002</v>
      </c>
      <c r="D162" s="1012">
        <v>0.79679999999999995</v>
      </c>
      <c r="E162" s="1012">
        <v>0.79679999999999995</v>
      </c>
      <c r="F162" s="1012">
        <v>0.79679999999999995</v>
      </c>
      <c r="G162" s="1012">
        <v>0.79679999999999995</v>
      </c>
      <c r="H162" s="1012">
        <v>0.79679999999999995</v>
      </c>
      <c r="I162" s="1012">
        <v>0.70879999999999999</v>
      </c>
      <c r="J162" s="1012">
        <v>0.70879999999999999</v>
      </c>
      <c r="K162" s="1012">
        <v>0.70879999999999999</v>
      </c>
      <c r="L162" s="1012">
        <v>0.70879999999999999</v>
      </c>
      <c r="M162" s="1012">
        <v>0.70879999999999999</v>
      </c>
    </row>
    <row r="163" spans="1:13">
      <c r="A163" s="1003">
        <v>5.9</v>
      </c>
      <c r="B163" s="1012">
        <v>0.89259999999999995</v>
      </c>
      <c r="C163" s="1012">
        <v>0.89259999999999995</v>
      </c>
      <c r="D163" s="1012">
        <v>0.7944</v>
      </c>
      <c r="E163" s="1012">
        <v>0.7944</v>
      </c>
      <c r="F163" s="1012">
        <v>0.7944</v>
      </c>
      <c r="G163" s="1012">
        <v>0.7944</v>
      </c>
      <c r="H163" s="1012">
        <v>0.7944</v>
      </c>
      <c r="I163" s="1012">
        <v>0.70579999999999998</v>
      </c>
      <c r="J163" s="1012">
        <v>0.70579999999999998</v>
      </c>
      <c r="K163" s="1012">
        <v>0.70579999999999998</v>
      </c>
      <c r="L163" s="1012">
        <v>0.70579999999999998</v>
      </c>
      <c r="M163" s="1012">
        <v>0.70579999999999998</v>
      </c>
    </row>
    <row r="164" spans="1:13">
      <c r="A164" s="1003">
        <v>6</v>
      </c>
      <c r="B164" s="1012">
        <v>0.89029999999999998</v>
      </c>
      <c r="C164" s="1012">
        <v>0.89029999999999998</v>
      </c>
      <c r="D164" s="1012">
        <v>0.79200000000000004</v>
      </c>
      <c r="E164" s="1012">
        <v>0.79200000000000004</v>
      </c>
      <c r="F164" s="1012">
        <v>0.79200000000000004</v>
      </c>
      <c r="G164" s="1012">
        <v>0.79200000000000004</v>
      </c>
      <c r="H164" s="1012">
        <v>0.79200000000000004</v>
      </c>
      <c r="I164" s="1012">
        <v>0.70289999999999997</v>
      </c>
      <c r="J164" s="1012">
        <v>0.70289999999999997</v>
      </c>
      <c r="K164" s="1012">
        <v>0.70289999999999997</v>
      </c>
      <c r="L164" s="1012">
        <v>0.70289999999999997</v>
      </c>
      <c r="M164" s="1012">
        <v>0.70289999999999997</v>
      </c>
    </row>
    <row r="165" spans="1:13">
      <c r="A165" s="1003">
        <v>6.1</v>
      </c>
      <c r="B165" s="1012">
        <v>0.8881</v>
      </c>
      <c r="C165" s="1012">
        <v>0.8881</v>
      </c>
      <c r="D165" s="1012">
        <v>0.78979999999999995</v>
      </c>
      <c r="E165" s="1012">
        <v>0.78979999999999995</v>
      </c>
      <c r="F165" s="1012">
        <v>0.78979999999999995</v>
      </c>
      <c r="G165" s="1012">
        <v>0.78979999999999995</v>
      </c>
      <c r="H165" s="1012">
        <v>0.78979999999999995</v>
      </c>
      <c r="I165" s="1012">
        <v>0.70009999999999994</v>
      </c>
      <c r="J165" s="1012">
        <v>0.70009999999999994</v>
      </c>
      <c r="K165" s="1012">
        <v>0.70009999999999994</v>
      </c>
      <c r="L165" s="1012">
        <v>0.70009999999999994</v>
      </c>
      <c r="M165" s="1012">
        <v>0.70009999999999994</v>
      </c>
    </row>
    <row r="166" spans="1:13">
      <c r="A166" s="1003">
        <v>6.2</v>
      </c>
      <c r="B166" s="1012">
        <v>0.88600000000000001</v>
      </c>
      <c r="C166" s="1012">
        <v>0.88600000000000001</v>
      </c>
      <c r="D166" s="1012">
        <v>0.78759999999999997</v>
      </c>
      <c r="E166" s="1012">
        <v>0.78759999999999997</v>
      </c>
      <c r="F166" s="1012">
        <v>0.78759999999999997</v>
      </c>
      <c r="G166" s="1012">
        <v>0.78759999999999997</v>
      </c>
      <c r="H166" s="1012">
        <v>0.78759999999999997</v>
      </c>
      <c r="I166" s="1012">
        <v>0.69740000000000002</v>
      </c>
      <c r="J166" s="1012">
        <v>0.69740000000000002</v>
      </c>
      <c r="K166" s="1012">
        <v>0.69740000000000002</v>
      </c>
      <c r="L166" s="1012">
        <v>0.69740000000000002</v>
      </c>
      <c r="M166" s="1012">
        <v>0.69740000000000002</v>
      </c>
    </row>
    <row r="167" spans="1:13">
      <c r="A167" s="1003">
        <v>6.3</v>
      </c>
      <c r="B167" s="1012">
        <v>0.88390000000000002</v>
      </c>
      <c r="C167" s="1012">
        <v>0.88390000000000002</v>
      </c>
      <c r="D167" s="1012">
        <v>0.78549999999999998</v>
      </c>
      <c r="E167" s="1012">
        <v>0.78549999999999998</v>
      </c>
      <c r="F167" s="1012">
        <v>0.78549999999999998</v>
      </c>
      <c r="G167" s="1012">
        <v>0.78549999999999998</v>
      </c>
      <c r="H167" s="1012">
        <v>0.78549999999999998</v>
      </c>
      <c r="I167" s="1012">
        <v>0.69479999999999997</v>
      </c>
      <c r="J167" s="1012">
        <v>0.69479999999999997</v>
      </c>
      <c r="K167" s="1012">
        <v>0.69479999999999997</v>
      </c>
      <c r="L167" s="1012">
        <v>0.69479999999999997</v>
      </c>
      <c r="M167" s="1012">
        <v>0.69479999999999997</v>
      </c>
    </row>
    <row r="168" spans="1:13">
      <c r="A168" s="1003">
        <v>6.4</v>
      </c>
      <c r="B168" s="1012">
        <v>0.88190000000000002</v>
      </c>
      <c r="C168" s="1012">
        <v>0.88190000000000002</v>
      </c>
      <c r="D168" s="1012">
        <v>0.78339999999999999</v>
      </c>
      <c r="E168" s="1012">
        <v>0.78339999999999999</v>
      </c>
      <c r="F168" s="1012">
        <v>0.78339999999999999</v>
      </c>
      <c r="G168" s="1012">
        <v>0.78339999999999999</v>
      </c>
      <c r="H168" s="1012">
        <v>0.78339999999999999</v>
      </c>
      <c r="I168" s="1012">
        <v>0.69230000000000003</v>
      </c>
      <c r="J168" s="1012">
        <v>0.69230000000000003</v>
      </c>
      <c r="K168" s="1012">
        <v>0.69230000000000003</v>
      </c>
      <c r="L168" s="1012">
        <v>0.69230000000000003</v>
      </c>
      <c r="M168" s="1012">
        <v>0.69230000000000003</v>
      </c>
    </row>
    <row r="169" spans="1:13">
      <c r="A169" s="1003">
        <v>6.5</v>
      </c>
      <c r="B169" s="1012">
        <v>0.88</v>
      </c>
      <c r="C169" s="1012">
        <v>0.88</v>
      </c>
      <c r="D169" s="1012">
        <v>0.78139999999999998</v>
      </c>
      <c r="E169" s="1012">
        <v>0.78139999999999998</v>
      </c>
      <c r="F169" s="1012">
        <v>0.78139999999999998</v>
      </c>
      <c r="G169" s="1012">
        <v>0.78139999999999998</v>
      </c>
      <c r="H169" s="1012">
        <v>0.78139999999999998</v>
      </c>
      <c r="I169" s="1012">
        <v>0.68989999999999996</v>
      </c>
      <c r="J169" s="1012">
        <v>0.68989999999999996</v>
      </c>
      <c r="K169" s="1012">
        <v>0.68989999999999996</v>
      </c>
      <c r="L169" s="1012">
        <v>0.68989999999999996</v>
      </c>
      <c r="M169" s="1012">
        <v>0.68989999999999996</v>
      </c>
    </row>
    <row r="170" spans="1:13">
      <c r="A170" s="1003">
        <v>6.6</v>
      </c>
      <c r="B170" s="1012">
        <v>0.87809999999999999</v>
      </c>
      <c r="C170" s="1012">
        <v>0.87809999999999999</v>
      </c>
      <c r="D170" s="1012">
        <v>0.77949999999999997</v>
      </c>
      <c r="E170" s="1012">
        <v>0.77949999999999997</v>
      </c>
      <c r="F170" s="1012">
        <v>0.77949999999999997</v>
      </c>
      <c r="G170" s="1012">
        <v>0.77949999999999997</v>
      </c>
      <c r="H170" s="1012">
        <v>0.77949999999999997</v>
      </c>
      <c r="I170" s="1012">
        <v>0.68759999999999999</v>
      </c>
      <c r="J170" s="1012">
        <v>0.68759999999999999</v>
      </c>
      <c r="K170" s="1012">
        <v>0.68759999999999999</v>
      </c>
      <c r="L170" s="1012">
        <v>0.68759999999999999</v>
      </c>
      <c r="M170" s="1012">
        <v>0.68759999999999999</v>
      </c>
    </row>
    <row r="171" spans="1:13">
      <c r="A171" s="1003">
        <v>6.7</v>
      </c>
      <c r="B171" s="1012">
        <v>0.87629999999999997</v>
      </c>
      <c r="C171" s="1012">
        <v>0.87629999999999997</v>
      </c>
      <c r="D171" s="1012">
        <v>0.77759999999999996</v>
      </c>
      <c r="E171" s="1012">
        <v>0.77759999999999996</v>
      </c>
      <c r="F171" s="1012">
        <v>0.77759999999999996</v>
      </c>
      <c r="G171" s="1012">
        <v>0.77759999999999996</v>
      </c>
      <c r="H171" s="1012">
        <v>0.77759999999999996</v>
      </c>
      <c r="I171" s="1012">
        <v>0.68530000000000002</v>
      </c>
      <c r="J171" s="1012">
        <v>0.68530000000000002</v>
      </c>
      <c r="K171" s="1012">
        <v>0.68530000000000002</v>
      </c>
      <c r="L171" s="1012">
        <v>0.68530000000000002</v>
      </c>
      <c r="M171" s="1012">
        <v>0.68530000000000002</v>
      </c>
    </row>
    <row r="172" spans="1:13">
      <c r="A172" s="1003">
        <v>6.8</v>
      </c>
      <c r="B172" s="1012">
        <v>0.87450000000000006</v>
      </c>
      <c r="C172" s="1012">
        <v>0.87450000000000006</v>
      </c>
      <c r="D172" s="1012">
        <v>0.77569999999999995</v>
      </c>
      <c r="E172" s="1012">
        <v>0.77569999999999995</v>
      </c>
      <c r="F172" s="1012">
        <v>0.77569999999999995</v>
      </c>
      <c r="G172" s="1012">
        <v>0.77569999999999995</v>
      </c>
      <c r="H172" s="1012">
        <v>0.77569999999999995</v>
      </c>
      <c r="I172" s="1012">
        <v>0.68310000000000004</v>
      </c>
      <c r="J172" s="1012">
        <v>0.68310000000000004</v>
      </c>
      <c r="K172" s="1012">
        <v>0.68310000000000004</v>
      </c>
      <c r="L172" s="1012">
        <v>0.68310000000000004</v>
      </c>
      <c r="M172" s="1012">
        <v>0.68310000000000004</v>
      </c>
    </row>
    <row r="173" spans="1:13">
      <c r="A173" s="1003">
        <v>6.9</v>
      </c>
      <c r="B173" s="1012">
        <v>0.87280000000000002</v>
      </c>
      <c r="C173" s="1012">
        <v>0.87280000000000002</v>
      </c>
      <c r="D173" s="1012">
        <v>0.77390000000000003</v>
      </c>
      <c r="E173" s="1012">
        <v>0.77390000000000003</v>
      </c>
      <c r="F173" s="1012">
        <v>0.77390000000000003</v>
      </c>
      <c r="G173" s="1012">
        <v>0.77390000000000003</v>
      </c>
      <c r="H173" s="1012">
        <v>0.77390000000000003</v>
      </c>
      <c r="I173" s="1012">
        <v>0.68089999999999995</v>
      </c>
      <c r="J173" s="1012">
        <v>0.68089999999999995</v>
      </c>
      <c r="K173" s="1012">
        <v>0.68089999999999995</v>
      </c>
      <c r="L173" s="1012">
        <v>0.68089999999999995</v>
      </c>
      <c r="M173" s="1012">
        <v>0.68089999999999995</v>
      </c>
    </row>
    <row r="174" spans="1:13">
      <c r="A174" s="1003">
        <v>7</v>
      </c>
      <c r="B174" s="1012">
        <v>0.87109999999999999</v>
      </c>
      <c r="C174" s="1012">
        <v>0.87109999999999999</v>
      </c>
      <c r="D174" s="1012">
        <v>0.77210000000000001</v>
      </c>
      <c r="E174" s="1012">
        <v>0.77210000000000001</v>
      </c>
      <c r="F174" s="1012">
        <v>0.77210000000000001</v>
      </c>
      <c r="G174" s="1012">
        <v>0.77210000000000001</v>
      </c>
      <c r="H174" s="1012">
        <v>0.77210000000000001</v>
      </c>
      <c r="I174" s="1012">
        <v>0.67879999999999996</v>
      </c>
      <c r="J174" s="1012">
        <v>0.67879999999999996</v>
      </c>
      <c r="K174" s="1012">
        <v>0.67879999999999996</v>
      </c>
      <c r="L174" s="1012">
        <v>0.67879999999999996</v>
      </c>
      <c r="M174" s="1012">
        <v>0.67879999999999996</v>
      </c>
    </row>
    <row r="175" spans="1:13">
      <c r="A175" s="1003">
        <v>7.1</v>
      </c>
      <c r="B175" s="1012">
        <v>0.86939999999999995</v>
      </c>
      <c r="C175" s="1012">
        <v>0.86939999999999995</v>
      </c>
      <c r="D175" s="1012">
        <v>0.77039999999999997</v>
      </c>
      <c r="E175" s="1012">
        <v>0.77039999999999997</v>
      </c>
      <c r="F175" s="1012">
        <v>0.77039999999999997</v>
      </c>
      <c r="G175" s="1012">
        <v>0.77039999999999997</v>
      </c>
      <c r="H175" s="1012">
        <v>0.77039999999999997</v>
      </c>
      <c r="I175" s="1012">
        <v>0.67669999999999997</v>
      </c>
      <c r="J175" s="1012">
        <v>0.67669999999999997</v>
      </c>
      <c r="K175" s="1012">
        <v>0.67669999999999997</v>
      </c>
      <c r="L175" s="1012">
        <v>0.67669999999999997</v>
      </c>
      <c r="M175" s="1012">
        <v>0.67669999999999997</v>
      </c>
    </row>
    <row r="176" spans="1:13">
      <c r="A176" s="1003">
        <v>7.2</v>
      </c>
      <c r="B176" s="1012">
        <v>0.86770000000000003</v>
      </c>
      <c r="C176" s="1012">
        <v>0.86770000000000003</v>
      </c>
      <c r="D176" s="1012">
        <v>0.76870000000000005</v>
      </c>
      <c r="E176" s="1012">
        <v>0.76870000000000005</v>
      </c>
      <c r="F176" s="1012">
        <v>0.76870000000000005</v>
      </c>
      <c r="G176" s="1012">
        <v>0.76870000000000005</v>
      </c>
      <c r="H176" s="1012">
        <v>0.76870000000000005</v>
      </c>
      <c r="I176" s="1012">
        <v>0.67469999999999997</v>
      </c>
      <c r="J176" s="1012">
        <v>0.67469999999999997</v>
      </c>
      <c r="K176" s="1012">
        <v>0.67469999999999997</v>
      </c>
      <c r="L176" s="1012">
        <v>0.67469999999999997</v>
      </c>
      <c r="M176" s="1012">
        <v>0.67469999999999997</v>
      </c>
    </row>
    <row r="177" spans="1:13">
      <c r="A177" s="1003">
        <v>7.3</v>
      </c>
      <c r="B177" s="1012">
        <v>0.86609999999999998</v>
      </c>
      <c r="C177" s="1012">
        <v>0.86609999999999998</v>
      </c>
      <c r="D177" s="1012">
        <v>0.76700000000000002</v>
      </c>
      <c r="E177" s="1012">
        <v>0.76700000000000002</v>
      </c>
      <c r="F177" s="1012">
        <v>0.76700000000000002</v>
      </c>
      <c r="G177" s="1012">
        <v>0.76700000000000002</v>
      </c>
      <c r="H177" s="1012">
        <v>0.76700000000000002</v>
      </c>
      <c r="I177" s="1012">
        <v>0.67269999999999996</v>
      </c>
      <c r="J177" s="1012">
        <v>0.67269999999999996</v>
      </c>
      <c r="K177" s="1012">
        <v>0.67269999999999996</v>
      </c>
      <c r="L177" s="1012">
        <v>0.67269999999999996</v>
      </c>
      <c r="M177" s="1012">
        <v>0.67269999999999996</v>
      </c>
    </row>
    <row r="178" spans="1:13">
      <c r="A178" s="1003">
        <v>7.4</v>
      </c>
      <c r="B178" s="1012">
        <v>0.86450000000000005</v>
      </c>
      <c r="C178" s="1012">
        <v>0.86450000000000005</v>
      </c>
      <c r="D178" s="1012">
        <v>0.76529999999999998</v>
      </c>
      <c r="E178" s="1012">
        <v>0.76529999999999998</v>
      </c>
      <c r="F178" s="1012">
        <v>0.76529999999999998</v>
      </c>
      <c r="G178" s="1012">
        <v>0.76529999999999998</v>
      </c>
      <c r="H178" s="1012">
        <v>0.76529999999999998</v>
      </c>
      <c r="I178" s="1012">
        <v>0.67079999999999995</v>
      </c>
      <c r="J178" s="1012">
        <v>0.67079999999999995</v>
      </c>
      <c r="K178" s="1012">
        <v>0.67079999999999995</v>
      </c>
      <c r="L178" s="1012">
        <v>0.67079999999999995</v>
      </c>
      <c r="M178" s="1012">
        <v>0.67079999999999995</v>
      </c>
    </row>
    <row r="179" spans="1:13">
      <c r="A179" s="1003">
        <v>7.5</v>
      </c>
      <c r="B179" s="1012">
        <v>0.86299999999999999</v>
      </c>
      <c r="C179" s="1012">
        <v>0.86299999999999999</v>
      </c>
      <c r="D179" s="1012">
        <v>0.76359999999999995</v>
      </c>
      <c r="E179" s="1012">
        <v>0.76359999999999995</v>
      </c>
      <c r="F179" s="1012">
        <v>0.76359999999999995</v>
      </c>
      <c r="G179" s="1012">
        <v>0.76359999999999995</v>
      </c>
      <c r="H179" s="1012">
        <v>0.76359999999999995</v>
      </c>
      <c r="I179" s="1012">
        <v>0.66890000000000005</v>
      </c>
      <c r="J179" s="1012">
        <v>0.66890000000000005</v>
      </c>
      <c r="K179" s="1012">
        <v>0.66890000000000005</v>
      </c>
      <c r="L179" s="1012">
        <v>0.66890000000000005</v>
      </c>
      <c r="M179" s="1012">
        <v>0.66890000000000005</v>
      </c>
    </row>
    <row r="180" spans="1:13">
      <c r="A180" s="1003">
        <v>7.6</v>
      </c>
      <c r="B180" s="1012">
        <v>0.86150000000000004</v>
      </c>
      <c r="C180" s="1012">
        <v>0.86150000000000004</v>
      </c>
      <c r="D180" s="1012">
        <v>0.76200000000000001</v>
      </c>
      <c r="E180" s="1012">
        <v>0.76200000000000001</v>
      </c>
      <c r="F180" s="1012">
        <v>0.76200000000000001</v>
      </c>
      <c r="G180" s="1012">
        <v>0.76200000000000001</v>
      </c>
      <c r="H180" s="1012">
        <v>0.76200000000000001</v>
      </c>
      <c r="I180" s="1012">
        <v>0.66700000000000004</v>
      </c>
      <c r="J180" s="1012">
        <v>0.66700000000000004</v>
      </c>
      <c r="K180" s="1012">
        <v>0.66700000000000004</v>
      </c>
      <c r="L180" s="1012">
        <v>0.66700000000000004</v>
      </c>
      <c r="M180" s="1012">
        <v>0.66700000000000004</v>
      </c>
    </row>
    <row r="181" spans="1:13">
      <c r="A181" s="1003">
        <v>7.7</v>
      </c>
      <c r="B181" s="1012">
        <v>0.86</v>
      </c>
      <c r="C181" s="1012">
        <v>0.86</v>
      </c>
      <c r="D181" s="1012">
        <v>0.76039999999999996</v>
      </c>
      <c r="E181" s="1012">
        <v>0.76039999999999996</v>
      </c>
      <c r="F181" s="1012">
        <v>0.76039999999999996</v>
      </c>
      <c r="G181" s="1012">
        <v>0.76039999999999996</v>
      </c>
      <c r="H181" s="1012">
        <v>0.76039999999999996</v>
      </c>
      <c r="I181" s="1012">
        <v>0.66510000000000002</v>
      </c>
      <c r="J181" s="1012">
        <v>0.66510000000000002</v>
      </c>
      <c r="K181" s="1012">
        <v>0.66510000000000002</v>
      </c>
      <c r="L181" s="1012">
        <v>0.66510000000000002</v>
      </c>
      <c r="M181" s="1012">
        <v>0.66510000000000002</v>
      </c>
    </row>
    <row r="182" spans="1:13">
      <c r="A182" s="1003">
        <v>7.8</v>
      </c>
      <c r="B182" s="1012">
        <v>0.85850000000000004</v>
      </c>
      <c r="C182" s="1012">
        <v>0.85850000000000004</v>
      </c>
      <c r="D182" s="1012">
        <v>0.75880000000000003</v>
      </c>
      <c r="E182" s="1012">
        <v>0.75880000000000003</v>
      </c>
      <c r="F182" s="1012">
        <v>0.75880000000000003</v>
      </c>
      <c r="G182" s="1012">
        <v>0.75880000000000003</v>
      </c>
      <c r="H182" s="1012">
        <v>0.75880000000000003</v>
      </c>
      <c r="I182" s="1012">
        <v>0.6633</v>
      </c>
      <c r="J182" s="1012">
        <v>0.6633</v>
      </c>
      <c r="K182" s="1012">
        <v>0.6633</v>
      </c>
      <c r="L182" s="1012">
        <v>0.6633</v>
      </c>
      <c r="M182" s="1012">
        <v>0.6633</v>
      </c>
    </row>
    <row r="183" spans="1:13">
      <c r="A183" s="1003">
        <v>7.9</v>
      </c>
      <c r="B183" s="1012">
        <v>0.85699999999999998</v>
      </c>
      <c r="C183" s="1012">
        <v>0.85699999999999998</v>
      </c>
      <c r="D183" s="1012">
        <v>0.75719999999999998</v>
      </c>
      <c r="E183" s="1012">
        <v>0.75719999999999998</v>
      </c>
      <c r="F183" s="1012">
        <v>0.75719999999999998</v>
      </c>
      <c r="G183" s="1012">
        <v>0.75719999999999998</v>
      </c>
      <c r="H183" s="1012">
        <v>0.75719999999999998</v>
      </c>
      <c r="I183" s="1012">
        <v>0.66149999999999998</v>
      </c>
      <c r="J183" s="1012">
        <v>0.66149999999999998</v>
      </c>
      <c r="K183" s="1012">
        <v>0.66149999999999998</v>
      </c>
      <c r="L183" s="1012">
        <v>0.66149999999999998</v>
      </c>
      <c r="M183" s="1012">
        <v>0.66149999999999998</v>
      </c>
    </row>
    <row r="184" spans="1:13">
      <c r="A184" s="1003">
        <v>8</v>
      </c>
      <c r="B184" s="1012">
        <v>0.85550000000000004</v>
      </c>
      <c r="C184" s="1012">
        <v>0.85550000000000004</v>
      </c>
      <c r="D184" s="1012">
        <v>0.75570000000000004</v>
      </c>
      <c r="E184" s="1012">
        <v>0.75570000000000004</v>
      </c>
      <c r="F184" s="1012">
        <v>0.75570000000000004</v>
      </c>
      <c r="G184" s="1012">
        <v>0.75570000000000004</v>
      </c>
      <c r="H184" s="1012">
        <v>0.75570000000000004</v>
      </c>
      <c r="I184" s="1012">
        <v>0.65969999999999995</v>
      </c>
      <c r="J184" s="1012">
        <v>0.65969999999999995</v>
      </c>
      <c r="K184" s="1012">
        <v>0.65969999999999995</v>
      </c>
      <c r="L184" s="1012">
        <v>0.65969999999999995</v>
      </c>
      <c r="M184" s="1012">
        <v>0.65969999999999995</v>
      </c>
    </row>
    <row r="185" spans="1:13">
      <c r="A185" s="1003">
        <v>8.1</v>
      </c>
      <c r="B185" s="1012">
        <v>0.85399999999999998</v>
      </c>
      <c r="C185" s="1012">
        <v>0.85399999999999998</v>
      </c>
      <c r="D185" s="1012">
        <v>0.75419999999999998</v>
      </c>
      <c r="E185" s="1012">
        <v>0.75419999999999998</v>
      </c>
      <c r="F185" s="1012">
        <v>0.75419999999999998</v>
      </c>
      <c r="G185" s="1012">
        <v>0.75419999999999998</v>
      </c>
      <c r="H185" s="1012">
        <v>0.75419999999999998</v>
      </c>
      <c r="I185" s="1012">
        <v>0.65800000000000003</v>
      </c>
      <c r="J185" s="1012">
        <v>0.65800000000000003</v>
      </c>
      <c r="K185" s="1012">
        <v>0.65800000000000003</v>
      </c>
      <c r="L185" s="1012">
        <v>0.65800000000000003</v>
      </c>
      <c r="M185" s="1012">
        <v>0.65800000000000003</v>
      </c>
    </row>
    <row r="186" spans="1:13">
      <c r="A186" s="1003">
        <v>8.1999999999999993</v>
      </c>
      <c r="B186" s="1012">
        <v>0.85250000000000004</v>
      </c>
      <c r="C186" s="1012">
        <v>0.85250000000000004</v>
      </c>
      <c r="D186" s="1012">
        <v>0.75270000000000004</v>
      </c>
      <c r="E186" s="1012">
        <v>0.75270000000000004</v>
      </c>
      <c r="F186" s="1012">
        <v>0.75270000000000004</v>
      </c>
      <c r="G186" s="1012">
        <v>0.75270000000000004</v>
      </c>
      <c r="H186" s="1012">
        <v>0.75270000000000004</v>
      </c>
      <c r="I186" s="1012">
        <v>0.65629999999999999</v>
      </c>
      <c r="J186" s="1012">
        <v>0.65629999999999999</v>
      </c>
      <c r="K186" s="1012">
        <v>0.65629999999999999</v>
      </c>
      <c r="L186" s="1012">
        <v>0.65629999999999999</v>
      </c>
      <c r="M186" s="1012">
        <v>0.65629999999999999</v>
      </c>
    </row>
    <row r="187" spans="1:13">
      <c r="A187" s="1003">
        <v>8.3000000000000007</v>
      </c>
      <c r="B187" s="1012">
        <v>0.85109999999999997</v>
      </c>
      <c r="C187" s="1012">
        <v>0.85109999999999997</v>
      </c>
      <c r="D187" s="1012">
        <v>0.75119999999999998</v>
      </c>
      <c r="E187" s="1012">
        <v>0.75119999999999998</v>
      </c>
      <c r="F187" s="1012">
        <v>0.75119999999999998</v>
      </c>
      <c r="G187" s="1012">
        <v>0.75119999999999998</v>
      </c>
      <c r="H187" s="1012">
        <v>0.75119999999999998</v>
      </c>
      <c r="I187" s="1012">
        <v>0.65459999999999996</v>
      </c>
      <c r="J187" s="1012">
        <v>0.65459999999999996</v>
      </c>
      <c r="K187" s="1012">
        <v>0.65459999999999996</v>
      </c>
      <c r="L187" s="1012">
        <v>0.65459999999999996</v>
      </c>
      <c r="M187" s="1012">
        <v>0.65459999999999996</v>
      </c>
    </row>
    <row r="188" spans="1:13">
      <c r="A188" s="1003">
        <v>8.4</v>
      </c>
      <c r="B188" s="1012">
        <v>0.84970000000000001</v>
      </c>
      <c r="C188" s="1012">
        <v>0.84970000000000001</v>
      </c>
      <c r="D188" s="1012">
        <v>0.74970000000000003</v>
      </c>
      <c r="E188" s="1012">
        <v>0.74970000000000003</v>
      </c>
      <c r="F188" s="1012">
        <v>0.74970000000000003</v>
      </c>
      <c r="G188" s="1012">
        <v>0.74970000000000003</v>
      </c>
      <c r="H188" s="1012">
        <v>0.74970000000000003</v>
      </c>
      <c r="I188" s="1012">
        <v>0.65300000000000002</v>
      </c>
      <c r="J188" s="1012">
        <v>0.65300000000000002</v>
      </c>
      <c r="K188" s="1012">
        <v>0.65300000000000002</v>
      </c>
      <c r="L188" s="1012">
        <v>0.65300000000000002</v>
      </c>
      <c r="M188" s="1012">
        <v>0.65300000000000002</v>
      </c>
    </row>
    <row r="189" spans="1:13">
      <c r="A189" s="1003">
        <v>8.5</v>
      </c>
      <c r="B189" s="1012">
        <v>0.84830000000000005</v>
      </c>
      <c r="C189" s="1012">
        <v>0.84830000000000005</v>
      </c>
      <c r="D189" s="1012">
        <v>0.74819999999999998</v>
      </c>
      <c r="E189" s="1012">
        <v>0.74819999999999998</v>
      </c>
      <c r="F189" s="1012">
        <v>0.74819999999999998</v>
      </c>
      <c r="G189" s="1012">
        <v>0.74819999999999998</v>
      </c>
      <c r="H189" s="1012">
        <v>0.74819999999999998</v>
      </c>
      <c r="I189" s="1012">
        <v>0.65139999999999998</v>
      </c>
      <c r="J189" s="1012">
        <v>0.65139999999999998</v>
      </c>
      <c r="K189" s="1012">
        <v>0.65139999999999998</v>
      </c>
      <c r="L189" s="1012">
        <v>0.65139999999999998</v>
      </c>
      <c r="M189" s="1012">
        <v>0.65139999999999998</v>
      </c>
    </row>
    <row r="190" spans="1:13">
      <c r="A190" s="1003">
        <v>8.6</v>
      </c>
      <c r="B190" s="1012">
        <v>0.84689999999999999</v>
      </c>
      <c r="C190" s="1012">
        <v>0.84689999999999999</v>
      </c>
      <c r="D190" s="1012">
        <v>0.74670000000000003</v>
      </c>
      <c r="E190" s="1012">
        <v>0.74670000000000003</v>
      </c>
      <c r="F190" s="1012">
        <v>0.74670000000000003</v>
      </c>
      <c r="G190" s="1012">
        <v>0.74670000000000003</v>
      </c>
      <c r="H190" s="1012">
        <v>0.74670000000000003</v>
      </c>
      <c r="I190" s="1012">
        <v>0.64980000000000004</v>
      </c>
      <c r="J190" s="1012">
        <v>0.64980000000000004</v>
      </c>
      <c r="K190" s="1012">
        <v>0.64980000000000004</v>
      </c>
      <c r="L190" s="1012">
        <v>0.64980000000000004</v>
      </c>
      <c r="M190" s="1012">
        <v>0.64980000000000004</v>
      </c>
    </row>
    <row r="191" spans="1:13">
      <c r="A191" s="1003">
        <v>8.6999999999999993</v>
      </c>
      <c r="B191" s="1012">
        <v>0.84550000000000003</v>
      </c>
      <c r="C191" s="1012">
        <v>0.84550000000000003</v>
      </c>
      <c r="D191" s="1012">
        <v>0.74519999999999997</v>
      </c>
      <c r="E191" s="1012">
        <v>0.74519999999999997</v>
      </c>
      <c r="F191" s="1012">
        <v>0.74519999999999997</v>
      </c>
      <c r="G191" s="1012">
        <v>0.74519999999999997</v>
      </c>
      <c r="H191" s="1012">
        <v>0.74519999999999997</v>
      </c>
      <c r="I191" s="1012">
        <v>0.6482</v>
      </c>
      <c r="J191" s="1012">
        <v>0.6482</v>
      </c>
      <c r="K191" s="1012">
        <v>0.6482</v>
      </c>
      <c r="L191" s="1012">
        <v>0.6482</v>
      </c>
      <c r="M191" s="1012">
        <v>0.6482</v>
      </c>
    </row>
    <row r="192" spans="1:13">
      <c r="A192" s="1003">
        <v>8.8000000000000007</v>
      </c>
      <c r="B192" s="1012">
        <v>0.84409999999999996</v>
      </c>
      <c r="C192" s="1012">
        <v>0.84409999999999996</v>
      </c>
      <c r="D192" s="1012">
        <v>0.74370000000000003</v>
      </c>
      <c r="E192" s="1012">
        <v>0.74370000000000003</v>
      </c>
      <c r="F192" s="1012">
        <v>0.74370000000000003</v>
      </c>
      <c r="G192" s="1012">
        <v>0.74370000000000003</v>
      </c>
      <c r="H192" s="1012">
        <v>0.74370000000000003</v>
      </c>
      <c r="I192" s="1012">
        <v>0.64659999999999995</v>
      </c>
      <c r="J192" s="1012">
        <v>0.64659999999999995</v>
      </c>
      <c r="K192" s="1012">
        <v>0.64659999999999995</v>
      </c>
      <c r="L192" s="1012">
        <v>0.64659999999999995</v>
      </c>
      <c r="M192" s="1012">
        <v>0.64659999999999995</v>
      </c>
    </row>
    <row r="193" spans="1:13">
      <c r="A193" s="1003">
        <v>8.9</v>
      </c>
      <c r="B193" s="1012">
        <v>0.84279999999999999</v>
      </c>
      <c r="C193" s="1012">
        <v>0.84279999999999999</v>
      </c>
      <c r="D193" s="1012">
        <v>0.74219999999999997</v>
      </c>
      <c r="E193" s="1012">
        <v>0.74219999999999997</v>
      </c>
      <c r="F193" s="1012">
        <v>0.74219999999999997</v>
      </c>
      <c r="G193" s="1012">
        <v>0.74219999999999997</v>
      </c>
      <c r="H193" s="1012">
        <v>0.74219999999999997</v>
      </c>
      <c r="I193" s="1012">
        <v>0.64500000000000002</v>
      </c>
      <c r="J193" s="1012">
        <v>0.64500000000000002</v>
      </c>
      <c r="K193" s="1012">
        <v>0.64500000000000002</v>
      </c>
      <c r="L193" s="1012">
        <v>0.64500000000000002</v>
      </c>
      <c r="M193" s="1012">
        <v>0.64500000000000002</v>
      </c>
    </row>
    <row r="194" spans="1:13">
      <c r="A194" s="1027">
        <v>9</v>
      </c>
      <c r="B194" s="1012">
        <v>0.84150000000000003</v>
      </c>
      <c r="C194" s="1012">
        <v>0.84150000000000003</v>
      </c>
      <c r="D194" s="1012">
        <v>0.74070000000000003</v>
      </c>
      <c r="E194" s="1012">
        <v>0.74070000000000003</v>
      </c>
      <c r="F194" s="1012">
        <v>0.74070000000000003</v>
      </c>
      <c r="G194" s="1012">
        <v>0.74070000000000003</v>
      </c>
      <c r="H194" s="1012">
        <v>0.74070000000000003</v>
      </c>
      <c r="I194" s="1012">
        <v>0.64349999999999996</v>
      </c>
      <c r="J194" s="1012">
        <v>0.64349999999999996</v>
      </c>
      <c r="K194" s="1012">
        <v>0.64349999999999996</v>
      </c>
      <c r="L194" s="1012">
        <v>0.64349999999999996</v>
      </c>
      <c r="M194" s="1012">
        <v>0.64349999999999996</v>
      </c>
    </row>
    <row r="195" spans="1:13">
      <c r="A195" s="1027">
        <v>9.1</v>
      </c>
      <c r="B195" s="1012">
        <v>0.84019999999999995</v>
      </c>
      <c r="C195" s="1012">
        <v>0.84019999999999995</v>
      </c>
      <c r="D195" s="1012">
        <v>0.73919999999999997</v>
      </c>
      <c r="E195" s="1012">
        <v>0.73919999999999997</v>
      </c>
      <c r="F195" s="1012">
        <v>0.73919999999999997</v>
      </c>
      <c r="G195" s="1012">
        <v>0.73919999999999997</v>
      </c>
      <c r="H195" s="1012">
        <v>0.73919999999999997</v>
      </c>
      <c r="I195" s="1012">
        <v>0.64200000000000002</v>
      </c>
      <c r="J195" s="1012">
        <v>0.64200000000000002</v>
      </c>
      <c r="K195" s="1012">
        <v>0.64200000000000002</v>
      </c>
      <c r="L195" s="1012">
        <v>0.64200000000000002</v>
      </c>
      <c r="M195" s="1012">
        <v>0.64200000000000002</v>
      </c>
    </row>
    <row r="196" spans="1:13">
      <c r="A196" s="1027">
        <v>9.1999999999999993</v>
      </c>
      <c r="B196" s="1012">
        <v>0.83889999999999998</v>
      </c>
      <c r="C196" s="1012">
        <v>0.83889999999999998</v>
      </c>
      <c r="D196" s="1012">
        <v>0.73770000000000002</v>
      </c>
      <c r="E196" s="1012">
        <v>0.73770000000000002</v>
      </c>
      <c r="F196" s="1012">
        <v>0.73770000000000002</v>
      </c>
      <c r="G196" s="1012">
        <v>0.73770000000000002</v>
      </c>
      <c r="H196" s="1012">
        <v>0.73770000000000002</v>
      </c>
      <c r="I196" s="1012">
        <v>0.64059999999999995</v>
      </c>
      <c r="J196" s="1012">
        <v>0.64059999999999995</v>
      </c>
      <c r="K196" s="1012">
        <v>0.64059999999999995</v>
      </c>
      <c r="L196" s="1012">
        <v>0.64059999999999995</v>
      </c>
      <c r="M196" s="1012">
        <v>0.64059999999999995</v>
      </c>
    </row>
    <row r="197" spans="1:13">
      <c r="A197" s="1027">
        <v>9.3000000000000007</v>
      </c>
      <c r="B197" s="1012">
        <v>0.83760000000000001</v>
      </c>
      <c r="C197" s="1012">
        <v>0.83760000000000001</v>
      </c>
      <c r="D197" s="1012">
        <v>0.73629999999999995</v>
      </c>
      <c r="E197" s="1012">
        <v>0.73629999999999995</v>
      </c>
      <c r="F197" s="1012">
        <v>0.73629999999999995</v>
      </c>
      <c r="G197" s="1012">
        <v>0.73629999999999995</v>
      </c>
      <c r="H197" s="1012">
        <v>0.73629999999999995</v>
      </c>
      <c r="I197" s="1012">
        <v>0.63919999999999999</v>
      </c>
      <c r="J197" s="1012">
        <v>0.63919999999999999</v>
      </c>
      <c r="K197" s="1012">
        <v>0.63919999999999999</v>
      </c>
      <c r="L197" s="1012">
        <v>0.63919999999999999</v>
      </c>
      <c r="M197" s="1012">
        <v>0.63919999999999999</v>
      </c>
    </row>
    <row r="198" spans="1:13">
      <c r="A198" s="1027">
        <v>9.4</v>
      </c>
      <c r="B198" s="1012">
        <v>0.83630000000000004</v>
      </c>
      <c r="C198" s="1012">
        <v>0.83630000000000004</v>
      </c>
      <c r="D198" s="1012">
        <v>0.7349</v>
      </c>
      <c r="E198" s="1012">
        <v>0.7349</v>
      </c>
      <c r="F198" s="1012">
        <v>0.7349</v>
      </c>
      <c r="G198" s="1012">
        <v>0.7349</v>
      </c>
      <c r="H198" s="1012">
        <v>0.7349</v>
      </c>
      <c r="I198" s="1012">
        <v>0.63780000000000003</v>
      </c>
      <c r="J198" s="1012">
        <v>0.63780000000000003</v>
      </c>
      <c r="K198" s="1012">
        <v>0.63780000000000003</v>
      </c>
      <c r="L198" s="1012">
        <v>0.63780000000000003</v>
      </c>
      <c r="M198" s="1012">
        <v>0.63780000000000003</v>
      </c>
    </row>
    <row r="199" spans="1:13">
      <c r="A199" s="1027">
        <v>9.5</v>
      </c>
      <c r="B199" s="1012">
        <v>0.83499999999999996</v>
      </c>
      <c r="C199" s="1012">
        <v>0.83499999999999996</v>
      </c>
      <c r="D199" s="1012">
        <v>0.73350000000000004</v>
      </c>
      <c r="E199" s="1012">
        <v>0.73350000000000004</v>
      </c>
      <c r="F199" s="1012">
        <v>0.73350000000000004</v>
      </c>
      <c r="G199" s="1012">
        <v>0.73350000000000004</v>
      </c>
      <c r="H199" s="1012">
        <v>0.73350000000000004</v>
      </c>
      <c r="I199" s="1012">
        <v>0.63639999999999997</v>
      </c>
      <c r="J199" s="1012">
        <v>0.63639999999999997</v>
      </c>
      <c r="K199" s="1012">
        <v>0.63639999999999997</v>
      </c>
      <c r="L199" s="1012">
        <v>0.63639999999999997</v>
      </c>
      <c r="M199" s="1012">
        <v>0.63639999999999997</v>
      </c>
    </row>
    <row r="200" spans="1:13">
      <c r="A200" s="1027">
        <v>9.6</v>
      </c>
      <c r="B200" s="1012">
        <v>0.83379999999999999</v>
      </c>
      <c r="C200" s="1012">
        <v>0.83379999999999999</v>
      </c>
      <c r="D200" s="1012">
        <v>0.73209999999999997</v>
      </c>
      <c r="E200" s="1012">
        <v>0.73209999999999997</v>
      </c>
      <c r="F200" s="1012">
        <v>0.73209999999999997</v>
      </c>
      <c r="G200" s="1012">
        <v>0.73209999999999997</v>
      </c>
      <c r="H200" s="1012">
        <v>0.73209999999999997</v>
      </c>
      <c r="I200" s="1012">
        <v>0.63500000000000001</v>
      </c>
      <c r="J200" s="1012">
        <v>0.63500000000000001</v>
      </c>
      <c r="K200" s="1012">
        <v>0.63500000000000001</v>
      </c>
      <c r="L200" s="1012">
        <v>0.63500000000000001</v>
      </c>
      <c r="M200" s="1012">
        <v>0.63500000000000001</v>
      </c>
    </row>
    <row r="201" spans="1:13">
      <c r="A201" s="1027">
        <v>9.6999999999999993</v>
      </c>
      <c r="B201" s="1012">
        <v>0.83260000000000001</v>
      </c>
      <c r="C201" s="1012">
        <v>0.83260000000000001</v>
      </c>
      <c r="D201" s="1012">
        <v>0.73070000000000002</v>
      </c>
      <c r="E201" s="1012">
        <v>0.73070000000000002</v>
      </c>
      <c r="F201" s="1012">
        <v>0.73070000000000002</v>
      </c>
      <c r="G201" s="1012">
        <v>0.73070000000000002</v>
      </c>
      <c r="H201" s="1012">
        <v>0.73070000000000002</v>
      </c>
      <c r="I201" s="1012">
        <v>0.63360000000000005</v>
      </c>
      <c r="J201" s="1012">
        <v>0.63360000000000005</v>
      </c>
      <c r="K201" s="1012">
        <v>0.63360000000000005</v>
      </c>
      <c r="L201" s="1012">
        <v>0.63360000000000005</v>
      </c>
      <c r="M201" s="1012">
        <v>0.63360000000000005</v>
      </c>
    </row>
    <row r="202" spans="1:13">
      <c r="A202" s="1027">
        <v>9.8000000000000007</v>
      </c>
      <c r="B202" s="1012">
        <v>0.83140000000000003</v>
      </c>
      <c r="C202" s="1012">
        <v>0.83140000000000003</v>
      </c>
      <c r="D202" s="1012">
        <v>0.72929999999999995</v>
      </c>
      <c r="E202" s="1012">
        <v>0.72929999999999995</v>
      </c>
      <c r="F202" s="1012">
        <v>0.72929999999999995</v>
      </c>
      <c r="G202" s="1012">
        <v>0.72929999999999995</v>
      </c>
      <c r="H202" s="1012">
        <v>0.72929999999999995</v>
      </c>
      <c r="I202" s="1012">
        <v>0.63219999999999998</v>
      </c>
      <c r="J202" s="1012">
        <v>0.63219999999999998</v>
      </c>
      <c r="K202" s="1012">
        <v>0.63219999999999998</v>
      </c>
      <c r="L202" s="1012">
        <v>0.63219999999999998</v>
      </c>
      <c r="M202" s="1012">
        <v>0.63219999999999998</v>
      </c>
    </row>
    <row r="203" spans="1:13">
      <c r="A203" s="1027">
        <v>9.9</v>
      </c>
      <c r="B203" s="1012">
        <v>0.83020000000000005</v>
      </c>
      <c r="C203" s="1012">
        <v>0.83020000000000005</v>
      </c>
      <c r="D203" s="1012">
        <v>0.72799999999999998</v>
      </c>
      <c r="E203" s="1012">
        <v>0.72799999999999998</v>
      </c>
      <c r="F203" s="1012">
        <v>0.72799999999999998</v>
      </c>
      <c r="G203" s="1012">
        <v>0.72799999999999998</v>
      </c>
      <c r="H203" s="1012">
        <v>0.72799999999999998</v>
      </c>
      <c r="I203" s="1012">
        <v>0.63080000000000003</v>
      </c>
      <c r="J203" s="1012">
        <v>0.63080000000000003</v>
      </c>
      <c r="K203" s="1012">
        <v>0.63080000000000003</v>
      </c>
      <c r="L203" s="1012">
        <v>0.63080000000000003</v>
      </c>
      <c r="M203" s="1012">
        <v>0.63080000000000003</v>
      </c>
    </row>
    <row r="204" spans="1:13">
      <c r="A204" s="1027">
        <v>10</v>
      </c>
      <c r="B204" s="1012">
        <v>0.82899999999999996</v>
      </c>
      <c r="C204" s="1012">
        <v>0.82899999999999996</v>
      </c>
      <c r="D204" s="1012">
        <v>0.72670000000000001</v>
      </c>
      <c r="E204" s="1012">
        <v>0.72670000000000001</v>
      </c>
      <c r="F204" s="1012">
        <v>0.72670000000000001</v>
      </c>
      <c r="G204" s="1012">
        <v>0.72670000000000001</v>
      </c>
      <c r="H204" s="1012">
        <v>0.72670000000000001</v>
      </c>
      <c r="I204" s="1012">
        <v>0.62939999999999996</v>
      </c>
      <c r="J204" s="1012">
        <v>0.62939999999999996</v>
      </c>
      <c r="K204" s="1012">
        <v>0.62939999999999996</v>
      </c>
      <c r="L204" s="1012">
        <v>0.62939999999999996</v>
      </c>
      <c r="M204" s="1012">
        <v>0.62939999999999996</v>
      </c>
    </row>
    <row r="205" spans="1:13" ht="14.25">
      <c r="A205" s="1000" t="s">
        <v>883</v>
      </c>
      <c r="B205" s="1001"/>
      <c r="C205" s="1001"/>
      <c r="D205" s="1001"/>
      <c r="E205" s="1001"/>
      <c r="F205" s="1001"/>
      <c r="G205" s="1001"/>
      <c r="H205" s="1001"/>
      <c r="I205" s="1001"/>
      <c r="J205" s="1001"/>
      <c r="K205" s="1001"/>
      <c r="L205" s="1001"/>
      <c r="M205" s="1001"/>
    </row>
    <row r="206" spans="1:13">
      <c r="A206" s="1003" t="s">
        <v>884</v>
      </c>
      <c r="B206" s="1004" t="s">
        <v>885</v>
      </c>
      <c r="C206" s="1004" t="s">
        <v>886</v>
      </c>
      <c r="D206" s="1004" t="s">
        <v>887</v>
      </c>
      <c r="E206" s="1004" t="s">
        <v>888</v>
      </c>
      <c r="F206" s="1004" t="s">
        <v>889</v>
      </c>
      <c r="G206" s="1004" t="s">
        <v>890</v>
      </c>
      <c r="H206" s="1005" t="s">
        <v>891</v>
      </c>
      <c r="I206" s="1005" t="s">
        <v>892</v>
      </c>
      <c r="J206" s="1006" t="s">
        <v>893</v>
      </c>
      <c r="K206" s="1006" t="s">
        <v>894</v>
      </c>
      <c r="L206" s="1006" t="s">
        <v>895</v>
      </c>
      <c r="M206" s="1006" t="s">
        <v>896</v>
      </c>
    </row>
    <row r="207" spans="1:13">
      <c r="A207" s="1003">
        <v>0.1</v>
      </c>
      <c r="B207" s="1012">
        <v>12.172000000000001</v>
      </c>
      <c r="C207" s="1012">
        <v>12.172000000000001</v>
      </c>
      <c r="D207" s="1012">
        <v>12.375999999999999</v>
      </c>
      <c r="E207" s="1012">
        <v>12.375999999999999</v>
      </c>
      <c r="F207" s="1012">
        <v>12.375999999999999</v>
      </c>
      <c r="G207" s="1012">
        <v>12.375999999999999</v>
      </c>
      <c r="H207" s="1012">
        <v>12.375999999999999</v>
      </c>
      <c r="I207" s="1012">
        <v>11.071999999999999</v>
      </c>
      <c r="J207" s="1012">
        <v>11.071999999999999</v>
      </c>
      <c r="K207" s="1012">
        <v>11.071999999999999</v>
      </c>
      <c r="L207" s="1012">
        <v>11.071999999999999</v>
      </c>
      <c r="M207" s="1012">
        <v>11.071999999999999</v>
      </c>
    </row>
    <row r="208" spans="1:13">
      <c r="A208" s="1003">
        <v>0.2</v>
      </c>
      <c r="B208" s="1012">
        <v>6.0860000000000003</v>
      </c>
      <c r="C208" s="1012">
        <v>6.0860000000000003</v>
      </c>
      <c r="D208" s="1012">
        <v>6.1879999999999997</v>
      </c>
      <c r="E208" s="1012">
        <v>6.1879999999999997</v>
      </c>
      <c r="F208" s="1012">
        <v>6.1879999999999997</v>
      </c>
      <c r="G208" s="1012">
        <v>6.1879999999999997</v>
      </c>
      <c r="H208" s="1012">
        <v>6.1879999999999997</v>
      </c>
      <c r="I208" s="1012">
        <v>5.5359999999999996</v>
      </c>
      <c r="J208" s="1012">
        <v>5.5359999999999996</v>
      </c>
      <c r="K208" s="1012">
        <v>5.5359999999999996</v>
      </c>
      <c r="L208" s="1012">
        <v>5.5359999999999996</v>
      </c>
      <c r="M208" s="1012">
        <v>5.5359999999999996</v>
      </c>
    </row>
    <row r="209" spans="1:13">
      <c r="A209" s="1003">
        <v>0.3</v>
      </c>
      <c r="B209" s="1012">
        <v>4.0572999999999997</v>
      </c>
      <c r="C209" s="1012">
        <v>4.0572999999999997</v>
      </c>
      <c r="D209" s="1012">
        <v>4.1253000000000002</v>
      </c>
      <c r="E209" s="1012">
        <v>4.1253000000000002</v>
      </c>
      <c r="F209" s="1012">
        <v>4.1253000000000002</v>
      </c>
      <c r="G209" s="1012">
        <v>4.1253000000000002</v>
      </c>
      <c r="H209" s="1012">
        <v>4.1253000000000002</v>
      </c>
      <c r="I209" s="1012">
        <v>3.6907000000000001</v>
      </c>
      <c r="J209" s="1012">
        <v>3.6907000000000001</v>
      </c>
      <c r="K209" s="1012">
        <v>3.6907000000000001</v>
      </c>
      <c r="L209" s="1012">
        <v>3.6907000000000001</v>
      </c>
      <c r="M209" s="1012">
        <v>3.6907000000000001</v>
      </c>
    </row>
    <row r="210" spans="1:13">
      <c r="A210" s="1003">
        <v>0.4</v>
      </c>
      <c r="B210" s="1012">
        <v>3.0430000000000001</v>
      </c>
      <c r="C210" s="1012">
        <v>3.0430000000000001</v>
      </c>
      <c r="D210" s="1012">
        <v>3.0939999999999999</v>
      </c>
      <c r="E210" s="1012">
        <v>3.0939999999999999</v>
      </c>
      <c r="F210" s="1012">
        <v>3.0939999999999999</v>
      </c>
      <c r="G210" s="1012">
        <v>3.0939999999999999</v>
      </c>
      <c r="H210" s="1012">
        <v>3.0939999999999999</v>
      </c>
      <c r="I210" s="1012">
        <v>2.7679999999999998</v>
      </c>
      <c r="J210" s="1012">
        <v>2.7679999999999998</v>
      </c>
      <c r="K210" s="1012">
        <v>2.7679999999999998</v>
      </c>
      <c r="L210" s="1012">
        <v>2.7679999999999998</v>
      </c>
      <c r="M210" s="1012">
        <v>2.7679999999999998</v>
      </c>
    </row>
    <row r="211" spans="1:13">
      <c r="A211" s="1003">
        <v>0.5</v>
      </c>
      <c r="B211" s="1012">
        <v>2.4344000000000001</v>
      </c>
      <c r="C211" s="1012">
        <v>2.4344000000000001</v>
      </c>
      <c r="D211" s="1012">
        <v>2.4752000000000001</v>
      </c>
      <c r="E211" s="1012">
        <v>2.4752000000000001</v>
      </c>
      <c r="F211" s="1012">
        <v>2.4752000000000001</v>
      </c>
      <c r="G211" s="1012">
        <v>2.4752000000000001</v>
      </c>
      <c r="H211" s="1012">
        <v>2.4752000000000001</v>
      </c>
      <c r="I211" s="1012">
        <v>2.2143999999999999</v>
      </c>
      <c r="J211" s="1012">
        <v>2.2143999999999999</v>
      </c>
      <c r="K211" s="1012">
        <v>2.2143999999999999</v>
      </c>
      <c r="L211" s="1012">
        <v>2.2143999999999999</v>
      </c>
      <c r="M211" s="1012">
        <v>2.2143999999999999</v>
      </c>
    </row>
    <row r="212" spans="1:13">
      <c r="A212" s="1003">
        <v>0.6</v>
      </c>
      <c r="B212" s="1012">
        <v>2.0287000000000002</v>
      </c>
      <c r="C212" s="1012">
        <v>2.0287000000000002</v>
      </c>
      <c r="D212" s="1012">
        <v>2.0627</v>
      </c>
      <c r="E212" s="1012">
        <v>2.0627</v>
      </c>
      <c r="F212" s="1012">
        <v>2.0627</v>
      </c>
      <c r="G212" s="1012">
        <v>2.0627</v>
      </c>
      <c r="H212" s="1012">
        <v>2.0627</v>
      </c>
      <c r="I212" s="1012">
        <v>1.8452999999999999</v>
      </c>
      <c r="J212" s="1012">
        <v>1.8452999999999999</v>
      </c>
      <c r="K212" s="1012">
        <v>1.8452999999999999</v>
      </c>
      <c r="L212" s="1012">
        <v>1.8452999999999999</v>
      </c>
      <c r="M212" s="1012">
        <v>1.8452999999999999</v>
      </c>
    </row>
    <row r="213" spans="1:13">
      <c r="A213" s="1003">
        <v>0.7</v>
      </c>
      <c r="B213" s="1012">
        <v>1.7388999999999999</v>
      </c>
      <c r="C213" s="1012">
        <v>1.7388999999999999</v>
      </c>
      <c r="D213" s="1012">
        <v>1.768</v>
      </c>
      <c r="E213" s="1012">
        <v>1.768</v>
      </c>
      <c r="F213" s="1012">
        <v>1.768</v>
      </c>
      <c r="G213" s="1012">
        <v>1.768</v>
      </c>
      <c r="H213" s="1012">
        <v>1.768</v>
      </c>
      <c r="I213" s="1012">
        <v>1.5817000000000001</v>
      </c>
      <c r="J213" s="1012">
        <v>1.5817000000000001</v>
      </c>
      <c r="K213" s="1012">
        <v>1.5817000000000001</v>
      </c>
      <c r="L213" s="1012">
        <v>1.5817000000000001</v>
      </c>
      <c r="M213" s="1012">
        <v>1.5817000000000001</v>
      </c>
    </row>
    <row r="214" spans="1:13">
      <c r="A214" s="1003">
        <v>0.8</v>
      </c>
      <c r="B214" s="1012">
        <v>1.5215000000000001</v>
      </c>
      <c r="C214" s="1012">
        <v>1.5215000000000001</v>
      </c>
      <c r="D214" s="1012">
        <v>1.5469999999999999</v>
      </c>
      <c r="E214" s="1012">
        <v>1.5469999999999999</v>
      </c>
      <c r="F214" s="1012">
        <v>1.5469999999999999</v>
      </c>
      <c r="G214" s="1012">
        <v>1.5469999999999999</v>
      </c>
      <c r="H214" s="1012">
        <v>1.5469999999999999</v>
      </c>
      <c r="I214" s="1012">
        <v>1.3839999999999999</v>
      </c>
      <c r="J214" s="1012">
        <v>1.3839999999999999</v>
      </c>
      <c r="K214" s="1012">
        <v>1.3839999999999999</v>
      </c>
      <c r="L214" s="1012">
        <v>1.3839999999999999</v>
      </c>
      <c r="M214" s="1012">
        <v>1.3839999999999999</v>
      </c>
    </row>
    <row r="215" spans="1:13">
      <c r="A215" s="1003">
        <v>0.9</v>
      </c>
      <c r="B215" s="1012">
        <v>1.3524</v>
      </c>
      <c r="C215" s="1012">
        <v>1.3524</v>
      </c>
      <c r="D215" s="1012">
        <v>1.3751</v>
      </c>
      <c r="E215" s="1012">
        <v>1.3751</v>
      </c>
      <c r="F215" s="1012">
        <v>1.3751</v>
      </c>
      <c r="G215" s="1012">
        <v>1.3751</v>
      </c>
      <c r="H215" s="1012">
        <v>1.3751</v>
      </c>
      <c r="I215" s="1012">
        <v>1.2302</v>
      </c>
      <c r="J215" s="1012">
        <v>1.2302</v>
      </c>
      <c r="K215" s="1012">
        <v>1.2302</v>
      </c>
      <c r="L215" s="1012">
        <v>1.2302</v>
      </c>
      <c r="M215" s="1012">
        <v>1.2302</v>
      </c>
    </row>
    <row r="216" spans="1:13">
      <c r="A216" s="1003">
        <v>1</v>
      </c>
      <c r="B216" s="1012">
        <v>1.2172000000000001</v>
      </c>
      <c r="C216" s="1012">
        <v>1.2172000000000001</v>
      </c>
      <c r="D216" s="1012">
        <v>1.2376</v>
      </c>
      <c r="E216" s="1012">
        <v>1.2376</v>
      </c>
      <c r="F216" s="1012">
        <v>1.2376</v>
      </c>
      <c r="G216" s="1012">
        <v>1.2376</v>
      </c>
      <c r="H216" s="1012">
        <v>1.2376</v>
      </c>
      <c r="I216" s="1012">
        <v>1.1072</v>
      </c>
      <c r="J216" s="1012">
        <v>1.1072</v>
      </c>
      <c r="K216" s="1012">
        <v>1.1072</v>
      </c>
      <c r="L216" s="1012">
        <v>1.1072</v>
      </c>
      <c r="M216" s="1012">
        <v>1.1072</v>
      </c>
    </row>
    <row r="217" spans="1:13">
      <c r="A217" s="1003">
        <v>1.1000000000000001</v>
      </c>
      <c r="B217" s="1012">
        <v>1.198</v>
      </c>
      <c r="C217" s="1012">
        <v>1.198</v>
      </c>
      <c r="D217" s="1012">
        <v>1.2156</v>
      </c>
      <c r="E217" s="1012">
        <v>1.2156</v>
      </c>
      <c r="F217" s="1012">
        <v>1.2156</v>
      </c>
      <c r="G217" s="1012">
        <v>1.2156</v>
      </c>
      <c r="H217" s="1012">
        <v>1.2156</v>
      </c>
      <c r="I217" s="1012">
        <v>1.0829</v>
      </c>
      <c r="J217" s="1012">
        <v>1.0829</v>
      </c>
      <c r="K217" s="1012">
        <v>1.0829</v>
      </c>
      <c r="L217" s="1012">
        <v>1.0829</v>
      </c>
      <c r="M217" s="1012">
        <v>1.0829</v>
      </c>
    </row>
    <row r="218" spans="1:13">
      <c r="A218" s="1003">
        <v>1.2</v>
      </c>
      <c r="B218" s="1012">
        <v>1.1795</v>
      </c>
      <c r="C218" s="1012">
        <v>1.1795</v>
      </c>
      <c r="D218" s="1012">
        <v>1.1947000000000001</v>
      </c>
      <c r="E218" s="1012">
        <v>1.1947000000000001</v>
      </c>
      <c r="F218" s="1012">
        <v>1.1947000000000001</v>
      </c>
      <c r="G218" s="1012">
        <v>1.1947000000000001</v>
      </c>
      <c r="H218" s="1012">
        <v>1.1947000000000001</v>
      </c>
      <c r="I218" s="1012">
        <v>1.0601</v>
      </c>
      <c r="J218" s="1012">
        <v>1.0601</v>
      </c>
      <c r="K218" s="1012">
        <v>1.0601</v>
      </c>
      <c r="L218" s="1012">
        <v>1.0601</v>
      </c>
      <c r="M218" s="1012">
        <v>1.0601</v>
      </c>
    </row>
    <row r="219" spans="1:13">
      <c r="A219" s="1003">
        <v>1.3</v>
      </c>
      <c r="B219" s="1012">
        <v>1.1617999999999999</v>
      </c>
      <c r="C219" s="1012">
        <v>1.1617999999999999</v>
      </c>
      <c r="D219" s="1012">
        <v>1.1748000000000001</v>
      </c>
      <c r="E219" s="1012">
        <v>1.1748000000000001</v>
      </c>
      <c r="F219" s="1012">
        <v>1.1748000000000001</v>
      </c>
      <c r="G219" s="1012">
        <v>1.1748000000000001</v>
      </c>
      <c r="H219" s="1012">
        <v>1.1748000000000001</v>
      </c>
      <c r="I219" s="1012">
        <v>1.0387999999999999</v>
      </c>
      <c r="J219" s="1012">
        <v>1.0387999999999999</v>
      </c>
      <c r="K219" s="1012">
        <v>1.0387999999999999</v>
      </c>
      <c r="L219" s="1012">
        <v>1.0387999999999999</v>
      </c>
      <c r="M219" s="1012">
        <v>1.0387999999999999</v>
      </c>
    </row>
    <row r="220" spans="1:13">
      <c r="A220" s="1003">
        <v>1.4</v>
      </c>
      <c r="B220" s="1012">
        <v>1.1448</v>
      </c>
      <c r="C220" s="1012">
        <v>1.1448</v>
      </c>
      <c r="D220" s="1012">
        <v>1.1557999999999999</v>
      </c>
      <c r="E220" s="1012">
        <v>1.1557999999999999</v>
      </c>
      <c r="F220" s="1012">
        <v>1.1557999999999999</v>
      </c>
      <c r="G220" s="1012">
        <v>1.1557999999999999</v>
      </c>
      <c r="H220" s="1012">
        <v>1.1557999999999999</v>
      </c>
      <c r="I220" s="1012">
        <v>1.0187999999999999</v>
      </c>
      <c r="J220" s="1012">
        <v>1.0187999999999999</v>
      </c>
      <c r="K220" s="1012">
        <v>1.0187999999999999</v>
      </c>
      <c r="L220" s="1012">
        <v>1.0187999999999999</v>
      </c>
      <c r="M220" s="1012">
        <v>1.0187999999999999</v>
      </c>
    </row>
    <row r="221" spans="1:13">
      <c r="A221" s="1003">
        <v>1.5</v>
      </c>
      <c r="B221" s="1012">
        <v>1.1285000000000001</v>
      </c>
      <c r="C221" s="1012">
        <v>1.1285000000000001</v>
      </c>
      <c r="D221" s="1012">
        <v>1.1377999999999999</v>
      </c>
      <c r="E221" s="1012">
        <v>1.1377999999999999</v>
      </c>
      <c r="F221" s="1012">
        <v>1.1377999999999999</v>
      </c>
      <c r="G221" s="1012">
        <v>1.1377999999999999</v>
      </c>
      <c r="H221" s="1012">
        <v>1.1377999999999999</v>
      </c>
      <c r="I221" s="1012">
        <v>1</v>
      </c>
      <c r="J221" s="1012">
        <v>1</v>
      </c>
      <c r="K221" s="1012">
        <v>1</v>
      </c>
      <c r="L221" s="1012">
        <v>1</v>
      </c>
      <c r="M221" s="1012">
        <v>1</v>
      </c>
    </row>
    <row r="222" spans="1:13">
      <c r="A222" s="1003">
        <v>1.6</v>
      </c>
      <c r="B222" s="1012">
        <v>1.1129</v>
      </c>
      <c r="C222" s="1012">
        <v>1.1129</v>
      </c>
      <c r="D222" s="1012">
        <v>1.1206</v>
      </c>
      <c r="E222" s="1012">
        <v>1.1206</v>
      </c>
      <c r="F222" s="1012">
        <v>1.1206</v>
      </c>
      <c r="G222" s="1012">
        <v>1.1206</v>
      </c>
      <c r="H222" s="1012">
        <v>1.1206</v>
      </c>
      <c r="I222" s="1012">
        <v>0.98240000000000005</v>
      </c>
      <c r="J222" s="1012">
        <v>0.98240000000000005</v>
      </c>
      <c r="K222" s="1012">
        <v>0.98240000000000005</v>
      </c>
      <c r="L222" s="1012">
        <v>0.98240000000000005</v>
      </c>
      <c r="M222" s="1012">
        <v>0.98240000000000005</v>
      </c>
    </row>
    <row r="223" spans="1:13">
      <c r="A223" s="1003">
        <v>1.7</v>
      </c>
      <c r="B223" s="1012">
        <v>1.0980000000000001</v>
      </c>
      <c r="C223" s="1012">
        <v>1.0980000000000001</v>
      </c>
      <c r="D223" s="1012">
        <v>1.1043000000000001</v>
      </c>
      <c r="E223" s="1012">
        <v>1.1043000000000001</v>
      </c>
      <c r="F223" s="1012">
        <v>1.1043000000000001</v>
      </c>
      <c r="G223" s="1012">
        <v>1.1043000000000001</v>
      </c>
      <c r="H223" s="1012">
        <v>1.1043000000000001</v>
      </c>
      <c r="I223" s="1012">
        <v>0.96579999999999999</v>
      </c>
      <c r="J223" s="1012">
        <v>0.96579999999999999</v>
      </c>
      <c r="K223" s="1012">
        <v>0.96579999999999999</v>
      </c>
      <c r="L223" s="1012">
        <v>0.96579999999999999</v>
      </c>
      <c r="M223" s="1012">
        <v>0.96579999999999999</v>
      </c>
    </row>
    <row r="224" spans="1:13">
      <c r="A224" s="1003">
        <v>1.8</v>
      </c>
      <c r="B224" s="1012">
        <v>1.0835999999999999</v>
      </c>
      <c r="C224" s="1012">
        <v>1.0835999999999999</v>
      </c>
      <c r="D224" s="1012">
        <v>1.0888</v>
      </c>
      <c r="E224" s="1012">
        <v>1.0888</v>
      </c>
      <c r="F224" s="1012">
        <v>1.0888</v>
      </c>
      <c r="G224" s="1012">
        <v>1.0888</v>
      </c>
      <c r="H224" s="1012">
        <v>1.0888</v>
      </c>
      <c r="I224" s="1012">
        <v>0.95030000000000003</v>
      </c>
      <c r="J224" s="1012">
        <v>0.95030000000000003</v>
      </c>
      <c r="K224" s="1012">
        <v>0.95030000000000003</v>
      </c>
      <c r="L224" s="1012">
        <v>0.95030000000000003</v>
      </c>
      <c r="M224" s="1012">
        <v>0.95030000000000003</v>
      </c>
    </row>
    <row r="225" spans="1:13">
      <c r="A225" s="1003">
        <v>1.9</v>
      </c>
      <c r="B225" s="1012">
        <v>1.0698000000000001</v>
      </c>
      <c r="C225" s="1012">
        <v>1.0698000000000001</v>
      </c>
      <c r="D225" s="1012">
        <v>1.0741000000000001</v>
      </c>
      <c r="E225" s="1012">
        <v>1.0741000000000001</v>
      </c>
      <c r="F225" s="1012">
        <v>1.0741000000000001</v>
      </c>
      <c r="G225" s="1012">
        <v>1.0741000000000001</v>
      </c>
      <c r="H225" s="1012">
        <v>1.0741000000000001</v>
      </c>
      <c r="I225" s="1012">
        <v>0.93610000000000004</v>
      </c>
      <c r="J225" s="1012">
        <v>0.93610000000000004</v>
      </c>
      <c r="K225" s="1012">
        <v>0.93610000000000004</v>
      </c>
      <c r="L225" s="1012">
        <v>0.93610000000000004</v>
      </c>
      <c r="M225" s="1012">
        <v>0.93610000000000004</v>
      </c>
    </row>
    <row r="226" spans="1:13">
      <c r="A226" s="1003">
        <v>2</v>
      </c>
      <c r="B226" s="1012">
        <v>1.0568</v>
      </c>
      <c r="C226" s="1012">
        <v>1.0568</v>
      </c>
      <c r="D226" s="1012">
        <v>1.0601</v>
      </c>
      <c r="E226" s="1012">
        <v>1.0601</v>
      </c>
      <c r="F226" s="1012">
        <v>1.0601</v>
      </c>
      <c r="G226" s="1012">
        <v>1.0601</v>
      </c>
      <c r="H226" s="1012">
        <v>1.0601</v>
      </c>
      <c r="I226" s="1012">
        <v>0.9224</v>
      </c>
      <c r="J226" s="1012">
        <v>0.9224</v>
      </c>
      <c r="K226" s="1012">
        <v>0.9224</v>
      </c>
      <c r="L226" s="1012">
        <v>0.9224</v>
      </c>
      <c r="M226" s="1012">
        <v>0.9224</v>
      </c>
    </row>
    <row r="227" spans="1:13">
      <c r="A227" s="1027">
        <v>2.1</v>
      </c>
      <c r="B227" s="1012">
        <v>1.0443</v>
      </c>
      <c r="C227" s="1012">
        <v>1.0443</v>
      </c>
      <c r="D227" s="1012">
        <v>1.0468</v>
      </c>
      <c r="E227" s="1012">
        <v>1.0468</v>
      </c>
      <c r="F227" s="1012">
        <v>1.0468</v>
      </c>
      <c r="G227" s="1012">
        <v>1.0468</v>
      </c>
      <c r="H227" s="1012">
        <v>1.0468</v>
      </c>
      <c r="I227" s="1012">
        <v>0.90959999999999996</v>
      </c>
      <c r="J227" s="1012">
        <v>0.90959999999999996</v>
      </c>
      <c r="K227" s="1012">
        <v>0.90959999999999996</v>
      </c>
      <c r="L227" s="1012">
        <v>0.90959999999999996</v>
      </c>
      <c r="M227" s="1012">
        <v>0.90959999999999996</v>
      </c>
    </row>
    <row r="228" spans="1:13">
      <c r="A228" s="1027">
        <v>2.2000000000000002</v>
      </c>
      <c r="B228" s="1012">
        <v>1.0325</v>
      </c>
      <c r="C228" s="1012">
        <v>1.0325</v>
      </c>
      <c r="D228" s="1012">
        <v>1.0342</v>
      </c>
      <c r="E228" s="1012">
        <v>1.0342</v>
      </c>
      <c r="F228" s="1012">
        <v>1.0342</v>
      </c>
      <c r="G228" s="1012">
        <v>1.0342</v>
      </c>
      <c r="H228" s="1012">
        <v>1.0342</v>
      </c>
      <c r="I228" s="1012">
        <v>0.89749999999999996</v>
      </c>
      <c r="J228" s="1012">
        <v>0.89749999999999996</v>
      </c>
      <c r="K228" s="1012">
        <v>0.89749999999999996</v>
      </c>
      <c r="L228" s="1012">
        <v>0.89749999999999996</v>
      </c>
      <c r="M228" s="1012">
        <v>0.89749999999999996</v>
      </c>
    </row>
    <row r="229" spans="1:13">
      <c r="A229" s="1027">
        <v>2.2999999999999998</v>
      </c>
      <c r="B229" s="1012">
        <v>1.0209999999999999</v>
      </c>
      <c r="C229" s="1012">
        <v>1.0209999999999999</v>
      </c>
      <c r="D229" s="1012">
        <v>1.0222</v>
      </c>
      <c r="E229" s="1012">
        <v>1.0222</v>
      </c>
      <c r="F229" s="1012">
        <v>1.0222</v>
      </c>
      <c r="G229" s="1012">
        <v>1.0222</v>
      </c>
      <c r="H229" s="1012">
        <v>1.0222</v>
      </c>
      <c r="I229" s="1012">
        <v>0.88619999999999999</v>
      </c>
      <c r="J229" s="1012">
        <v>0.88619999999999999</v>
      </c>
      <c r="K229" s="1012">
        <v>0.88619999999999999</v>
      </c>
      <c r="L229" s="1012">
        <v>0.88619999999999999</v>
      </c>
      <c r="M229" s="1012">
        <v>0.88619999999999999</v>
      </c>
    </row>
    <row r="230" spans="1:13">
      <c r="A230" s="1027">
        <v>2.4</v>
      </c>
      <c r="B230" s="1012">
        <v>1.0102</v>
      </c>
      <c r="C230" s="1012">
        <v>1.0102</v>
      </c>
      <c r="D230" s="1012">
        <v>1.0107999999999999</v>
      </c>
      <c r="E230" s="1012">
        <v>1.0107999999999999</v>
      </c>
      <c r="F230" s="1012">
        <v>1.0107999999999999</v>
      </c>
      <c r="G230" s="1012">
        <v>1.0107999999999999</v>
      </c>
      <c r="H230" s="1012">
        <v>1.0107999999999999</v>
      </c>
      <c r="I230" s="1012">
        <v>0.87529999999999997</v>
      </c>
      <c r="J230" s="1012">
        <v>0.87529999999999997</v>
      </c>
      <c r="K230" s="1012">
        <v>0.87529999999999997</v>
      </c>
      <c r="L230" s="1012">
        <v>0.87529999999999997</v>
      </c>
      <c r="M230" s="1012">
        <v>0.87529999999999997</v>
      </c>
    </row>
    <row r="231" spans="1:13">
      <c r="A231" s="1027">
        <v>2.5</v>
      </c>
      <c r="B231" s="1012">
        <v>1</v>
      </c>
      <c r="C231" s="1012">
        <v>1</v>
      </c>
      <c r="D231" s="1012">
        <v>1</v>
      </c>
      <c r="E231" s="1012">
        <v>1</v>
      </c>
      <c r="F231" s="1012">
        <v>1</v>
      </c>
      <c r="G231" s="1012">
        <v>1</v>
      </c>
      <c r="H231" s="1012">
        <v>1</v>
      </c>
      <c r="I231" s="1012">
        <v>0.86509999999999998</v>
      </c>
      <c r="J231" s="1012">
        <v>0.86509999999999998</v>
      </c>
      <c r="K231" s="1012">
        <v>0.86509999999999998</v>
      </c>
      <c r="L231" s="1012">
        <v>0.86509999999999998</v>
      </c>
      <c r="M231" s="1012">
        <v>0.86509999999999998</v>
      </c>
    </row>
    <row r="232" spans="1:13">
      <c r="A232" s="1027">
        <v>2.6</v>
      </c>
      <c r="B232" s="1012">
        <v>0.99029999999999996</v>
      </c>
      <c r="C232" s="1012">
        <v>0.99029999999999996</v>
      </c>
      <c r="D232" s="1012">
        <v>0.98970000000000002</v>
      </c>
      <c r="E232" s="1012">
        <v>0.98970000000000002</v>
      </c>
      <c r="F232" s="1012">
        <v>0.98970000000000002</v>
      </c>
      <c r="G232" s="1012">
        <v>0.98970000000000002</v>
      </c>
      <c r="H232" s="1012">
        <v>0.98970000000000002</v>
      </c>
      <c r="I232" s="1012">
        <v>0.85529999999999995</v>
      </c>
      <c r="J232" s="1012">
        <v>0.85529999999999995</v>
      </c>
      <c r="K232" s="1012">
        <v>0.85529999999999995</v>
      </c>
      <c r="L232" s="1012">
        <v>0.85529999999999995</v>
      </c>
      <c r="M232" s="1012">
        <v>0.85529999999999995</v>
      </c>
    </row>
    <row r="233" spans="1:13">
      <c r="A233" s="1027">
        <v>2.7</v>
      </c>
      <c r="B233" s="1012">
        <v>0.98109999999999997</v>
      </c>
      <c r="C233" s="1012">
        <v>0.98109999999999997</v>
      </c>
      <c r="D233" s="1012">
        <v>0.97989999999999999</v>
      </c>
      <c r="E233" s="1012">
        <v>0.97989999999999999</v>
      </c>
      <c r="F233" s="1012">
        <v>0.97989999999999999</v>
      </c>
      <c r="G233" s="1012">
        <v>0.97989999999999999</v>
      </c>
      <c r="H233" s="1012">
        <v>0.97989999999999999</v>
      </c>
      <c r="I233" s="1012">
        <v>0.84599999999999997</v>
      </c>
      <c r="J233" s="1012">
        <v>0.84599999999999997</v>
      </c>
      <c r="K233" s="1012">
        <v>0.84599999999999997</v>
      </c>
      <c r="L233" s="1012">
        <v>0.84599999999999997</v>
      </c>
      <c r="M233" s="1012">
        <v>0.84599999999999997</v>
      </c>
    </row>
    <row r="234" spans="1:13">
      <c r="A234" s="1027">
        <v>2.8</v>
      </c>
      <c r="B234" s="1012">
        <v>0.97240000000000004</v>
      </c>
      <c r="C234" s="1012">
        <v>0.97240000000000004</v>
      </c>
      <c r="D234" s="1012">
        <v>0.97060000000000002</v>
      </c>
      <c r="E234" s="1012">
        <v>0.97060000000000002</v>
      </c>
      <c r="F234" s="1012">
        <v>0.97060000000000002</v>
      </c>
      <c r="G234" s="1012">
        <v>0.97060000000000002</v>
      </c>
      <c r="H234" s="1012">
        <v>0.97060000000000002</v>
      </c>
      <c r="I234" s="1012">
        <v>0.83709999999999996</v>
      </c>
      <c r="J234" s="1012">
        <v>0.83709999999999996</v>
      </c>
      <c r="K234" s="1012">
        <v>0.83709999999999996</v>
      </c>
      <c r="L234" s="1012">
        <v>0.83709999999999996</v>
      </c>
      <c r="M234" s="1012">
        <v>0.83709999999999996</v>
      </c>
    </row>
    <row r="235" spans="1:13">
      <c r="A235" s="1027">
        <v>2.9</v>
      </c>
      <c r="B235" s="1012">
        <v>0.96419999999999995</v>
      </c>
      <c r="C235" s="1012">
        <v>0.96419999999999995</v>
      </c>
      <c r="D235" s="1012">
        <v>0.96179999999999999</v>
      </c>
      <c r="E235" s="1012">
        <v>0.96179999999999999</v>
      </c>
      <c r="F235" s="1012">
        <v>0.96179999999999999</v>
      </c>
      <c r="G235" s="1012">
        <v>0.96179999999999999</v>
      </c>
      <c r="H235" s="1012">
        <v>0.96179999999999999</v>
      </c>
      <c r="I235" s="1012">
        <v>0.82850000000000001</v>
      </c>
      <c r="J235" s="1012">
        <v>0.82850000000000001</v>
      </c>
      <c r="K235" s="1012">
        <v>0.82850000000000001</v>
      </c>
      <c r="L235" s="1012">
        <v>0.82850000000000001</v>
      </c>
      <c r="M235" s="1012">
        <v>0.82850000000000001</v>
      </c>
    </row>
    <row r="236" spans="1:13">
      <c r="A236" s="1027">
        <v>3</v>
      </c>
      <c r="B236" s="1012">
        <v>0.95640000000000003</v>
      </c>
      <c r="C236" s="1012">
        <v>0.95640000000000003</v>
      </c>
      <c r="D236" s="1012">
        <v>0.95340000000000003</v>
      </c>
      <c r="E236" s="1012">
        <v>0.95340000000000003</v>
      </c>
      <c r="F236" s="1012">
        <v>0.95340000000000003</v>
      </c>
      <c r="G236" s="1012">
        <v>0.95340000000000003</v>
      </c>
      <c r="H236" s="1012">
        <v>0.95340000000000003</v>
      </c>
      <c r="I236" s="1012">
        <v>0.82040000000000002</v>
      </c>
      <c r="J236" s="1012">
        <v>0.82040000000000002</v>
      </c>
      <c r="K236" s="1012">
        <v>0.82040000000000002</v>
      </c>
      <c r="L236" s="1012">
        <v>0.82040000000000002</v>
      </c>
      <c r="M236" s="1012">
        <v>0.82040000000000002</v>
      </c>
    </row>
    <row r="237" spans="1:13">
      <c r="A237" s="1027">
        <v>3.1</v>
      </c>
      <c r="B237" s="1012">
        <v>0.94899999999999995</v>
      </c>
      <c r="C237" s="1012">
        <v>0.94899999999999995</v>
      </c>
      <c r="D237" s="1012">
        <v>0.94550000000000001</v>
      </c>
      <c r="E237" s="1012">
        <v>0.94550000000000001</v>
      </c>
      <c r="F237" s="1012">
        <v>0.94550000000000001</v>
      </c>
      <c r="G237" s="1012">
        <v>0.94550000000000001</v>
      </c>
      <c r="H237" s="1012">
        <v>0.94550000000000001</v>
      </c>
      <c r="I237" s="1012">
        <v>0.81259999999999999</v>
      </c>
      <c r="J237" s="1012">
        <v>0.81259999999999999</v>
      </c>
      <c r="K237" s="1012">
        <v>0.81259999999999999</v>
      </c>
      <c r="L237" s="1012">
        <v>0.81259999999999999</v>
      </c>
      <c r="M237" s="1012">
        <v>0.81259999999999999</v>
      </c>
    </row>
    <row r="238" spans="1:13">
      <c r="A238" s="1027">
        <v>3.2</v>
      </c>
      <c r="B238" s="1012">
        <v>0.94199999999999995</v>
      </c>
      <c r="C238" s="1012">
        <v>0.94199999999999995</v>
      </c>
      <c r="D238" s="1012">
        <v>0.93789999999999996</v>
      </c>
      <c r="E238" s="1012">
        <v>0.93789999999999996</v>
      </c>
      <c r="F238" s="1012">
        <v>0.93789999999999996</v>
      </c>
      <c r="G238" s="1012">
        <v>0.93789999999999996</v>
      </c>
      <c r="H238" s="1012">
        <v>0.93789999999999996</v>
      </c>
      <c r="I238" s="1012">
        <v>0.80530000000000002</v>
      </c>
      <c r="J238" s="1012">
        <v>0.80530000000000002</v>
      </c>
      <c r="K238" s="1012">
        <v>0.80530000000000002</v>
      </c>
      <c r="L238" s="1012">
        <v>0.80530000000000002</v>
      </c>
      <c r="M238" s="1012">
        <v>0.80530000000000002</v>
      </c>
    </row>
    <row r="239" spans="1:13">
      <c r="A239" s="1027">
        <v>3.3</v>
      </c>
      <c r="B239" s="1012">
        <v>0.93540000000000001</v>
      </c>
      <c r="C239" s="1012">
        <v>0.93540000000000001</v>
      </c>
      <c r="D239" s="1012">
        <v>0.93069999999999997</v>
      </c>
      <c r="E239" s="1012">
        <v>0.93069999999999997</v>
      </c>
      <c r="F239" s="1012">
        <v>0.93069999999999997</v>
      </c>
      <c r="G239" s="1012">
        <v>0.93069999999999997</v>
      </c>
      <c r="H239" s="1012">
        <v>0.93069999999999997</v>
      </c>
      <c r="I239" s="1012">
        <v>0.79820000000000002</v>
      </c>
      <c r="J239" s="1012">
        <v>0.79820000000000002</v>
      </c>
      <c r="K239" s="1012">
        <v>0.79820000000000002</v>
      </c>
      <c r="L239" s="1012">
        <v>0.79820000000000002</v>
      </c>
      <c r="M239" s="1012">
        <v>0.79820000000000002</v>
      </c>
    </row>
    <row r="240" spans="1:13">
      <c r="A240" s="1027">
        <v>3.4</v>
      </c>
      <c r="B240" s="1012">
        <v>0.92920000000000003</v>
      </c>
      <c r="C240" s="1012">
        <v>0.92920000000000003</v>
      </c>
      <c r="D240" s="1012">
        <v>0.92390000000000005</v>
      </c>
      <c r="E240" s="1012">
        <v>0.92390000000000005</v>
      </c>
      <c r="F240" s="1012">
        <v>0.92390000000000005</v>
      </c>
      <c r="G240" s="1012">
        <v>0.92390000000000005</v>
      </c>
      <c r="H240" s="1012">
        <v>0.92390000000000005</v>
      </c>
      <c r="I240" s="1012">
        <v>0.79139999999999999</v>
      </c>
      <c r="J240" s="1012">
        <v>0.79139999999999999</v>
      </c>
      <c r="K240" s="1012">
        <v>0.79139999999999999</v>
      </c>
      <c r="L240" s="1012">
        <v>0.79139999999999999</v>
      </c>
      <c r="M240" s="1012">
        <v>0.79139999999999999</v>
      </c>
    </row>
    <row r="241" spans="1:13">
      <c r="A241" s="1027">
        <v>3.5</v>
      </c>
      <c r="B241" s="1012">
        <v>0.9234</v>
      </c>
      <c r="C241" s="1012">
        <v>0.9234</v>
      </c>
      <c r="D241" s="1012">
        <v>0.91749999999999998</v>
      </c>
      <c r="E241" s="1012">
        <v>0.91749999999999998</v>
      </c>
      <c r="F241" s="1012">
        <v>0.91749999999999998</v>
      </c>
      <c r="G241" s="1012">
        <v>0.91749999999999998</v>
      </c>
      <c r="H241" s="1012">
        <v>0.91749999999999998</v>
      </c>
      <c r="I241" s="1012">
        <v>0.78490000000000004</v>
      </c>
      <c r="J241" s="1012">
        <v>0.78490000000000004</v>
      </c>
      <c r="K241" s="1012">
        <v>0.78490000000000004</v>
      </c>
      <c r="L241" s="1012">
        <v>0.78490000000000004</v>
      </c>
      <c r="M241" s="1012">
        <v>0.78490000000000004</v>
      </c>
    </row>
    <row r="242" spans="1:13">
      <c r="A242" s="1027">
        <v>3.6</v>
      </c>
      <c r="B242" s="1012">
        <v>0.91790000000000005</v>
      </c>
      <c r="C242" s="1012">
        <v>0.91790000000000005</v>
      </c>
      <c r="D242" s="1012">
        <v>0.91139999999999999</v>
      </c>
      <c r="E242" s="1012">
        <v>0.91139999999999999</v>
      </c>
      <c r="F242" s="1012">
        <v>0.91139999999999999</v>
      </c>
      <c r="G242" s="1012">
        <v>0.91139999999999999</v>
      </c>
      <c r="H242" s="1012">
        <v>0.91139999999999999</v>
      </c>
      <c r="I242" s="1012">
        <v>0.77880000000000005</v>
      </c>
      <c r="J242" s="1012">
        <v>0.77880000000000005</v>
      </c>
      <c r="K242" s="1012">
        <v>0.77880000000000005</v>
      </c>
      <c r="L242" s="1012">
        <v>0.77880000000000005</v>
      </c>
      <c r="M242" s="1012">
        <v>0.77880000000000005</v>
      </c>
    </row>
    <row r="243" spans="1:13">
      <c r="A243" s="1027">
        <v>3.7</v>
      </c>
      <c r="B243" s="1012">
        <v>0.91269999999999996</v>
      </c>
      <c r="C243" s="1012">
        <v>0.91269999999999996</v>
      </c>
      <c r="D243" s="1012">
        <v>0.90559999999999996</v>
      </c>
      <c r="E243" s="1012">
        <v>0.90559999999999996</v>
      </c>
      <c r="F243" s="1012">
        <v>0.90559999999999996</v>
      </c>
      <c r="G243" s="1012">
        <v>0.90559999999999996</v>
      </c>
      <c r="H243" s="1012">
        <v>0.90559999999999996</v>
      </c>
      <c r="I243" s="1012">
        <v>0.77300000000000002</v>
      </c>
      <c r="J243" s="1012">
        <v>0.77300000000000002</v>
      </c>
      <c r="K243" s="1012">
        <v>0.77300000000000002</v>
      </c>
      <c r="L243" s="1012">
        <v>0.77300000000000002</v>
      </c>
      <c r="M243" s="1012">
        <v>0.77300000000000002</v>
      </c>
    </row>
    <row r="244" spans="1:13">
      <c r="A244" s="1027">
        <v>3.8</v>
      </c>
      <c r="B244" s="1012">
        <v>0.90780000000000005</v>
      </c>
      <c r="C244" s="1012">
        <v>0.90780000000000005</v>
      </c>
      <c r="D244" s="1012">
        <v>0.90010000000000001</v>
      </c>
      <c r="E244" s="1012">
        <v>0.90010000000000001</v>
      </c>
      <c r="F244" s="1012">
        <v>0.90010000000000001</v>
      </c>
      <c r="G244" s="1012">
        <v>0.90010000000000001</v>
      </c>
      <c r="H244" s="1012">
        <v>0.90010000000000001</v>
      </c>
      <c r="I244" s="1012">
        <v>0.76739999999999997</v>
      </c>
      <c r="J244" s="1012">
        <v>0.76739999999999997</v>
      </c>
      <c r="K244" s="1012">
        <v>0.76739999999999997</v>
      </c>
      <c r="L244" s="1012">
        <v>0.76739999999999997</v>
      </c>
      <c r="M244" s="1012">
        <v>0.76739999999999997</v>
      </c>
    </row>
    <row r="245" spans="1:13">
      <c r="A245" s="1027">
        <v>3.9</v>
      </c>
      <c r="B245" s="1012">
        <v>0.9032</v>
      </c>
      <c r="C245" s="1012">
        <v>0.9032</v>
      </c>
      <c r="D245" s="1012">
        <v>0.89490000000000003</v>
      </c>
      <c r="E245" s="1012">
        <v>0.89490000000000003</v>
      </c>
      <c r="F245" s="1012">
        <v>0.89490000000000003</v>
      </c>
      <c r="G245" s="1012">
        <v>0.89490000000000003</v>
      </c>
      <c r="H245" s="1012">
        <v>0.89490000000000003</v>
      </c>
      <c r="I245" s="1012">
        <v>0.7621</v>
      </c>
      <c r="J245" s="1012">
        <v>0.7621</v>
      </c>
      <c r="K245" s="1012">
        <v>0.7621</v>
      </c>
      <c r="L245" s="1012">
        <v>0.7621</v>
      </c>
      <c r="M245" s="1012">
        <v>0.7621</v>
      </c>
    </row>
    <row r="246" spans="1:13">
      <c r="A246" s="1027">
        <v>4</v>
      </c>
      <c r="B246" s="1012">
        <v>0.89890000000000003</v>
      </c>
      <c r="C246" s="1012">
        <v>0.89890000000000003</v>
      </c>
      <c r="D246" s="1012">
        <v>0.89</v>
      </c>
      <c r="E246" s="1012">
        <v>0.89</v>
      </c>
      <c r="F246" s="1012">
        <v>0.89</v>
      </c>
      <c r="G246" s="1012">
        <v>0.89</v>
      </c>
      <c r="H246" s="1012">
        <v>0.89</v>
      </c>
      <c r="I246" s="1012">
        <v>0.7571</v>
      </c>
      <c r="J246" s="1012">
        <v>0.7571</v>
      </c>
      <c r="K246" s="1012">
        <v>0.7571</v>
      </c>
      <c r="L246" s="1012">
        <v>0.7571</v>
      </c>
      <c r="M246" s="1012">
        <v>0.7571</v>
      </c>
    </row>
    <row r="247" spans="1:13">
      <c r="A247" s="1027">
        <v>4.0999999999999996</v>
      </c>
      <c r="B247" s="1012">
        <v>0.89480000000000004</v>
      </c>
      <c r="C247" s="1012">
        <v>0.89480000000000004</v>
      </c>
      <c r="D247" s="1012">
        <v>0.88539999999999996</v>
      </c>
      <c r="E247" s="1012">
        <v>0.88539999999999996</v>
      </c>
      <c r="F247" s="1012">
        <v>0.88539999999999996</v>
      </c>
      <c r="G247" s="1012">
        <v>0.88539999999999996</v>
      </c>
      <c r="H247" s="1012">
        <v>0.88539999999999996</v>
      </c>
      <c r="I247" s="1012">
        <v>0.75229999999999997</v>
      </c>
      <c r="J247" s="1012">
        <v>0.75229999999999997</v>
      </c>
      <c r="K247" s="1012">
        <v>0.75229999999999997</v>
      </c>
      <c r="L247" s="1012">
        <v>0.75229999999999997</v>
      </c>
      <c r="M247" s="1012">
        <v>0.75229999999999997</v>
      </c>
    </row>
    <row r="248" spans="1:13">
      <c r="A248" s="1027">
        <v>4.2</v>
      </c>
      <c r="B248" s="1012">
        <v>0.89100000000000001</v>
      </c>
      <c r="C248" s="1012">
        <v>0.89100000000000001</v>
      </c>
      <c r="D248" s="1012">
        <v>0.88109999999999999</v>
      </c>
      <c r="E248" s="1012">
        <v>0.88109999999999999</v>
      </c>
      <c r="F248" s="1012">
        <v>0.88109999999999999</v>
      </c>
      <c r="G248" s="1012">
        <v>0.88109999999999999</v>
      </c>
      <c r="H248" s="1012">
        <v>0.88109999999999999</v>
      </c>
      <c r="I248" s="1012">
        <v>0.74780000000000002</v>
      </c>
      <c r="J248" s="1012">
        <v>0.74780000000000002</v>
      </c>
      <c r="K248" s="1012">
        <v>0.74780000000000002</v>
      </c>
      <c r="L248" s="1012">
        <v>0.74780000000000002</v>
      </c>
      <c r="M248" s="1012">
        <v>0.74780000000000002</v>
      </c>
    </row>
    <row r="249" spans="1:13">
      <c r="A249" s="1027">
        <v>4.3</v>
      </c>
      <c r="B249" s="1012">
        <v>0.88739999999999997</v>
      </c>
      <c r="C249" s="1012">
        <v>0.88739999999999997</v>
      </c>
      <c r="D249" s="1012">
        <v>0.877</v>
      </c>
      <c r="E249" s="1012">
        <v>0.877</v>
      </c>
      <c r="F249" s="1012">
        <v>0.877</v>
      </c>
      <c r="G249" s="1012">
        <v>0.877</v>
      </c>
      <c r="H249" s="1012">
        <v>0.877</v>
      </c>
      <c r="I249" s="1012">
        <v>0.74329999999999996</v>
      </c>
      <c r="J249" s="1012">
        <v>0.74329999999999996</v>
      </c>
      <c r="K249" s="1012">
        <v>0.74329999999999996</v>
      </c>
      <c r="L249" s="1012">
        <v>0.74329999999999996</v>
      </c>
      <c r="M249" s="1012">
        <v>0.74329999999999996</v>
      </c>
    </row>
    <row r="250" spans="1:13">
      <c r="A250" s="1027">
        <v>4.4000000000000004</v>
      </c>
      <c r="B250" s="1012">
        <v>0.88400000000000001</v>
      </c>
      <c r="C250" s="1012">
        <v>0.88400000000000001</v>
      </c>
      <c r="D250" s="1012">
        <v>0.87309999999999999</v>
      </c>
      <c r="E250" s="1012">
        <v>0.87309999999999999</v>
      </c>
      <c r="F250" s="1012">
        <v>0.87309999999999999</v>
      </c>
      <c r="G250" s="1012">
        <v>0.87309999999999999</v>
      </c>
      <c r="H250" s="1012">
        <v>0.87309999999999999</v>
      </c>
      <c r="I250" s="1012">
        <v>0.73909999999999998</v>
      </c>
      <c r="J250" s="1012">
        <v>0.73909999999999998</v>
      </c>
      <c r="K250" s="1012">
        <v>0.73909999999999998</v>
      </c>
      <c r="L250" s="1012">
        <v>0.73909999999999998</v>
      </c>
      <c r="M250" s="1012">
        <v>0.73909999999999998</v>
      </c>
    </row>
    <row r="251" spans="1:13">
      <c r="A251" s="1027">
        <v>4.5</v>
      </c>
      <c r="B251" s="1012">
        <v>0.88080000000000003</v>
      </c>
      <c r="C251" s="1012">
        <v>0.88080000000000003</v>
      </c>
      <c r="D251" s="1012">
        <v>0.86939999999999995</v>
      </c>
      <c r="E251" s="1012">
        <v>0.86939999999999995</v>
      </c>
      <c r="F251" s="1012">
        <v>0.86939999999999995</v>
      </c>
      <c r="G251" s="1012">
        <v>0.86939999999999995</v>
      </c>
      <c r="H251" s="1012">
        <v>0.86939999999999995</v>
      </c>
      <c r="I251" s="1012">
        <v>0.73499999999999999</v>
      </c>
      <c r="J251" s="1012">
        <v>0.73499999999999999</v>
      </c>
      <c r="K251" s="1012">
        <v>0.73499999999999999</v>
      </c>
      <c r="L251" s="1012">
        <v>0.73499999999999999</v>
      </c>
      <c r="M251" s="1012">
        <v>0.73499999999999999</v>
      </c>
    </row>
    <row r="252" spans="1:13">
      <c r="A252" s="1027">
        <v>4.5999999999999996</v>
      </c>
      <c r="B252" s="1012">
        <v>0.87780000000000002</v>
      </c>
      <c r="C252" s="1012">
        <v>0.87780000000000002</v>
      </c>
      <c r="D252" s="1012">
        <v>0.8659</v>
      </c>
      <c r="E252" s="1012">
        <v>0.8659</v>
      </c>
      <c r="F252" s="1012">
        <v>0.8659</v>
      </c>
      <c r="G252" s="1012">
        <v>0.8659</v>
      </c>
      <c r="H252" s="1012">
        <v>0.8659</v>
      </c>
      <c r="I252" s="1012">
        <v>0.73109999999999997</v>
      </c>
      <c r="J252" s="1012">
        <v>0.73109999999999997</v>
      </c>
      <c r="K252" s="1012">
        <v>0.73109999999999997</v>
      </c>
      <c r="L252" s="1012">
        <v>0.73109999999999997</v>
      </c>
      <c r="M252" s="1012">
        <v>0.73109999999999997</v>
      </c>
    </row>
    <row r="253" spans="1:13">
      <c r="A253" s="1027">
        <v>4.7</v>
      </c>
      <c r="B253" s="1012">
        <v>0.875</v>
      </c>
      <c r="C253" s="1012">
        <v>0.875</v>
      </c>
      <c r="D253" s="1012">
        <v>0.86260000000000003</v>
      </c>
      <c r="E253" s="1012">
        <v>0.86260000000000003</v>
      </c>
      <c r="F253" s="1012">
        <v>0.86260000000000003</v>
      </c>
      <c r="G253" s="1012">
        <v>0.86260000000000003</v>
      </c>
      <c r="H253" s="1012">
        <v>0.86260000000000003</v>
      </c>
      <c r="I253" s="1012">
        <v>0.72750000000000004</v>
      </c>
      <c r="J253" s="1012">
        <v>0.72750000000000004</v>
      </c>
      <c r="K253" s="1012">
        <v>0.72750000000000004</v>
      </c>
      <c r="L253" s="1012">
        <v>0.72750000000000004</v>
      </c>
      <c r="M253" s="1012">
        <v>0.72750000000000004</v>
      </c>
    </row>
    <row r="254" spans="1:13">
      <c r="A254" s="1027">
        <v>4.8</v>
      </c>
      <c r="B254" s="1012">
        <v>0.87229999999999996</v>
      </c>
      <c r="C254" s="1012">
        <v>0.87229999999999996</v>
      </c>
      <c r="D254" s="1012">
        <v>0.85950000000000004</v>
      </c>
      <c r="E254" s="1012">
        <v>0.85950000000000004</v>
      </c>
      <c r="F254" s="1012">
        <v>0.85950000000000004</v>
      </c>
      <c r="G254" s="1012">
        <v>0.85950000000000004</v>
      </c>
      <c r="H254" s="1012">
        <v>0.85950000000000004</v>
      </c>
      <c r="I254" s="1012">
        <v>0.72399999999999998</v>
      </c>
      <c r="J254" s="1012">
        <v>0.72399999999999998</v>
      </c>
      <c r="K254" s="1012">
        <v>0.72399999999999998</v>
      </c>
      <c r="L254" s="1012">
        <v>0.72399999999999998</v>
      </c>
      <c r="M254" s="1012">
        <v>0.72399999999999998</v>
      </c>
    </row>
    <row r="255" spans="1:13">
      <c r="A255" s="1027">
        <v>4.9000000000000004</v>
      </c>
      <c r="B255" s="1012">
        <v>0.86980000000000002</v>
      </c>
      <c r="C255" s="1012">
        <v>0.86980000000000002</v>
      </c>
      <c r="D255" s="1012">
        <v>0.85660000000000003</v>
      </c>
      <c r="E255" s="1012">
        <v>0.85660000000000003</v>
      </c>
      <c r="F255" s="1012">
        <v>0.85660000000000003</v>
      </c>
      <c r="G255" s="1012">
        <v>0.85660000000000003</v>
      </c>
      <c r="H255" s="1012">
        <v>0.85660000000000003</v>
      </c>
      <c r="I255" s="1012">
        <v>0.7208</v>
      </c>
      <c r="J255" s="1012">
        <v>0.7208</v>
      </c>
      <c r="K255" s="1012">
        <v>0.7208</v>
      </c>
      <c r="L255" s="1012">
        <v>0.7208</v>
      </c>
      <c r="M255" s="1012">
        <v>0.7208</v>
      </c>
    </row>
    <row r="256" spans="1:13">
      <c r="A256" s="1027">
        <v>5</v>
      </c>
      <c r="B256" s="1012">
        <v>0.86739999999999995</v>
      </c>
      <c r="C256" s="1012">
        <v>0.86739999999999995</v>
      </c>
      <c r="D256" s="1012">
        <v>0.8538</v>
      </c>
      <c r="E256" s="1012">
        <v>0.8538</v>
      </c>
      <c r="F256" s="1012">
        <v>0.8538</v>
      </c>
      <c r="G256" s="1012">
        <v>0.8538</v>
      </c>
      <c r="H256" s="1012">
        <v>0.8538</v>
      </c>
      <c r="I256" s="1012">
        <v>0.71760000000000002</v>
      </c>
      <c r="J256" s="1012">
        <v>0.71760000000000002</v>
      </c>
      <c r="K256" s="1012">
        <v>0.71760000000000002</v>
      </c>
      <c r="L256" s="1012">
        <v>0.71760000000000002</v>
      </c>
      <c r="M256" s="1012">
        <v>0.71760000000000002</v>
      </c>
    </row>
    <row r="257" spans="1:13">
      <c r="A257" s="1003">
        <v>5.0999999999999996</v>
      </c>
      <c r="B257" s="1012">
        <v>0.86519999999999997</v>
      </c>
      <c r="C257" s="1012">
        <v>0.86519999999999997</v>
      </c>
      <c r="D257" s="1012">
        <v>0.85109999999999997</v>
      </c>
      <c r="E257" s="1012">
        <v>0.85109999999999997</v>
      </c>
      <c r="F257" s="1012">
        <v>0.85109999999999997</v>
      </c>
      <c r="G257" s="1012">
        <v>0.85109999999999997</v>
      </c>
      <c r="H257" s="1012">
        <v>0.85109999999999997</v>
      </c>
      <c r="I257" s="1012">
        <v>0.7147</v>
      </c>
      <c r="J257" s="1012">
        <v>0.7147</v>
      </c>
      <c r="K257" s="1012">
        <v>0.7147</v>
      </c>
      <c r="L257" s="1012">
        <v>0.7147</v>
      </c>
      <c r="M257" s="1012">
        <v>0.7147</v>
      </c>
    </row>
    <row r="258" spans="1:13">
      <c r="A258" s="1003">
        <v>5.2</v>
      </c>
      <c r="B258" s="1012">
        <v>0.86309999999999998</v>
      </c>
      <c r="C258" s="1012">
        <v>0.86309999999999998</v>
      </c>
      <c r="D258" s="1012">
        <v>0.84860000000000002</v>
      </c>
      <c r="E258" s="1012">
        <v>0.84860000000000002</v>
      </c>
      <c r="F258" s="1012">
        <v>0.84860000000000002</v>
      </c>
      <c r="G258" s="1012">
        <v>0.84860000000000002</v>
      </c>
      <c r="H258" s="1012">
        <v>0.84860000000000002</v>
      </c>
      <c r="I258" s="1012">
        <v>0.71189999999999998</v>
      </c>
      <c r="J258" s="1012">
        <v>0.71189999999999998</v>
      </c>
      <c r="K258" s="1012">
        <v>0.71189999999999998</v>
      </c>
      <c r="L258" s="1012">
        <v>0.71189999999999998</v>
      </c>
      <c r="M258" s="1012">
        <v>0.71189999999999998</v>
      </c>
    </row>
    <row r="259" spans="1:13">
      <c r="A259" s="1003">
        <v>5.3</v>
      </c>
      <c r="B259" s="1012">
        <v>0.86119999999999997</v>
      </c>
      <c r="C259" s="1012">
        <v>0.86119999999999997</v>
      </c>
      <c r="D259" s="1012">
        <v>0.84619999999999995</v>
      </c>
      <c r="E259" s="1012">
        <v>0.84619999999999995</v>
      </c>
      <c r="F259" s="1012">
        <v>0.84619999999999995</v>
      </c>
      <c r="G259" s="1012">
        <v>0.84619999999999995</v>
      </c>
      <c r="H259" s="1012">
        <v>0.84619999999999995</v>
      </c>
      <c r="I259" s="1012">
        <v>0.70909999999999995</v>
      </c>
      <c r="J259" s="1012">
        <v>0.70909999999999995</v>
      </c>
      <c r="K259" s="1012">
        <v>0.70909999999999995</v>
      </c>
      <c r="L259" s="1012">
        <v>0.70909999999999995</v>
      </c>
      <c r="M259" s="1012">
        <v>0.70909999999999995</v>
      </c>
    </row>
    <row r="260" spans="1:13">
      <c r="A260" s="1003">
        <v>5.4</v>
      </c>
      <c r="B260" s="1012">
        <v>0.85940000000000005</v>
      </c>
      <c r="C260" s="1012">
        <v>0.85940000000000005</v>
      </c>
      <c r="D260" s="1012">
        <v>0.84389999999999998</v>
      </c>
      <c r="E260" s="1012">
        <v>0.84389999999999998</v>
      </c>
      <c r="F260" s="1012">
        <v>0.84389999999999998</v>
      </c>
      <c r="G260" s="1012">
        <v>0.84389999999999998</v>
      </c>
      <c r="H260" s="1012">
        <v>0.84389999999999998</v>
      </c>
      <c r="I260" s="1012">
        <v>0.70650000000000002</v>
      </c>
      <c r="J260" s="1012">
        <v>0.70650000000000002</v>
      </c>
      <c r="K260" s="1012">
        <v>0.70650000000000002</v>
      </c>
      <c r="L260" s="1012">
        <v>0.70650000000000002</v>
      </c>
      <c r="M260" s="1012">
        <v>0.70650000000000002</v>
      </c>
    </row>
    <row r="261" spans="1:13">
      <c r="A261" s="1003">
        <v>5.5</v>
      </c>
      <c r="B261" s="1012">
        <v>0.85770000000000002</v>
      </c>
      <c r="C261" s="1012">
        <v>0.85770000000000002</v>
      </c>
      <c r="D261" s="1012">
        <v>0.84179999999999999</v>
      </c>
      <c r="E261" s="1012">
        <v>0.84179999999999999</v>
      </c>
      <c r="F261" s="1012">
        <v>0.84179999999999999</v>
      </c>
      <c r="G261" s="1012">
        <v>0.84179999999999999</v>
      </c>
      <c r="H261" s="1012">
        <v>0.84179999999999999</v>
      </c>
      <c r="I261" s="1012">
        <v>0.70399999999999996</v>
      </c>
      <c r="J261" s="1012">
        <v>0.70399999999999996</v>
      </c>
      <c r="K261" s="1012">
        <v>0.70399999999999996</v>
      </c>
      <c r="L261" s="1012">
        <v>0.70399999999999996</v>
      </c>
      <c r="M261" s="1012">
        <v>0.70399999999999996</v>
      </c>
    </row>
    <row r="262" spans="1:13">
      <c r="A262" s="1003">
        <v>5.6</v>
      </c>
      <c r="B262" s="1012">
        <v>0.85599999999999998</v>
      </c>
      <c r="C262" s="1012">
        <v>0.85599999999999998</v>
      </c>
      <c r="D262" s="1012">
        <v>0.83979999999999999</v>
      </c>
      <c r="E262" s="1012">
        <v>0.83979999999999999</v>
      </c>
      <c r="F262" s="1012">
        <v>0.83979999999999999</v>
      </c>
      <c r="G262" s="1012">
        <v>0.83979999999999999</v>
      </c>
      <c r="H262" s="1012">
        <v>0.83979999999999999</v>
      </c>
      <c r="I262" s="1012">
        <v>0.7016</v>
      </c>
      <c r="J262" s="1012">
        <v>0.7016</v>
      </c>
      <c r="K262" s="1012">
        <v>0.7016</v>
      </c>
      <c r="L262" s="1012">
        <v>0.7016</v>
      </c>
      <c r="M262" s="1012">
        <v>0.7016</v>
      </c>
    </row>
    <row r="263" spans="1:13">
      <c r="A263" s="1027">
        <v>5.7</v>
      </c>
      <c r="B263" s="1012">
        <v>0.85440000000000005</v>
      </c>
      <c r="C263" s="1012">
        <v>0.85440000000000005</v>
      </c>
      <c r="D263" s="1012">
        <v>0.83789999999999998</v>
      </c>
      <c r="E263" s="1012">
        <v>0.83789999999999998</v>
      </c>
      <c r="F263" s="1012">
        <v>0.83789999999999998</v>
      </c>
      <c r="G263" s="1012">
        <v>0.83789999999999998</v>
      </c>
      <c r="H263" s="1012">
        <v>0.83789999999999998</v>
      </c>
      <c r="I263" s="1012">
        <v>0.69940000000000002</v>
      </c>
      <c r="J263" s="1012">
        <v>0.69940000000000002</v>
      </c>
      <c r="K263" s="1012">
        <v>0.69940000000000002</v>
      </c>
      <c r="L263" s="1012">
        <v>0.69940000000000002</v>
      </c>
      <c r="M263" s="1012">
        <v>0.69940000000000002</v>
      </c>
    </row>
    <row r="264" spans="1:13">
      <c r="A264" s="1003">
        <v>5.8</v>
      </c>
      <c r="B264" s="1012">
        <v>0.85289999999999999</v>
      </c>
      <c r="C264" s="1012">
        <v>0.85289999999999999</v>
      </c>
      <c r="D264" s="1012">
        <v>0.83599999999999997</v>
      </c>
      <c r="E264" s="1012">
        <v>0.83599999999999997</v>
      </c>
      <c r="F264" s="1012">
        <v>0.83599999999999997</v>
      </c>
      <c r="G264" s="1012">
        <v>0.83599999999999997</v>
      </c>
      <c r="H264" s="1012">
        <v>0.83599999999999997</v>
      </c>
      <c r="I264" s="1012">
        <v>0.69720000000000004</v>
      </c>
      <c r="J264" s="1012">
        <v>0.69720000000000004</v>
      </c>
      <c r="K264" s="1012">
        <v>0.69720000000000004</v>
      </c>
      <c r="L264" s="1012">
        <v>0.69720000000000004</v>
      </c>
      <c r="M264" s="1012">
        <v>0.69720000000000004</v>
      </c>
    </row>
    <row r="265" spans="1:13">
      <c r="A265" s="1003">
        <v>5.9</v>
      </c>
      <c r="B265" s="1012">
        <v>0.85150000000000003</v>
      </c>
      <c r="C265" s="1012">
        <v>0.85150000000000003</v>
      </c>
      <c r="D265" s="1012">
        <v>0.83430000000000004</v>
      </c>
      <c r="E265" s="1012">
        <v>0.83430000000000004</v>
      </c>
      <c r="F265" s="1012">
        <v>0.83430000000000004</v>
      </c>
      <c r="G265" s="1012">
        <v>0.83430000000000004</v>
      </c>
      <c r="H265" s="1012">
        <v>0.83430000000000004</v>
      </c>
      <c r="I265" s="1012">
        <v>0.69520000000000004</v>
      </c>
      <c r="J265" s="1012">
        <v>0.69520000000000004</v>
      </c>
      <c r="K265" s="1012">
        <v>0.69520000000000004</v>
      </c>
      <c r="L265" s="1012">
        <v>0.69520000000000004</v>
      </c>
      <c r="M265" s="1012">
        <v>0.69520000000000004</v>
      </c>
    </row>
    <row r="266" spans="1:13">
      <c r="A266" s="1003">
        <v>6</v>
      </c>
      <c r="B266" s="1012">
        <v>0.85019999999999996</v>
      </c>
      <c r="C266" s="1012">
        <v>0.85019999999999996</v>
      </c>
      <c r="D266" s="1012">
        <v>0.8327</v>
      </c>
      <c r="E266" s="1012">
        <v>0.8327</v>
      </c>
      <c r="F266" s="1012">
        <v>0.8327</v>
      </c>
      <c r="G266" s="1012">
        <v>0.8327</v>
      </c>
      <c r="H266" s="1012">
        <v>0.8327</v>
      </c>
      <c r="I266" s="1012">
        <v>0.69320000000000004</v>
      </c>
      <c r="J266" s="1012">
        <v>0.69320000000000004</v>
      </c>
      <c r="K266" s="1012">
        <v>0.69320000000000004</v>
      </c>
      <c r="L266" s="1012">
        <v>0.69320000000000004</v>
      </c>
      <c r="M266" s="1012">
        <v>0.69320000000000004</v>
      </c>
    </row>
    <row r="267" spans="1:13">
      <c r="A267" s="1003">
        <v>6.1</v>
      </c>
      <c r="B267" s="1012">
        <v>0.84899999999999998</v>
      </c>
      <c r="C267" s="1012">
        <v>0.84899999999999998</v>
      </c>
      <c r="D267" s="1012">
        <v>0.83109999999999995</v>
      </c>
      <c r="E267" s="1012">
        <v>0.83109999999999995</v>
      </c>
      <c r="F267" s="1012">
        <v>0.83109999999999995</v>
      </c>
      <c r="G267" s="1012">
        <v>0.83109999999999995</v>
      </c>
      <c r="H267" s="1012">
        <v>0.83109999999999995</v>
      </c>
      <c r="I267" s="1012">
        <v>0.69130000000000003</v>
      </c>
      <c r="J267" s="1012">
        <v>0.69130000000000003</v>
      </c>
      <c r="K267" s="1012">
        <v>0.69130000000000003</v>
      </c>
      <c r="L267" s="1012">
        <v>0.69130000000000003</v>
      </c>
      <c r="M267" s="1012">
        <v>0.69130000000000003</v>
      </c>
    </row>
    <row r="268" spans="1:13">
      <c r="A268" s="1003">
        <v>6.2</v>
      </c>
      <c r="B268" s="1012">
        <v>0.8478</v>
      </c>
      <c r="C268" s="1012">
        <v>0.8478</v>
      </c>
      <c r="D268" s="1012">
        <v>0.8296</v>
      </c>
      <c r="E268" s="1012">
        <v>0.8296</v>
      </c>
      <c r="F268" s="1012">
        <v>0.8296</v>
      </c>
      <c r="G268" s="1012">
        <v>0.8296</v>
      </c>
      <c r="H268" s="1012">
        <v>0.8296</v>
      </c>
      <c r="I268" s="1012">
        <v>0.68940000000000001</v>
      </c>
      <c r="J268" s="1012">
        <v>0.68940000000000001</v>
      </c>
      <c r="K268" s="1012">
        <v>0.68940000000000001</v>
      </c>
      <c r="L268" s="1012">
        <v>0.68940000000000001</v>
      </c>
      <c r="M268" s="1012">
        <v>0.68940000000000001</v>
      </c>
    </row>
    <row r="269" spans="1:13">
      <c r="A269" s="1003">
        <v>6.3</v>
      </c>
      <c r="B269" s="1012">
        <v>0.84670000000000001</v>
      </c>
      <c r="C269" s="1012">
        <v>0.84670000000000001</v>
      </c>
      <c r="D269" s="1012">
        <v>0.82820000000000005</v>
      </c>
      <c r="E269" s="1012">
        <v>0.82820000000000005</v>
      </c>
      <c r="F269" s="1012">
        <v>0.82820000000000005</v>
      </c>
      <c r="G269" s="1012">
        <v>0.82820000000000005</v>
      </c>
      <c r="H269" s="1012">
        <v>0.82820000000000005</v>
      </c>
      <c r="I269" s="1012">
        <v>0.68769999999999998</v>
      </c>
      <c r="J269" s="1012">
        <v>0.68769999999999998</v>
      </c>
      <c r="K269" s="1012">
        <v>0.68769999999999998</v>
      </c>
      <c r="L269" s="1012">
        <v>0.68769999999999998</v>
      </c>
      <c r="M269" s="1012">
        <v>0.68769999999999998</v>
      </c>
    </row>
    <row r="270" spans="1:13">
      <c r="A270" s="1003">
        <v>6.4</v>
      </c>
      <c r="B270" s="1012">
        <v>0.84570000000000001</v>
      </c>
      <c r="C270" s="1012">
        <v>0.84570000000000001</v>
      </c>
      <c r="D270" s="1012">
        <v>0.82689999999999997</v>
      </c>
      <c r="E270" s="1012">
        <v>0.82689999999999997</v>
      </c>
      <c r="F270" s="1012">
        <v>0.82689999999999997</v>
      </c>
      <c r="G270" s="1012">
        <v>0.82689999999999997</v>
      </c>
      <c r="H270" s="1012">
        <v>0.82689999999999997</v>
      </c>
      <c r="I270" s="1012">
        <v>0.68610000000000004</v>
      </c>
      <c r="J270" s="1012">
        <v>0.68610000000000004</v>
      </c>
      <c r="K270" s="1012">
        <v>0.68610000000000004</v>
      </c>
      <c r="L270" s="1012">
        <v>0.68610000000000004</v>
      </c>
      <c r="M270" s="1012">
        <v>0.68610000000000004</v>
      </c>
    </row>
    <row r="271" spans="1:13">
      <c r="A271" s="1003">
        <v>6.5</v>
      </c>
      <c r="B271" s="1012">
        <v>0.84470000000000001</v>
      </c>
      <c r="C271" s="1012">
        <v>0.84470000000000001</v>
      </c>
      <c r="D271" s="1012">
        <v>0.82569999999999999</v>
      </c>
      <c r="E271" s="1012">
        <v>0.82569999999999999</v>
      </c>
      <c r="F271" s="1012">
        <v>0.82569999999999999</v>
      </c>
      <c r="G271" s="1012">
        <v>0.82569999999999999</v>
      </c>
      <c r="H271" s="1012">
        <v>0.82569999999999999</v>
      </c>
      <c r="I271" s="1012">
        <v>0.68440000000000001</v>
      </c>
      <c r="J271" s="1012">
        <v>0.68440000000000001</v>
      </c>
      <c r="K271" s="1012">
        <v>0.68440000000000001</v>
      </c>
      <c r="L271" s="1012">
        <v>0.68440000000000001</v>
      </c>
      <c r="M271" s="1012">
        <v>0.68440000000000001</v>
      </c>
    </row>
    <row r="272" spans="1:13">
      <c r="A272" s="1003">
        <v>6.6</v>
      </c>
      <c r="B272" s="1012">
        <v>0.84370000000000001</v>
      </c>
      <c r="C272" s="1012">
        <v>0.84370000000000001</v>
      </c>
      <c r="D272" s="1012">
        <v>0.82450000000000001</v>
      </c>
      <c r="E272" s="1012">
        <v>0.82450000000000001</v>
      </c>
      <c r="F272" s="1012">
        <v>0.82450000000000001</v>
      </c>
      <c r="G272" s="1012">
        <v>0.82450000000000001</v>
      </c>
      <c r="H272" s="1012">
        <v>0.82450000000000001</v>
      </c>
      <c r="I272" s="1012">
        <v>0.68289999999999995</v>
      </c>
      <c r="J272" s="1012">
        <v>0.68289999999999995</v>
      </c>
      <c r="K272" s="1012">
        <v>0.68289999999999995</v>
      </c>
      <c r="L272" s="1012">
        <v>0.68289999999999995</v>
      </c>
      <c r="M272" s="1012">
        <v>0.68289999999999995</v>
      </c>
    </row>
    <row r="273" spans="1:13">
      <c r="A273" s="1003">
        <v>6.7</v>
      </c>
      <c r="B273" s="1012">
        <v>0.8427</v>
      </c>
      <c r="C273" s="1012">
        <v>0.8427</v>
      </c>
      <c r="D273" s="1012">
        <v>0.82330000000000003</v>
      </c>
      <c r="E273" s="1012">
        <v>0.82330000000000003</v>
      </c>
      <c r="F273" s="1012">
        <v>0.82330000000000003</v>
      </c>
      <c r="G273" s="1012">
        <v>0.82330000000000003</v>
      </c>
      <c r="H273" s="1012">
        <v>0.82330000000000003</v>
      </c>
      <c r="I273" s="1012">
        <v>0.68130000000000002</v>
      </c>
      <c r="J273" s="1012">
        <v>0.68130000000000002</v>
      </c>
      <c r="K273" s="1012">
        <v>0.68130000000000002</v>
      </c>
      <c r="L273" s="1012">
        <v>0.68130000000000002</v>
      </c>
      <c r="M273" s="1012">
        <v>0.68130000000000002</v>
      </c>
    </row>
    <row r="274" spans="1:13">
      <c r="A274" s="1003">
        <v>6.8</v>
      </c>
      <c r="B274" s="1012">
        <v>0.84179999999999999</v>
      </c>
      <c r="C274" s="1012">
        <v>0.84179999999999999</v>
      </c>
      <c r="D274" s="1012">
        <v>0.82210000000000005</v>
      </c>
      <c r="E274" s="1012">
        <v>0.82210000000000005</v>
      </c>
      <c r="F274" s="1012">
        <v>0.82210000000000005</v>
      </c>
      <c r="G274" s="1012">
        <v>0.82210000000000005</v>
      </c>
      <c r="H274" s="1012">
        <v>0.82210000000000005</v>
      </c>
      <c r="I274" s="1012">
        <v>0.67979999999999996</v>
      </c>
      <c r="J274" s="1012">
        <v>0.67979999999999996</v>
      </c>
      <c r="K274" s="1012">
        <v>0.67979999999999996</v>
      </c>
      <c r="L274" s="1012">
        <v>0.67979999999999996</v>
      </c>
      <c r="M274" s="1012">
        <v>0.67979999999999996</v>
      </c>
    </row>
    <row r="275" spans="1:13">
      <c r="A275" s="1003">
        <v>6.9</v>
      </c>
      <c r="B275" s="1012">
        <v>0.84089999999999998</v>
      </c>
      <c r="C275" s="1012">
        <v>0.84089999999999998</v>
      </c>
      <c r="D275" s="1012">
        <v>0.82099999999999995</v>
      </c>
      <c r="E275" s="1012">
        <v>0.82099999999999995</v>
      </c>
      <c r="F275" s="1012">
        <v>0.82099999999999995</v>
      </c>
      <c r="G275" s="1012">
        <v>0.82099999999999995</v>
      </c>
      <c r="H275" s="1012">
        <v>0.82099999999999995</v>
      </c>
      <c r="I275" s="1012">
        <v>0.67849999999999999</v>
      </c>
      <c r="J275" s="1012">
        <v>0.67849999999999999</v>
      </c>
      <c r="K275" s="1012">
        <v>0.67849999999999999</v>
      </c>
      <c r="L275" s="1012">
        <v>0.67849999999999999</v>
      </c>
      <c r="M275" s="1012">
        <v>0.67849999999999999</v>
      </c>
    </row>
    <row r="276" spans="1:13">
      <c r="A276" s="1003">
        <v>7</v>
      </c>
      <c r="B276" s="1012">
        <v>0.84009999999999996</v>
      </c>
      <c r="C276" s="1012">
        <v>0.84009999999999996</v>
      </c>
      <c r="D276" s="1012">
        <v>0.81989999999999996</v>
      </c>
      <c r="E276" s="1012">
        <v>0.81989999999999996</v>
      </c>
      <c r="F276" s="1012">
        <v>0.81989999999999996</v>
      </c>
      <c r="G276" s="1012">
        <v>0.81989999999999996</v>
      </c>
      <c r="H276" s="1012">
        <v>0.81989999999999996</v>
      </c>
      <c r="I276" s="1012">
        <v>0.67720000000000002</v>
      </c>
      <c r="J276" s="1012">
        <v>0.67720000000000002</v>
      </c>
      <c r="K276" s="1012">
        <v>0.67720000000000002</v>
      </c>
      <c r="L276" s="1012">
        <v>0.67720000000000002</v>
      </c>
      <c r="M276" s="1012">
        <v>0.67720000000000002</v>
      </c>
    </row>
    <row r="277" spans="1:13">
      <c r="A277" s="1003">
        <v>7.1</v>
      </c>
      <c r="B277" s="1012">
        <v>0.83930000000000005</v>
      </c>
      <c r="C277" s="1012">
        <v>0.83930000000000005</v>
      </c>
      <c r="D277" s="1012">
        <v>0.81889999999999996</v>
      </c>
      <c r="E277" s="1012">
        <v>0.81889999999999996</v>
      </c>
      <c r="F277" s="1012">
        <v>0.81889999999999996</v>
      </c>
      <c r="G277" s="1012">
        <v>0.81889999999999996</v>
      </c>
      <c r="H277" s="1012">
        <v>0.81889999999999996</v>
      </c>
      <c r="I277" s="1012">
        <v>0.67589999999999995</v>
      </c>
      <c r="J277" s="1012">
        <v>0.67589999999999995</v>
      </c>
      <c r="K277" s="1012">
        <v>0.67589999999999995</v>
      </c>
      <c r="L277" s="1012">
        <v>0.67589999999999995</v>
      </c>
      <c r="M277" s="1012">
        <v>0.67589999999999995</v>
      </c>
    </row>
    <row r="278" spans="1:13">
      <c r="A278" s="1003">
        <v>7.2</v>
      </c>
      <c r="B278" s="1012">
        <v>0.83850000000000002</v>
      </c>
      <c r="C278" s="1012">
        <v>0.83850000000000002</v>
      </c>
      <c r="D278" s="1012">
        <v>0.81789999999999996</v>
      </c>
      <c r="E278" s="1012">
        <v>0.81789999999999996</v>
      </c>
      <c r="F278" s="1012">
        <v>0.81789999999999996</v>
      </c>
      <c r="G278" s="1012">
        <v>0.81789999999999996</v>
      </c>
      <c r="H278" s="1012">
        <v>0.81789999999999996</v>
      </c>
      <c r="I278" s="1012">
        <v>0.67459999999999998</v>
      </c>
      <c r="J278" s="1012">
        <v>0.67459999999999998</v>
      </c>
      <c r="K278" s="1012">
        <v>0.67459999999999998</v>
      </c>
      <c r="L278" s="1012">
        <v>0.67459999999999998</v>
      </c>
      <c r="M278" s="1012">
        <v>0.67459999999999998</v>
      </c>
    </row>
    <row r="279" spans="1:13">
      <c r="A279" s="1003">
        <v>7.3</v>
      </c>
      <c r="B279" s="1012">
        <v>0.8377</v>
      </c>
      <c r="C279" s="1012">
        <v>0.8377</v>
      </c>
      <c r="D279" s="1012">
        <v>0.81689999999999996</v>
      </c>
      <c r="E279" s="1012">
        <v>0.81689999999999996</v>
      </c>
      <c r="F279" s="1012">
        <v>0.81689999999999996</v>
      </c>
      <c r="G279" s="1012">
        <v>0.81689999999999996</v>
      </c>
      <c r="H279" s="1012">
        <v>0.81689999999999996</v>
      </c>
      <c r="I279" s="1012">
        <v>0.6734</v>
      </c>
      <c r="J279" s="1012">
        <v>0.6734</v>
      </c>
      <c r="K279" s="1012">
        <v>0.6734</v>
      </c>
      <c r="L279" s="1012">
        <v>0.6734</v>
      </c>
      <c r="M279" s="1012">
        <v>0.6734</v>
      </c>
    </row>
    <row r="280" spans="1:13">
      <c r="A280" s="1003">
        <v>7.4</v>
      </c>
      <c r="B280" s="1012">
        <v>0.83699999999999997</v>
      </c>
      <c r="C280" s="1012">
        <v>0.83699999999999997</v>
      </c>
      <c r="D280" s="1012">
        <v>0.81599999999999995</v>
      </c>
      <c r="E280" s="1012">
        <v>0.81599999999999995</v>
      </c>
      <c r="F280" s="1012">
        <v>0.81599999999999995</v>
      </c>
      <c r="G280" s="1012">
        <v>0.81599999999999995</v>
      </c>
      <c r="H280" s="1012">
        <v>0.81599999999999995</v>
      </c>
      <c r="I280" s="1012">
        <v>0.67210000000000003</v>
      </c>
      <c r="J280" s="1012">
        <v>0.67210000000000003</v>
      </c>
      <c r="K280" s="1012">
        <v>0.67210000000000003</v>
      </c>
      <c r="L280" s="1012">
        <v>0.67210000000000003</v>
      </c>
      <c r="M280" s="1012">
        <v>0.67210000000000003</v>
      </c>
    </row>
    <row r="281" spans="1:13">
      <c r="A281" s="1003">
        <v>7.5</v>
      </c>
      <c r="B281" s="1012">
        <v>0.83630000000000004</v>
      </c>
      <c r="C281" s="1012">
        <v>0.83630000000000004</v>
      </c>
      <c r="D281" s="1012">
        <v>0.81510000000000005</v>
      </c>
      <c r="E281" s="1012">
        <v>0.81510000000000005</v>
      </c>
      <c r="F281" s="1012">
        <v>0.81510000000000005</v>
      </c>
      <c r="G281" s="1012">
        <v>0.81510000000000005</v>
      </c>
      <c r="H281" s="1012">
        <v>0.81510000000000005</v>
      </c>
      <c r="I281" s="1012">
        <v>0.67090000000000005</v>
      </c>
      <c r="J281" s="1012">
        <v>0.67090000000000005</v>
      </c>
      <c r="K281" s="1012">
        <v>0.67090000000000005</v>
      </c>
      <c r="L281" s="1012">
        <v>0.67090000000000005</v>
      </c>
      <c r="M281" s="1012">
        <v>0.67090000000000005</v>
      </c>
    </row>
    <row r="282" spans="1:13">
      <c r="A282" s="1003">
        <v>7.6</v>
      </c>
      <c r="B282" s="1012">
        <v>0.83560000000000001</v>
      </c>
      <c r="C282" s="1012">
        <v>0.83560000000000001</v>
      </c>
      <c r="D282" s="1012">
        <v>0.81420000000000003</v>
      </c>
      <c r="E282" s="1012">
        <v>0.81420000000000003</v>
      </c>
      <c r="F282" s="1012">
        <v>0.81420000000000003</v>
      </c>
      <c r="G282" s="1012">
        <v>0.81420000000000003</v>
      </c>
      <c r="H282" s="1012">
        <v>0.81420000000000003</v>
      </c>
      <c r="I282" s="1012">
        <v>0.66979999999999995</v>
      </c>
      <c r="J282" s="1012">
        <v>0.66979999999999995</v>
      </c>
      <c r="K282" s="1012">
        <v>0.66979999999999995</v>
      </c>
      <c r="L282" s="1012">
        <v>0.66979999999999995</v>
      </c>
      <c r="M282" s="1012">
        <v>0.66979999999999995</v>
      </c>
    </row>
    <row r="283" spans="1:13">
      <c r="A283" s="1003">
        <v>7.7</v>
      </c>
      <c r="B283" s="1012">
        <v>0.83489999999999998</v>
      </c>
      <c r="C283" s="1012">
        <v>0.83489999999999998</v>
      </c>
      <c r="D283" s="1012">
        <v>0.81330000000000002</v>
      </c>
      <c r="E283" s="1012">
        <v>0.81330000000000002</v>
      </c>
      <c r="F283" s="1012">
        <v>0.81330000000000002</v>
      </c>
      <c r="G283" s="1012">
        <v>0.81330000000000002</v>
      </c>
      <c r="H283" s="1012">
        <v>0.81330000000000002</v>
      </c>
      <c r="I283" s="1012">
        <v>0.66869999999999996</v>
      </c>
      <c r="J283" s="1012">
        <v>0.66869999999999996</v>
      </c>
      <c r="K283" s="1012">
        <v>0.66869999999999996</v>
      </c>
      <c r="L283" s="1012">
        <v>0.66869999999999996</v>
      </c>
      <c r="M283" s="1012">
        <v>0.66869999999999996</v>
      </c>
    </row>
    <row r="284" spans="1:13">
      <c r="A284" s="1003">
        <v>7.8</v>
      </c>
      <c r="B284" s="1012">
        <v>0.83420000000000005</v>
      </c>
      <c r="C284" s="1012">
        <v>0.83420000000000005</v>
      </c>
      <c r="D284" s="1012">
        <v>0.81240000000000001</v>
      </c>
      <c r="E284" s="1012">
        <v>0.81240000000000001</v>
      </c>
      <c r="F284" s="1012">
        <v>0.81240000000000001</v>
      </c>
      <c r="G284" s="1012">
        <v>0.81240000000000001</v>
      </c>
      <c r="H284" s="1012">
        <v>0.81240000000000001</v>
      </c>
      <c r="I284" s="1012">
        <v>0.66759999999999997</v>
      </c>
      <c r="J284" s="1012">
        <v>0.66759999999999997</v>
      </c>
      <c r="K284" s="1012">
        <v>0.66759999999999997</v>
      </c>
      <c r="L284" s="1012">
        <v>0.66759999999999997</v>
      </c>
      <c r="M284" s="1012">
        <v>0.66759999999999997</v>
      </c>
    </row>
    <row r="285" spans="1:13">
      <c r="A285" s="1003">
        <v>7.9</v>
      </c>
      <c r="B285" s="1012">
        <v>0.83350000000000002</v>
      </c>
      <c r="C285" s="1012">
        <v>0.83350000000000002</v>
      </c>
      <c r="D285" s="1012">
        <v>0.81159999999999999</v>
      </c>
      <c r="E285" s="1012">
        <v>0.81159999999999999</v>
      </c>
      <c r="F285" s="1012">
        <v>0.81159999999999999</v>
      </c>
      <c r="G285" s="1012">
        <v>0.81159999999999999</v>
      </c>
      <c r="H285" s="1012">
        <v>0.81159999999999999</v>
      </c>
      <c r="I285" s="1012">
        <v>0.66649999999999998</v>
      </c>
      <c r="J285" s="1012">
        <v>0.66649999999999998</v>
      </c>
      <c r="K285" s="1012">
        <v>0.66649999999999998</v>
      </c>
      <c r="L285" s="1012">
        <v>0.66649999999999998</v>
      </c>
      <c r="M285" s="1012">
        <v>0.66649999999999998</v>
      </c>
    </row>
    <row r="286" spans="1:13">
      <c r="A286" s="1003">
        <v>8</v>
      </c>
      <c r="B286" s="1012">
        <v>0.83279999999999998</v>
      </c>
      <c r="C286" s="1012">
        <v>0.83279999999999998</v>
      </c>
      <c r="D286" s="1012">
        <v>0.81079999999999997</v>
      </c>
      <c r="E286" s="1012">
        <v>0.81079999999999997</v>
      </c>
      <c r="F286" s="1012">
        <v>0.81079999999999997</v>
      </c>
      <c r="G286" s="1012">
        <v>0.81079999999999997</v>
      </c>
      <c r="H286" s="1012">
        <v>0.81079999999999997</v>
      </c>
      <c r="I286" s="1012">
        <v>0.66549999999999998</v>
      </c>
      <c r="J286" s="1012">
        <v>0.66549999999999998</v>
      </c>
      <c r="K286" s="1012">
        <v>0.66549999999999998</v>
      </c>
      <c r="L286" s="1012">
        <v>0.66549999999999998</v>
      </c>
      <c r="M286" s="1012">
        <v>0.66549999999999998</v>
      </c>
    </row>
    <row r="287" spans="1:13">
      <c r="A287" s="1003">
        <v>8.1</v>
      </c>
      <c r="B287" s="1012">
        <v>0.83220000000000005</v>
      </c>
      <c r="C287" s="1012">
        <v>0.83220000000000005</v>
      </c>
      <c r="D287" s="1012">
        <v>0.81</v>
      </c>
      <c r="E287" s="1012">
        <v>0.81</v>
      </c>
      <c r="F287" s="1012">
        <v>0.81</v>
      </c>
      <c r="G287" s="1012">
        <v>0.81</v>
      </c>
      <c r="H287" s="1012">
        <v>0.81</v>
      </c>
      <c r="I287" s="1012">
        <v>0.66439999999999999</v>
      </c>
      <c r="J287" s="1012">
        <v>0.66439999999999999</v>
      </c>
      <c r="K287" s="1012">
        <v>0.66439999999999999</v>
      </c>
      <c r="L287" s="1012">
        <v>0.66439999999999999</v>
      </c>
      <c r="M287" s="1012">
        <v>0.66439999999999999</v>
      </c>
    </row>
    <row r="288" spans="1:13">
      <c r="A288" s="1003">
        <v>8.1999999999999993</v>
      </c>
      <c r="B288" s="1012">
        <v>0.83160000000000001</v>
      </c>
      <c r="C288" s="1012">
        <v>0.83160000000000001</v>
      </c>
      <c r="D288" s="1012">
        <v>0.80920000000000003</v>
      </c>
      <c r="E288" s="1012">
        <v>0.80920000000000003</v>
      </c>
      <c r="F288" s="1012">
        <v>0.80920000000000003</v>
      </c>
      <c r="G288" s="1012">
        <v>0.80920000000000003</v>
      </c>
      <c r="H288" s="1012">
        <v>0.80920000000000003</v>
      </c>
      <c r="I288" s="1012">
        <v>0.66339999999999999</v>
      </c>
      <c r="J288" s="1012">
        <v>0.66339999999999999</v>
      </c>
      <c r="K288" s="1012">
        <v>0.66339999999999999</v>
      </c>
      <c r="L288" s="1012">
        <v>0.66339999999999999</v>
      </c>
      <c r="M288" s="1012">
        <v>0.66339999999999999</v>
      </c>
    </row>
    <row r="289" spans="1:13">
      <c r="A289" s="1003">
        <v>8.3000000000000007</v>
      </c>
      <c r="B289" s="1012">
        <v>0.83099999999999996</v>
      </c>
      <c r="C289" s="1012">
        <v>0.83099999999999996</v>
      </c>
      <c r="D289" s="1012">
        <v>0.80840000000000001</v>
      </c>
      <c r="E289" s="1012">
        <v>0.80840000000000001</v>
      </c>
      <c r="F289" s="1012">
        <v>0.80840000000000001</v>
      </c>
      <c r="G289" s="1012">
        <v>0.80840000000000001</v>
      </c>
      <c r="H289" s="1012">
        <v>0.80840000000000001</v>
      </c>
      <c r="I289" s="1012">
        <v>0.66239999999999999</v>
      </c>
      <c r="J289" s="1012">
        <v>0.66239999999999999</v>
      </c>
      <c r="K289" s="1012">
        <v>0.66239999999999999</v>
      </c>
      <c r="L289" s="1012">
        <v>0.66239999999999999</v>
      </c>
      <c r="M289" s="1012">
        <v>0.66239999999999999</v>
      </c>
    </row>
    <row r="290" spans="1:13">
      <c r="A290" s="1003">
        <v>8.4</v>
      </c>
      <c r="B290" s="1012">
        <v>0.83040000000000003</v>
      </c>
      <c r="C290" s="1012">
        <v>0.83040000000000003</v>
      </c>
      <c r="D290" s="1012">
        <v>0.80759999999999998</v>
      </c>
      <c r="E290" s="1012">
        <v>0.80759999999999998</v>
      </c>
      <c r="F290" s="1012">
        <v>0.80759999999999998</v>
      </c>
      <c r="G290" s="1012">
        <v>0.80759999999999998</v>
      </c>
      <c r="H290" s="1012">
        <v>0.80759999999999998</v>
      </c>
      <c r="I290" s="1012">
        <v>0.66139999999999999</v>
      </c>
      <c r="J290" s="1012">
        <v>0.66139999999999999</v>
      </c>
      <c r="K290" s="1012">
        <v>0.66139999999999999</v>
      </c>
      <c r="L290" s="1012">
        <v>0.66139999999999999</v>
      </c>
      <c r="M290" s="1012">
        <v>0.66139999999999999</v>
      </c>
    </row>
    <row r="291" spans="1:13">
      <c r="A291" s="1003">
        <v>8.5</v>
      </c>
      <c r="B291" s="1012">
        <v>0.82979999999999998</v>
      </c>
      <c r="C291" s="1012">
        <v>0.82979999999999998</v>
      </c>
      <c r="D291" s="1012">
        <v>0.80679999999999996</v>
      </c>
      <c r="E291" s="1012">
        <v>0.80679999999999996</v>
      </c>
      <c r="F291" s="1012">
        <v>0.80679999999999996</v>
      </c>
      <c r="G291" s="1012">
        <v>0.80679999999999996</v>
      </c>
      <c r="H291" s="1012">
        <v>0.80679999999999996</v>
      </c>
      <c r="I291" s="1012">
        <v>0.66049999999999998</v>
      </c>
      <c r="J291" s="1012">
        <v>0.66049999999999998</v>
      </c>
      <c r="K291" s="1012">
        <v>0.66049999999999998</v>
      </c>
      <c r="L291" s="1012">
        <v>0.66049999999999998</v>
      </c>
      <c r="M291" s="1012">
        <v>0.66049999999999998</v>
      </c>
    </row>
    <row r="292" spans="1:13">
      <c r="A292" s="1003">
        <v>8.6</v>
      </c>
      <c r="B292" s="1012">
        <v>0.82920000000000005</v>
      </c>
      <c r="C292" s="1012">
        <v>0.82920000000000005</v>
      </c>
      <c r="D292" s="1012">
        <v>0.80600000000000005</v>
      </c>
      <c r="E292" s="1012">
        <v>0.80600000000000005</v>
      </c>
      <c r="F292" s="1012">
        <v>0.80600000000000005</v>
      </c>
      <c r="G292" s="1012">
        <v>0.80600000000000005</v>
      </c>
      <c r="H292" s="1012">
        <v>0.80600000000000005</v>
      </c>
      <c r="I292" s="1012">
        <v>0.65949999999999998</v>
      </c>
      <c r="J292" s="1012">
        <v>0.65949999999999998</v>
      </c>
      <c r="K292" s="1012">
        <v>0.65949999999999998</v>
      </c>
      <c r="L292" s="1012">
        <v>0.65949999999999998</v>
      </c>
      <c r="M292" s="1012">
        <v>0.65949999999999998</v>
      </c>
    </row>
    <row r="293" spans="1:13">
      <c r="A293" s="1003">
        <v>8.6999999999999993</v>
      </c>
      <c r="B293" s="1012">
        <v>0.8286</v>
      </c>
      <c r="C293" s="1012">
        <v>0.8286</v>
      </c>
      <c r="D293" s="1012">
        <v>0.80520000000000003</v>
      </c>
      <c r="E293" s="1012">
        <v>0.80520000000000003</v>
      </c>
      <c r="F293" s="1012">
        <v>0.80520000000000003</v>
      </c>
      <c r="G293" s="1012">
        <v>0.80520000000000003</v>
      </c>
      <c r="H293" s="1012">
        <v>0.80520000000000003</v>
      </c>
      <c r="I293" s="1012">
        <v>0.65859999999999996</v>
      </c>
      <c r="J293" s="1012">
        <v>0.65859999999999996</v>
      </c>
      <c r="K293" s="1012">
        <v>0.65859999999999996</v>
      </c>
      <c r="L293" s="1012">
        <v>0.65859999999999996</v>
      </c>
      <c r="M293" s="1012">
        <v>0.65859999999999996</v>
      </c>
    </row>
    <row r="294" spans="1:13">
      <c r="A294" s="1003">
        <v>8.8000000000000007</v>
      </c>
      <c r="B294" s="1012">
        <v>0.82799999999999996</v>
      </c>
      <c r="C294" s="1012">
        <v>0.82799999999999996</v>
      </c>
      <c r="D294" s="1012">
        <v>0.8044</v>
      </c>
      <c r="E294" s="1012">
        <v>0.8044</v>
      </c>
      <c r="F294" s="1012">
        <v>0.8044</v>
      </c>
      <c r="G294" s="1012">
        <v>0.8044</v>
      </c>
      <c r="H294" s="1012">
        <v>0.8044</v>
      </c>
      <c r="I294" s="1012">
        <v>0.65759999999999996</v>
      </c>
      <c r="J294" s="1012">
        <v>0.65759999999999996</v>
      </c>
      <c r="K294" s="1012">
        <v>0.65759999999999996</v>
      </c>
      <c r="L294" s="1012">
        <v>0.65759999999999996</v>
      </c>
      <c r="M294" s="1012">
        <v>0.65759999999999996</v>
      </c>
    </row>
    <row r="295" spans="1:13">
      <c r="A295" s="1003">
        <v>8.9</v>
      </c>
      <c r="B295" s="1012">
        <v>0.82740000000000002</v>
      </c>
      <c r="C295" s="1012">
        <v>0.82740000000000002</v>
      </c>
      <c r="D295" s="1012">
        <v>0.80359999999999998</v>
      </c>
      <c r="E295" s="1012">
        <v>0.80359999999999998</v>
      </c>
      <c r="F295" s="1012">
        <v>0.80359999999999998</v>
      </c>
      <c r="G295" s="1012">
        <v>0.80359999999999998</v>
      </c>
      <c r="H295" s="1012">
        <v>0.80359999999999998</v>
      </c>
      <c r="I295" s="1012">
        <v>0.65669999999999995</v>
      </c>
      <c r="J295" s="1012">
        <v>0.65669999999999995</v>
      </c>
      <c r="K295" s="1012">
        <v>0.65669999999999995</v>
      </c>
      <c r="L295" s="1012">
        <v>0.65669999999999995</v>
      </c>
      <c r="M295" s="1012">
        <v>0.65669999999999995</v>
      </c>
    </row>
    <row r="296" spans="1:13">
      <c r="A296" s="1027">
        <v>9</v>
      </c>
      <c r="B296" s="1012">
        <v>0.82679999999999998</v>
      </c>
      <c r="C296" s="1012">
        <v>0.82679999999999998</v>
      </c>
      <c r="D296" s="1012">
        <v>0.80279999999999996</v>
      </c>
      <c r="E296" s="1012">
        <v>0.80279999999999996</v>
      </c>
      <c r="F296" s="1012">
        <v>0.80279999999999996</v>
      </c>
      <c r="G296" s="1012">
        <v>0.80279999999999996</v>
      </c>
      <c r="H296" s="1012">
        <v>0.80279999999999996</v>
      </c>
      <c r="I296" s="1012">
        <v>0.65569999999999995</v>
      </c>
      <c r="J296" s="1012">
        <v>0.65569999999999995</v>
      </c>
      <c r="K296" s="1012">
        <v>0.65569999999999995</v>
      </c>
      <c r="L296" s="1012">
        <v>0.65569999999999995</v>
      </c>
      <c r="M296" s="1012">
        <v>0.65569999999999995</v>
      </c>
    </row>
    <row r="297" spans="1:13">
      <c r="A297" s="1027">
        <v>9.1</v>
      </c>
      <c r="B297" s="1012">
        <v>0.82620000000000005</v>
      </c>
      <c r="C297" s="1012">
        <v>0.82620000000000005</v>
      </c>
      <c r="D297" s="1012">
        <v>0.80200000000000005</v>
      </c>
      <c r="E297" s="1012">
        <v>0.80200000000000005</v>
      </c>
      <c r="F297" s="1012">
        <v>0.80200000000000005</v>
      </c>
      <c r="G297" s="1012">
        <v>0.80200000000000005</v>
      </c>
      <c r="H297" s="1012">
        <v>0.80200000000000005</v>
      </c>
      <c r="I297" s="1012">
        <v>0.65480000000000005</v>
      </c>
      <c r="J297" s="1012">
        <v>0.65480000000000005</v>
      </c>
      <c r="K297" s="1012">
        <v>0.65480000000000005</v>
      </c>
      <c r="L297" s="1012">
        <v>0.65480000000000005</v>
      </c>
      <c r="M297" s="1012">
        <v>0.65480000000000005</v>
      </c>
    </row>
    <row r="298" spans="1:13">
      <c r="A298" s="1027">
        <v>9.1999999999999993</v>
      </c>
      <c r="B298" s="1012">
        <v>0.8256</v>
      </c>
      <c r="C298" s="1012">
        <v>0.8256</v>
      </c>
      <c r="D298" s="1012">
        <v>0.80120000000000002</v>
      </c>
      <c r="E298" s="1012">
        <v>0.80120000000000002</v>
      </c>
      <c r="F298" s="1012">
        <v>0.80120000000000002</v>
      </c>
      <c r="G298" s="1012">
        <v>0.80120000000000002</v>
      </c>
      <c r="H298" s="1012">
        <v>0.80120000000000002</v>
      </c>
      <c r="I298" s="1012">
        <v>0.65380000000000005</v>
      </c>
      <c r="J298" s="1012">
        <v>0.65380000000000005</v>
      </c>
      <c r="K298" s="1012">
        <v>0.65380000000000005</v>
      </c>
      <c r="L298" s="1012">
        <v>0.65380000000000005</v>
      </c>
      <c r="M298" s="1012">
        <v>0.65380000000000005</v>
      </c>
    </row>
    <row r="299" spans="1:13">
      <c r="A299" s="1027">
        <v>9.3000000000000007</v>
      </c>
      <c r="B299" s="1012">
        <v>0.82499999999999996</v>
      </c>
      <c r="C299" s="1012">
        <v>0.82499999999999996</v>
      </c>
      <c r="D299" s="1012">
        <v>0.8004</v>
      </c>
      <c r="E299" s="1012">
        <v>0.8004</v>
      </c>
      <c r="F299" s="1012">
        <v>0.8004</v>
      </c>
      <c r="G299" s="1012">
        <v>0.8004</v>
      </c>
      <c r="H299" s="1012">
        <v>0.8004</v>
      </c>
      <c r="I299" s="1012">
        <v>0.65290000000000004</v>
      </c>
      <c r="J299" s="1012">
        <v>0.65290000000000004</v>
      </c>
      <c r="K299" s="1012">
        <v>0.65290000000000004</v>
      </c>
      <c r="L299" s="1012">
        <v>0.65290000000000004</v>
      </c>
      <c r="M299" s="1012">
        <v>0.65290000000000004</v>
      </c>
    </row>
    <row r="300" spans="1:13">
      <c r="A300" s="1027">
        <v>9.4</v>
      </c>
      <c r="B300" s="1012">
        <v>0.82440000000000002</v>
      </c>
      <c r="C300" s="1012">
        <v>0.82440000000000002</v>
      </c>
      <c r="D300" s="1012">
        <v>0.79959999999999998</v>
      </c>
      <c r="E300" s="1012">
        <v>0.79959999999999998</v>
      </c>
      <c r="F300" s="1012">
        <v>0.79959999999999998</v>
      </c>
      <c r="G300" s="1012">
        <v>0.79959999999999998</v>
      </c>
      <c r="H300" s="1012">
        <v>0.79959999999999998</v>
      </c>
      <c r="I300" s="1012">
        <v>0.65190000000000003</v>
      </c>
      <c r="J300" s="1012">
        <v>0.65190000000000003</v>
      </c>
      <c r="K300" s="1012">
        <v>0.65190000000000003</v>
      </c>
      <c r="L300" s="1012">
        <v>0.65190000000000003</v>
      </c>
      <c r="M300" s="1012">
        <v>0.65190000000000003</v>
      </c>
    </row>
    <row r="301" spans="1:13">
      <c r="A301" s="1027">
        <v>9.5</v>
      </c>
      <c r="B301" s="1012">
        <v>0.82379999999999998</v>
      </c>
      <c r="C301" s="1012">
        <v>0.82379999999999998</v>
      </c>
      <c r="D301" s="1012">
        <v>0.79879999999999995</v>
      </c>
      <c r="E301" s="1012">
        <v>0.79879999999999995</v>
      </c>
      <c r="F301" s="1012">
        <v>0.79879999999999995</v>
      </c>
      <c r="G301" s="1012">
        <v>0.79879999999999995</v>
      </c>
      <c r="H301" s="1012">
        <v>0.79879999999999995</v>
      </c>
      <c r="I301" s="1012">
        <v>0.65100000000000002</v>
      </c>
      <c r="J301" s="1012">
        <v>0.65100000000000002</v>
      </c>
      <c r="K301" s="1012">
        <v>0.65100000000000002</v>
      </c>
      <c r="L301" s="1012">
        <v>0.65100000000000002</v>
      </c>
      <c r="M301" s="1012">
        <v>0.65100000000000002</v>
      </c>
    </row>
    <row r="302" spans="1:13">
      <c r="A302" s="1027">
        <v>9.6</v>
      </c>
      <c r="B302" s="1012">
        <v>0.82320000000000004</v>
      </c>
      <c r="C302" s="1012">
        <v>0.82320000000000004</v>
      </c>
      <c r="D302" s="1012">
        <v>0.79800000000000004</v>
      </c>
      <c r="E302" s="1012">
        <v>0.79800000000000004</v>
      </c>
      <c r="F302" s="1012">
        <v>0.79800000000000004</v>
      </c>
      <c r="G302" s="1012">
        <v>0.79800000000000004</v>
      </c>
      <c r="H302" s="1012">
        <v>0.79800000000000004</v>
      </c>
      <c r="I302" s="1012">
        <v>0.65</v>
      </c>
      <c r="J302" s="1012">
        <v>0.65</v>
      </c>
      <c r="K302" s="1012">
        <v>0.65</v>
      </c>
      <c r="L302" s="1012">
        <v>0.65</v>
      </c>
      <c r="M302" s="1012">
        <v>0.65</v>
      </c>
    </row>
    <row r="303" spans="1:13">
      <c r="A303" s="1027">
        <v>9.6999999999999993</v>
      </c>
      <c r="B303" s="1012">
        <v>0.8226</v>
      </c>
      <c r="C303" s="1012">
        <v>0.8226</v>
      </c>
      <c r="D303" s="1012">
        <v>0.79720000000000002</v>
      </c>
      <c r="E303" s="1012">
        <v>0.79720000000000002</v>
      </c>
      <c r="F303" s="1012">
        <v>0.79720000000000002</v>
      </c>
      <c r="G303" s="1012">
        <v>0.79720000000000002</v>
      </c>
      <c r="H303" s="1012">
        <v>0.79720000000000002</v>
      </c>
      <c r="I303" s="1012">
        <v>0.64900000000000002</v>
      </c>
      <c r="J303" s="1012">
        <v>0.64900000000000002</v>
      </c>
      <c r="K303" s="1012">
        <v>0.64900000000000002</v>
      </c>
      <c r="L303" s="1012">
        <v>0.64900000000000002</v>
      </c>
      <c r="M303" s="1012">
        <v>0.64900000000000002</v>
      </c>
    </row>
    <row r="304" spans="1:13">
      <c r="A304" s="1027">
        <v>9.8000000000000007</v>
      </c>
      <c r="B304" s="1012">
        <v>0.82199999999999995</v>
      </c>
      <c r="C304" s="1012">
        <v>0.82199999999999995</v>
      </c>
      <c r="D304" s="1012">
        <v>0.7964</v>
      </c>
      <c r="E304" s="1012">
        <v>0.7964</v>
      </c>
      <c r="F304" s="1012">
        <v>0.7964</v>
      </c>
      <c r="G304" s="1012">
        <v>0.7964</v>
      </c>
      <c r="H304" s="1012">
        <v>0.7964</v>
      </c>
      <c r="I304" s="1012">
        <v>0.64810000000000001</v>
      </c>
      <c r="J304" s="1012">
        <v>0.64810000000000001</v>
      </c>
      <c r="K304" s="1012">
        <v>0.64810000000000001</v>
      </c>
      <c r="L304" s="1012">
        <v>0.64810000000000001</v>
      </c>
      <c r="M304" s="1012">
        <v>0.64810000000000001</v>
      </c>
    </row>
    <row r="305" spans="1:13">
      <c r="A305" s="1027">
        <v>9.9</v>
      </c>
      <c r="B305" s="1012">
        <v>0.82140000000000002</v>
      </c>
      <c r="C305" s="1012">
        <v>0.82140000000000002</v>
      </c>
      <c r="D305" s="1012">
        <v>0.79559999999999997</v>
      </c>
      <c r="E305" s="1012">
        <v>0.79559999999999997</v>
      </c>
      <c r="F305" s="1012">
        <v>0.79559999999999997</v>
      </c>
      <c r="G305" s="1012">
        <v>0.79559999999999997</v>
      </c>
      <c r="H305" s="1012">
        <v>0.79559999999999997</v>
      </c>
      <c r="I305" s="1012">
        <v>0.64710000000000001</v>
      </c>
      <c r="J305" s="1012">
        <v>0.64710000000000001</v>
      </c>
      <c r="K305" s="1012">
        <v>0.64710000000000001</v>
      </c>
      <c r="L305" s="1012">
        <v>0.64710000000000001</v>
      </c>
      <c r="M305" s="1012">
        <v>0.64710000000000001</v>
      </c>
    </row>
    <row r="306" spans="1:13">
      <c r="A306" s="1027">
        <v>10</v>
      </c>
      <c r="B306" s="1012">
        <v>0.82079999999999997</v>
      </c>
      <c r="C306" s="1012">
        <v>0.82079999999999997</v>
      </c>
      <c r="D306" s="1012">
        <v>0.79479999999999995</v>
      </c>
      <c r="E306" s="1012">
        <v>0.79479999999999995</v>
      </c>
      <c r="F306" s="1012">
        <v>0.79479999999999995</v>
      </c>
      <c r="G306" s="1012">
        <v>0.79479999999999995</v>
      </c>
      <c r="H306" s="1012">
        <v>0.79479999999999995</v>
      </c>
      <c r="I306" s="1012">
        <v>0.6462</v>
      </c>
      <c r="J306" s="1012">
        <v>0.6462</v>
      </c>
      <c r="K306" s="1012">
        <v>0.6462</v>
      </c>
      <c r="L306" s="1012">
        <v>0.6462</v>
      </c>
      <c r="M306" s="1012">
        <v>0.6462</v>
      </c>
    </row>
    <row r="307" spans="1:13" ht="14.25">
      <c r="A307" s="1000" t="s">
        <v>897</v>
      </c>
      <c r="B307" s="1001"/>
      <c r="C307" s="1001"/>
      <c r="D307" s="1001"/>
      <c r="E307" s="1001"/>
      <c r="F307" s="1001"/>
      <c r="G307" s="1001"/>
      <c r="H307" s="1001"/>
      <c r="I307" s="1001"/>
      <c r="J307" s="1001"/>
      <c r="K307" s="1001"/>
      <c r="L307" s="1001"/>
      <c r="M307" s="1001"/>
    </row>
    <row r="308" spans="1:13">
      <c r="A308" s="1003" t="s">
        <v>884</v>
      </c>
      <c r="B308" s="1004" t="s">
        <v>885</v>
      </c>
      <c r="C308" s="1004" t="s">
        <v>886</v>
      </c>
      <c r="D308" s="1004" t="s">
        <v>887</v>
      </c>
      <c r="E308" s="1004" t="s">
        <v>888</v>
      </c>
      <c r="F308" s="1004" t="s">
        <v>889</v>
      </c>
      <c r="G308" s="1004" t="s">
        <v>890</v>
      </c>
      <c r="H308" s="1005" t="s">
        <v>891</v>
      </c>
      <c r="I308" s="1005" t="s">
        <v>892</v>
      </c>
      <c r="J308" s="1006" t="s">
        <v>893</v>
      </c>
      <c r="K308" s="1006" t="s">
        <v>894</v>
      </c>
      <c r="L308" s="1006" t="s">
        <v>895</v>
      </c>
      <c r="M308" s="1006" t="s">
        <v>896</v>
      </c>
    </row>
    <row r="309" spans="1:13">
      <c r="A309" s="1003">
        <v>0.1</v>
      </c>
      <c r="B309" s="1012">
        <v>11.506</v>
      </c>
      <c r="C309" s="1012">
        <v>11.506</v>
      </c>
      <c r="D309" s="1012">
        <v>12.015000000000001</v>
      </c>
      <c r="E309" s="1012">
        <v>12.015000000000001</v>
      </c>
      <c r="F309" s="1012">
        <v>12.015000000000001</v>
      </c>
      <c r="G309" s="1012">
        <v>11.118</v>
      </c>
      <c r="H309" s="1012">
        <v>11.118</v>
      </c>
      <c r="I309" s="1012">
        <v>10</v>
      </c>
      <c r="J309" s="1012">
        <v>10</v>
      </c>
      <c r="K309" s="1012">
        <v>10</v>
      </c>
      <c r="L309" s="1012">
        <v>10</v>
      </c>
      <c r="M309" s="1012">
        <v>10</v>
      </c>
    </row>
    <row r="310" spans="1:13">
      <c r="A310" s="1003">
        <v>0.2</v>
      </c>
      <c r="B310" s="1012">
        <v>5.7530000000000001</v>
      </c>
      <c r="C310" s="1012">
        <v>5.7530000000000001</v>
      </c>
      <c r="D310" s="1012">
        <v>6.0075000000000003</v>
      </c>
      <c r="E310" s="1012">
        <v>6.0075000000000003</v>
      </c>
      <c r="F310" s="1012">
        <v>6.0075000000000003</v>
      </c>
      <c r="G310" s="1012">
        <v>5.5590000000000002</v>
      </c>
      <c r="H310" s="1012">
        <v>5.5590000000000002</v>
      </c>
      <c r="I310" s="1012">
        <v>5</v>
      </c>
      <c r="J310" s="1012">
        <v>5</v>
      </c>
      <c r="K310" s="1012">
        <v>5</v>
      </c>
      <c r="L310" s="1012">
        <v>5</v>
      </c>
      <c r="M310" s="1012">
        <v>5</v>
      </c>
    </row>
    <row r="311" spans="1:13">
      <c r="A311" s="1003">
        <v>0.3</v>
      </c>
      <c r="B311" s="1012">
        <v>3.8353000000000002</v>
      </c>
      <c r="C311" s="1012">
        <v>3.8353000000000002</v>
      </c>
      <c r="D311" s="1012">
        <v>4.0049999999999999</v>
      </c>
      <c r="E311" s="1012">
        <v>4.0049999999999999</v>
      </c>
      <c r="F311" s="1012">
        <v>4.0049999999999999</v>
      </c>
      <c r="G311" s="1012">
        <v>3.706</v>
      </c>
      <c r="H311" s="1012">
        <v>3.706</v>
      </c>
      <c r="I311" s="1012">
        <v>3.3332999999999999</v>
      </c>
      <c r="J311" s="1012">
        <v>3.3332999999999999</v>
      </c>
      <c r="K311" s="1012">
        <v>3.3332999999999999</v>
      </c>
      <c r="L311" s="1012">
        <v>3.3332999999999999</v>
      </c>
      <c r="M311" s="1012">
        <v>3.3332999999999999</v>
      </c>
    </row>
    <row r="312" spans="1:13">
      <c r="A312" s="1003">
        <v>0.4</v>
      </c>
      <c r="B312" s="1012">
        <v>2.8765000000000001</v>
      </c>
      <c r="C312" s="1012">
        <v>2.8765000000000001</v>
      </c>
      <c r="D312" s="1012">
        <v>3.0038</v>
      </c>
      <c r="E312" s="1012">
        <v>3.0038</v>
      </c>
      <c r="F312" s="1012">
        <v>3.0038</v>
      </c>
      <c r="G312" s="1012">
        <v>2.7795000000000001</v>
      </c>
      <c r="H312" s="1012">
        <v>2.7795000000000001</v>
      </c>
      <c r="I312" s="1012">
        <v>2.5</v>
      </c>
      <c r="J312" s="1012">
        <v>2.5</v>
      </c>
      <c r="K312" s="1012">
        <v>2.5</v>
      </c>
      <c r="L312" s="1012">
        <v>2.5</v>
      </c>
      <c r="M312" s="1012">
        <v>2.5</v>
      </c>
    </row>
    <row r="313" spans="1:13">
      <c r="A313" s="1003">
        <v>0.5</v>
      </c>
      <c r="B313" s="1012">
        <v>2.3012000000000001</v>
      </c>
      <c r="C313" s="1012">
        <v>2.3012000000000001</v>
      </c>
      <c r="D313" s="1012">
        <v>2.403</v>
      </c>
      <c r="E313" s="1012">
        <v>2.403</v>
      </c>
      <c r="F313" s="1012">
        <v>2.403</v>
      </c>
      <c r="G313" s="1012">
        <v>2.2235999999999998</v>
      </c>
      <c r="H313" s="1012">
        <v>2.2235999999999998</v>
      </c>
      <c r="I313" s="1012">
        <v>2</v>
      </c>
      <c r="J313" s="1012">
        <v>2</v>
      </c>
      <c r="K313" s="1012">
        <v>2</v>
      </c>
      <c r="L313" s="1012">
        <v>2</v>
      </c>
      <c r="M313" s="1012">
        <v>2</v>
      </c>
    </row>
    <row r="314" spans="1:13">
      <c r="A314" s="1003">
        <v>0.6</v>
      </c>
      <c r="B314" s="1012">
        <v>1.9177</v>
      </c>
      <c r="C314" s="1012">
        <v>1.9177</v>
      </c>
      <c r="D314" s="1012">
        <v>2.0024999999999999</v>
      </c>
      <c r="E314" s="1012">
        <v>2.0024999999999999</v>
      </c>
      <c r="F314" s="1012">
        <v>2.0024999999999999</v>
      </c>
      <c r="G314" s="1012">
        <v>1.853</v>
      </c>
      <c r="H314" s="1012">
        <v>1.853</v>
      </c>
      <c r="I314" s="1012">
        <v>1.6667000000000001</v>
      </c>
      <c r="J314" s="1012">
        <v>1.6667000000000001</v>
      </c>
      <c r="K314" s="1012">
        <v>1.6667000000000001</v>
      </c>
      <c r="L314" s="1012">
        <v>1.6667000000000001</v>
      </c>
      <c r="M314" s="1012">
        <v>1.6667000000000001</v>
      </c>
    </row>
    <row r="315" spans="1:13">
      <c r="A315" s="1003">
        <v>0.7</v>
      </c>
      <c r="B315" s="1012">
        <v>1.6436999999999999</v>
      </c>
      <c r="C315" s="1012">
        <v>1.6436999999999999</v>
      </c>
      <c r="D315" s="1012">
        <v>1.7163999999999999</v>
      </c>
      <c r="E315" s="1012">
        <v>1.7163999999999999</v>
      </c>
      <c r="F315" s="1012">
        <v>1.7163999999999999</v>
      </c>
      <c r="G315" s="1012">
        <v>1.5883</v>
      </c>
      <c r="H315" s="1012">
        <v>1.5883</v>
      </c>
      <c r="I315" s="1012">
        <v>1.4286000000000001</v>
      </c>
      <c r="J315" s="1012">
        <v>1.4286000000000001</v>
      </c>
      <c r="K315" s="1012">
        <v>1.4286000000000001</v>
      </c>
      <c r="L315" s="1012">
        <v>1.4286000000000001</v>
      </c>
      <c r="M315" s="1012">
        <v>1.4286000000000001</v>
      </c>
    </row>
    <row r="316" spans="1:13">
      <c r="A316" s="1003">
        <v>0.8</v>
      </c>
      <c r="B316" s="1012">
        <v>1.4382999999999999</v>
      </c>
      <c r="C316" s="1012">
        <v>1.4382999999999999</v>
      </c>
      <c r="D316" s="1012">
        <v>1.5019</v>
      </c>
      <c r="E316" s="1012">
        <v>1.5019</v>
      </c>
      <c r="F316" s="1012">
        <v>1.5019</v>
      </c>
      <c r="G316" s="1012">
        <v>1.3897999999999999</v>
      </c>
      <c r="H316" s="1012">
        <v>1.3897999999999999</v>
      </c>
      <c r="I316" s="1012">
        <v>1.25</v>
      </c>
      <c r="J316" s="1012">
        <v>1.25</v>
      </c>
      <c r="K316" s="1012">
        <v>1.25</v>
      </c>
      <c r="L316" s="1012">
        <v>1.25</v>
      </c>
      <c r="M316" s="1012">
        <v>1.25</v>
      </c>
    </row>
    <row r="317" spans="1:13">
      <c r="A317" s="1003">
        <v>0.9</v>
      </c>
      <c r="B317" s="1012">
        <v>1.2784</v>
      </c>
      <c r="C317" s="1012">
        <v>1.2784</v>
      </c>
      <c r="D317" s="1012">
        <v>1.335</v>
      </c>
      <c r="E317" s="1012">
        <v>1.335</v>
      </c>
      <c r="F317" s="1012">
        <v>1.335</v>
      </c>
      <c r="G317" s="1012">
        <v>1.2353000000000001</v>
      </c>
      <c r="H317" s="1012">
        <v>1.2353000000000001</v>
      </c>
      <c r="I317" s="1012">
        <v>1.1111</v>
      </c>
      <c r="J317" s="1012">
        <v>1.1111</v>
      </c>
      <c r="K317" s="1012">
        <v>1.1111</v>
      </c>
      <c r="L317" s="1012">
        <v>1.1111</v>
      </c>
      <c r="M317" s="1012">
        <v>1.1111</v>
      </c>
    </row>
    <row r="318" spans="1:13">
      <c r="A318" s="1003">
        <v>1</v>
      </c>
      <c r="B318" s="1012">
        <v>1.1506000000000001</v>
      </c>
      <c r="C318" s="1012">
        <v>1.1506000000000001</v>
      </c>
      <c r="D318" s="1012">
        <v>1.2015</v>
      </c>
      <c r="E318" s="1012">
        <v>1.2015</v>
      </c>
      <c r="F318" s="1012">
        <v>1.2015</v>
      </c>
      <c r="G318" s="1012">
        <v>1.1117999999999999</v>
      </c>
      <c r="H318" s="1012">
        <v>1.1117999999999999</v>
      </c>
      <c r="I318" s="1012">
        <v>1</v>
      </c>
      <c r="J318" s="1012">
        <v>1</v>
      </c>
      <c r="K318" s="1012">
        <v>1</v>
      </c>
      <c r="L318" s="1012">
        <v>1</v>
      </c>
      <c r="M318" s="1012">
        <v>1</v>
      </c>
    </row>
    <row r="319" spans="1:13">
      <c r="A319" s="1003">
        <v>1.1000000000000001</v>
      </c>
      <c r="B319" s="1012">
        <v>1.1158999999999999</v>
      </c>
      <c r="C319" s="1012">
        <v>1.1158999999999999</v>
      </c>
      <c r="D319" s="1012">
        <v>1.1440999999999999</v>
      </c>
      <c r="E319" s="1012">
        <v>1.1440999999999999</v>
      </c>
      <c r="F319" s="1012">
        <v>1.1440999999999999</v>
      </c>
      <c r="G319" s="1012">
        <v>1.0492999999999999</v>
      </c>
      <c r="H319" s="1012">
        <v>1.0492999999999999</v>
      </c>
      <c r="I319" s="1012">
        <v>0.93730000000000002</v>
      </c>
      <c r="J319" s="1012">
        <v>0.93730000000000002</v>
      </c>
      <c r="K319" s="1012">
        <v>0.93730000000000002</v>
      </c>
      <c r="L319" s="1012">
        <v>0.93730000000000002</v>
      </c>
      <c r="M319" s="1012">
        <v>0.93730000000000002</v>
      </c>
    </row>
    <row r="320" spans="1:13">
      <c r="A320" s="1003">
        <v>1.2</v>
      </c>
      <c r="B320" s="1012">
        <v>1.0837000000000001</v>
      </c>
      <c r="C320" s="1012">
        <v>1.0837000000000001</v>
      </c>
      <c r="D320" s="1012">
        <v>1.0972999999999999</v>
      </c>
      <c r="E320" s="1012">
        <v>1.0972999999999999</v>
      </c>
      <c r="F320" s="1012">
        <v>1.0972999999999999</v>
      </c>
      <c r="G320" s="1012">
        <v>1</v>
      </c>
      <c r="H320" s="1012">
        <v>1</v>
      </c>
      <c r="I320" s="1012">
        <v>0.88890000000000002</v>
      </c>
      <c r="J320" s="1012">
        <v>0.88890000000000002</v>
      </c>
      <c r="K320" s="1012">
        <v>0.88890000000000002</v>
      </c>
      <c r="L320" s="1012">
        <v>0.88890000000000002</v>
      </c>
      <c r="M320" s="1012">
        <v>0.88890000000000002</v>
      </c>
    </row>
    <row r="321" spans="1:13">
      <c r="A321" s="1003">
        <v>1.3</v>
      </c>
      <c r="B321" s="1012">
        <v>1.0538000000000001</v>
      </c>
      <c r="C321" s="1012">
        <v>1.0538000000000001</v>
      </c>
      <c r="D321" s="1012">
        <v>1.0589999999999999</v>
      </c>
      <c r="E321" s="1012">
        <v>1.0589999999999999</v>
      </c>
      <c r="F321" s="1012">
        <v>1.0589999999999999</v>
      </c>
      <c r="G321" s="1012">
        <v>0.96140000000000003</v>
      </c>
      <c r="H321" s="1012">
        <v>0.96140000000000003</v>
      </c>
      <c r="I321" s="1012">
        <v>0.85209999999999997</v>
      </c>
      <c r="J321" s="1012">
        <v>0.85209999999999997</v>
      </c>
      <c r="K321" s="1012">
        <v>0.85209999999999997</v>
      </c>
      <c r="L321" s="1012">
        <v>0.85209999999999997</v>
      </c>
      <c r="M321" s="1012">
        <v>0.85209999999999997</v>
      </c>
    </row>
    <row r="322" spans="1:13">
      <c r="A322" s="1003">
        <v>1.4</v>
      </c>
      <c r="B322" s="1012">
        <v>1.026</v>
      </c>
      <c r="C322" s="1012">
        <v>1.026</v>
      </c>
      <c r="D322" s="1012">
        <v>1.0271999999999999</v>
      </c>
      <c r="E322" s="1012">
        <v>1.0271999999999999</v>
      </c>
      <c r="F322" s="1012">
        <v>1.0271999999999999</v>
      </c>
      <c r="G322" s="1012">
        <v>0.93079999999999996</v>
      </c>
      <c r="H322" s="1012">
        <v>0.93079999999999996</v>
      </c>
      <c r="I322" s="1012">
        <v>0.82379999999999998</v>
      </c>
      <c r="J322" s="1012">
        <v>0.82379999999999998</v>
      </c>
      <c r="K322" s="1012">
        <v>0.82379999999999998</v>
      </c>
      <c r="L322" s="1012">
        <v>0.82379999999999998</v>
      </c>
      <c r="M322" s="1012">
        <v>0.82379999999999998</v>
      </c>
    </row>
    <row r="323" spans="1:13">
      <c r="A323" s="1003">
        <v>1.5</v>
      </c>
      <c r="B323" s="1012">
        <v>1</v>
      </c>
      <c r="C323" s="1012">
        <v>1</v>
      </c>
      <c r="D323" s="1012">
        <v>1</v>
      </c>
      <c r="E323" s="1012">
        <v>1</v>
      </c>
      <c r="F323" s="1012">
        <v>1</v>
      </c>
      <c r="G323" s="1012">
        <v>0.90559999999999996</v>
      </c>
      <c r="H323" s="1012">
        <v>0.90559999999999996</v>
      </c>
      <c r="I323" s="1012">
        <v>0.80110000000000003</v>
      </c>
      <c r="J323" s="1012">
        <v>0.80110000000000003</v>
      </c>
      <c r="K323" s="1012">
        <v>0.80110000000000003</v>
      </c>
      <c r="L323" s="1012">
        <v>0.80110000000000003</v>
      </c>
      <c r="M323" s="1012">
        <v>0.80110000000000003</v>
      </c>
    </row>
    <row r="324" spans="1:13">
      <c r="A324" s="1003">
        <v>1.6</v>
      </c>
      <c r="B324" s="1012">
        <v>0.97570000000000001</v>
      </c>
      <c r="C324" s="1012">
        <v>0.97570000000000001</v>
      </c>
      <c r="D324" s="1012">
        <v>0.97519999999999996</v>
      </c>
      <c r="E324" s="1012">
        <v>0.97519999999999996</v>
      </c>
      <c r="F324" s="1012">
        <v>0.97519999999999996</v>
      </c>
      <c r="G324" s="1012">
        <v>0.8831</v>
      </c>
      <c r="H324" s="1012">
        <v>0.8831</v>
      </c>
      <c r="I324" s="1012">
        <v>0.78100000000000003</v>
      </c>
      <c r="J324" s="1012">
        <v>0.78100000000000003</v>
      </c>
      <c r="K324" s="1012">
        <v>0.78100000000000003</v>
      </c>
      <c r="L324" s="1012">
        <v>0.78100000000000003</v>
      </c>
      <c r="M324" s="1012">
        <v>0.78100000000000003</v>
      </c>
    </row>
    <row r="325" spans="1:13">
      <c r="A325" s="1003">
        <v>1.7</v>
      </c>
      <c r="B325" s="1012">
        <v>0.95289999999999997</v>
      </c>
      <c r="C325" s="1012">
        <v>0.95289999999999997</v>
      </c>
      <c r="D325" s="1012">
        <v>0.95189999999999997</v>
      </c>
      <c r="E325" s="1012">
        <v>0.95189999999999997</v>
      </c>
      <c r="F325" s="1012">
        <v>0.95189999999999997</v>
      </c>
      <c r="G325" s="1012">
        <v>0.86180000000000001</v>
      </c>
      <c r="H325" s="1012">
        <v>0.86180000000000001</v>
      </c>
      <c r="I325" s="1012">
        <v>0.7621</v>
      </c>
      <c r="J325" s="1012">
        <v>0.7621</v>
      </c>
      <c r="K325" s="1012">
        <v>0.7621</v>
      </c>
      <c r="L325" s="1012">
        <v>0.7621</v>
      </c>
      <c r="M325" s="1012">
        <v>0.7621</v>
      </c>
    </row>
    <row r="326" spans="1:13">
      <c r="A326" s="1003">
        <v>1.8</v>
      </c>
      <c r="B326" s="1012">
        <v>0.93149999999999999</v>
      </c>
      <c r="C326" s="1012">
        <v>0.93149999999999999</v>
      </c>
      <c r="D326" s="1012">
        <v>0.93</v>
      </c>
      <c r="E326" s="1012">
        <v>0.93</v>
      </c>
      <c r="F326" s="1012">
        <v>0.93</v>
      </c>
      <c r="G326" s="1012">
        <v>0.84179999999999999</v>
      </c>
      <c r="H326" s="1012">
        <v>0.84179999999999999</v>
      </c>
      <c r="I326" s="1012">
        <v>0.74419999999999997</v>
      </c>
      <c r="J326" s="1012">
        <v>0.74419999999999997</v>
      </c>
      <c r="K326" s="1012">
        <v>0.74419999999999997</v>
      </c>
      <c r="L326" s="1012">
        <v>0.74419999999999997</v>
      </c>
      <c r="M326" s="1012">
        <v>0.74419999999999997</v>
      </c>
    </row>
    <row r="327" spans="1:13">
      <c r="A327" s="1003">
        <v>1.9</v>
      </c>
      <c r="B327" s="1012">
        <v>0.91139999999999999</v>
      </c>
      <c r="C327" s="1012">
        <v>0.91139999999999999</v>
      </c>
      <c r="D327" s="1012">
        <v>0.90939999999999999</v>
      </c>
      <c r="E327" s="1012">
        <v>0.90939999999999999</v>
      </c>
      <c r="F327" s="1012">
        <v>0.90939999999999999</v>
      </c>
      <c r="G327" s="1012">
        <v>0.82289999999999996</v>
      </c>
      <c r="H327" s="1012">
        <v>0.82289999999999996</v>
      </c>
      <c r="I327" s="1012">
        <v>0.72740000000000005</v>
      </c>
      <c r="J327" s="1012">
        <v>0.72740000000000005</v>
      </c>
      <c r="K327" s="1012">
        <v>0.72740000000000005</v>
      </c>
      <c r="L327" s="1012">
        <v>0.72740000000000005</v>
      </c>
      <c r="M327" s="1012">
        <v>0.72740000000000005</v>
      </c>
    </row>
    <row r="328" spans="1:13">
      <c r="A328" s="1003">
        <v>2</v>
      </c>
      <c r="B328" s="1012">
        <v>0.89270000000000005</v>
      </c>
      <c r="C328" s="1012">
        <v>0.89270000000000005</v>
      </c>
      <c r="D328" s="1012">
        <v>0.8901</v>
      </c>
      <c r="E328" s="1012">
        <v>0.8901</v>
      </c>
      <c r="F328" s="1012">
        <v>0.8901</v>
      </c>
      <c r="G328" s="1012">
        <v>0.80530000000000002</v>
      </c>
      <c r="H328" s="1012">
        <v>0.80530000000000002</v>
      </c>
      <c r="I328" s="1012">
        <v>0.71160000000000001</v>
      </c>
      <c r="J328" s="1012">
        <v>0.71160000000000001</v>
      </c>
      <c r="K328" s="1012">
        <v>0.71160000000000001</v>
      </c>
      <c r="L328" s="1012">
        <v>0.71160000000000001</v>
      </c>
      <c r="M328" s="1012">
        <v>0.71160000000000001</v>
      </c>
    </row>
    <row r="329" spans="1:13">
      <c r="A329" s="1027">
        <v>2.1</v>
      </c>
      <c r="B329" s="1012">
        <v>0.87519999999999998</v>
      </c>
      <c r="C329" s="1012">
        <v>0.87519999999999998</v>
      </c>
      <c r="D329" s="1012">
        <v>0.872</v>
      </c>
      <c r="E329" s="1012">
        <v>0.872</v>
      </c>
      <c r="F329" s="1012">
        <v>0.872</v>
      </c>
      <c r="G329" s="1012">
        <v>0.78869999999999996</v>
      </c>
      <c r="H329" s="1012">
        <v>0.78869999999999996</v>
      </c>
      <c r="I329" s="1012">
        <v>0.69669999999999999</v>
      </c>
      <c r="J329" s="1012">
        <v>0.69669999999999999</v>
      </c>
      <c r="K329" s="1012">
        <v>0.69669999999999999</v>
      </c>
      <c r="L329" s="1012">
        <v>0.69669999999999999</v>
      </c>
      <c r="M329" s="1012">
        <v>0.69669999999999999</v>
      </c>
    </row>
    <row r="330" spans="1:13">
      <c r="A330" s="1027">
        <v>2.2000000000000002</v>
      </c>
      <c r="B330" s="1012">
        <v>0.85880000000000001</v>
      </c>
      <c r="C330" s="1012">
        <v>0.85880000000000001</v>
      </c>
      <c r="D330" s="1012">
        <v>0.85499999999999998</v>
      </c>
      <c r="E330" s="1012">
        <v>0.85499999999999998</v>
      </c>
      <c r="F330" s="1012">
        <v>0.85499999999999998</v>
      </c>
      <c r="G330" s="1012">
        <v>0.77300000000000002</v>
      </c>
      <c r="H330" s="1012">
        <v>0.77300000000000002</v>
      </c>
      <c r="I330" s="1012">
        <v>0.68269999999999997</v>
      </c>
      <c r="J330" s="1012">
        <v>0.68269999999999997</v>
      </c>
      <c r="K330" s="1012">
        <v>0.68269999999999997</v>
      </c>
      <c r="L330" s="1012">
        <v>0.68269999999999997</v>
      </c>
      <c r="M330" s="1012">
        <v>0.68269999999999997</v>
      </c>
    </row>
    <row r="331" spans="1:13">
      <c r="A331" s="1027">
        <v>2.2999999999999998</v>
      </c>
      <c r="B331" s="1012">
        <v>0.84360000000000002</v>
      </c>
      <c r="C331" s="1012">
        <v>0.84360000000000002</v>
      </c>
      <c r="D331" s="1012">
        <v>0.83899999999999997</v>
      </c>
      <c r="E331" s="1012">
        <v>0.83899999999999997</v>
      </c>
      <c r="F331" s="1012">
        <v>0.83899999999999997</v>
      </c>
      <c r="G331" s="1012">
        <v>0.75839999999999996</v>
      </c>
      <c r="H331" s="1012">
        <v>0.75839999999999996</v>
      </c>
      <c r="I331" s="1012">
        <v>0.66949999999999998</v>
      </c>
      <c r="J331" s="1012">
        <v>0.66949999999999998</v>
      </c>
      <c r="K331" s="1012">
        <v>0.66949999999999998</v>
      </c>
      <c r="L331" s="1012">
        <v>0.66949999999999998</v>
      </c>
      <c r="M331" s="1012">
        <v>0.66949999999999998</v>
      </c>
    </row>
    <row r="332" spans="1:13">
      <c r="A332" s="1027">
        <v>2.4</v>
      </c>
      <c r="B332" s="1012">
        <v>0.82940000000000003</v>
      </c>
      <c r="C332" s="1012">
        <v>0.82940000000000003</v>
      </c>
      <c r="D332" s="1012">
        <v>0.82410000000000005</v>
      </c>
      <c r="E332" s="1012">
        <v>0.82410000000000005</v>
      </c>
      <c r="F332" s="1012">
        <v>0.82410000000000005</v>
      </c>
      <c r="G332" s="1012">
        <v>0.74460000000000004</v>
      </c>
      <c r="H332" s="1012">
        <v>0.74460000000000004</v>
      </c>
      <c r="I332" s="1012">
        <v>0.65710000000000002</v>
      </c>
      <c r="J332" s="1012">
        <v>0.65710000000000002</v>
      </c>
      <c r="K332" s="1012">
        <v>0.65710000000000002</v>
      </c>
      <c r="L332" s="1012">
        <v>0.65710000000000002</v>
      </c>
      <c r="M332" s="1012">
        <v>0.65710000000000002</v>
      </c>
    </row>
    <row r="333" spans="1:13">
      <c r="A333" s="1027">
        <v>2.5</v>
      </c>
      <c r="B333" s="1012">
        <v>0.81620000000000004</v>
      </c>
      <c r="C333" s="1012">
        <v>0.81620000000000004</v>
      </c>
      <c r="D333" s="1012">
        <v>0.81020000000000003</v>
      </c>
      <c r="E333" s="1012">
        <v>0.81020000000000003</v>
      </c>
      <c r="F333" s="1012">
        <v>0.81020000000000003</v>
      </c>
      <c r="G333" s="1012">
        <v>0.73180000000000001</v>
      </c>
      <c r="H333" s="1012">
        <v>0.73180000000000001</v>
      </c>
      <c r="I333" s="1012">
        <v>0.64549999999999996</v>
      </c>
      <c r="J333" s="1012">
        <v>0.64549999999999996</v>
      </c>
      <c r="K333" s="1012">
        <v>0.64549999999999996</v>
      </c>
      <c r="L333" s="1012">
        <v>0.64549999999999996</v>
      </c>
      <c r="M333" s="1012">
        <v>0.64549999999999996</v>
      </c>
    </row>
    <row r="334" spans="1:13">
      <c r="A334" s="1027">
        <v>2.6</v>
      </c>
      <c r="B334" s="1012">
        <v>0.80389999999999995</v>
      </c>
      <c r="C334" s="1012">
        <v>0.80389999999999995</v>
      </c>
      <c r="D334" s="1012">
        <v>0.79710000000000003</v>
      </c>
      <c r="E334" s="1012">
        <v>0.79710000000000003</v>
      </c>
      <c r="F334" s="1012">
        <v>0.79710000000000003</v>
      </c>
      <c r="G334" s="1012">
        <v>0.71970000000000001</v>
      </c>
      <c r="H334" s="1012">
        <v>0.71970000000000001</v>
      </c>
      <c r="I334" s="1012">
        <v>0.63460000000000005</v>
      </c>
      <c r="J334" s="1012">
        <v>0.63460000000000005</v>
      </c>
      <c r="K334" s="1012">
        <v>0.63460000000000005</v>
      </c>
      <c r="L334" s="1012">
        <v>0.63460000000000005</v>
      </c>
      <c r="M334" s="1012">
        <v>0.63460000000000005</v>
      </c>
    </row>
    <row r="335" spans="1:13">
      <c r="A335" s="1027">
        <v>2.7</v>
      </c>
      <c r="B335" s="1012">
        <v>0.79249999999999998</v>
      </c>
      <c r="C335" s="1012">
        <v>0.79249999999999998</v>
      </c>
      <c r="D335" s="1012">
        <v>0.78490000000000004</v>
      </c>
      <c r="E335" s="1012">
        <v>0.78490000000000004</v>
      </c>
      <c r="F335" s="1012">
        <v>0.78490000000000004</v>
      </c>
      <c r="G335" s="1012">
        <v>0.70840000000000003</v>
      </c>
      <c r="H335" s="1012">
        <v>0.70840000000000003</v>
      </c>
      <c r="I335" s="1012">
        <v>0.62439999999999996</v>
      </c>
      <c r="J335" s="1012">
        <v>0.62439999999999996</v>
      </c>
      <c r="K335" s="1012">
        <v>0.62439999999999996</v>
      </c>
      <c r="L335" s="1012">
        <v>0.62439999999999996</v>
      </c>
      <c r="M335" s="1012">
        <v>0.62439999999999996</v>
      </c>
    </row>
    <row r="336" spans="1:13">
      <c r="A336" s="1027">
        <v>2.8</v>
      </c>
      <c r="B336" s="1012">
        <v>0.78190000000000004</v>
      </c>
      <c r="C336" s="1012">
        <v>0.78190000000000004</v>
      </c>
      <c r="D336" s="1012">
        <v>0.77359999999999995</v>
      </c>
      <c r="E336" s="1012">
        <v>0.77359999999999995</v>
      </c>
      <c r="F336" s="1012">
        <v>0.77359999999999995</v>
      </c>
      <c r="G336" s="1012">
        <v>0.69789999999999996</v>
      </c>
      <c r="H336" s="1012">
        <v>0.69789999999999996</v>
      </c>
      <c r="I336" s="1012">
        <v>0.61480000000000001</v>
      </c>
      <c r="J336" s="1012">
        <v>0.61480000000000001</v>
      </c>
      <c r="K336" s="1012">
        <v>0.61480000000000001</v>
      </c>
      <c r="L336" s="1012">
        <v>0.61480000000000001</v>
      </c>
      <c r="M336" s="1012">
        <v>0.61480000000000001</v>
      </c>
    </row>
    <row r="337" spans="1:13">
      <c r="A337" s="1027">
        <v>2.9</v>
      </c>
      <c r="B337" s="1012">
        <v>0.77210000000000001</v>
      </c>
      <c r="C337" s="1012">
        <v>0.77210000000000001</v>
      </c>
      <c r="D337" s="1012">
        <v>0.76300000000000001</v>
      </c>
      <c r="E337" s="1012">
        <v>0.76300000000000001</v>
      </c>
      <c r="F337" s="1012">
        <v>0.76300000000000001</v>
      </c>
      <c r="G337" s="1012">
        <v>0.68799999999999994</v>
      </c>
      <c r="H337" s="1012">
        <v>0.68799999999999994</v>
      </c>
      <c r="I337" s="1012">
        <v>0.60589999999999999</v>
      </c>
      <c r="J337" s="1012">
        <v>0.60589999999999999</v>
      </c>
      <c r="K337" s="1012">
        <v>0.60589999999999999</v>
      </c>
      <c r="L337" s="1012">
        <v>0.60589999999999999</v>
      </c>
      <c r="M337" s="1012">
        <v>0.60589999999999999</v>
      </c>
    </row>
    <row r="338" spans="1:13">
      <c r="A338" s="1027">
        <v>3</v>
      </c>
      <c r="B338" s="1012">
        <v>0.7631</v>
      </c>
      <c r="C338" s="1012">
        <v>0.7631</v>
      </c>
      <c r="D338" s="1012">
        <v>0.75309999999999999</v>
      </c>
      <c r="E338" s="1012">
        <v>0.75309999999999999</v>
      </c>
      <c r="F338" s="1012">
        <v>0.75309999999999999</v>
      </c>
      <c r="G338" s="1012">
        <v>0.67879999999999996</v>
      </c>
      <c r="H338" s="1012">
        <v>0.67879999999999996</v>
      </c>
      <c r="I338" s="1012">
        <v>0.59750000000000003</v>
      </c>
      <c r="J338" s="1012">
        <v>0.59750000000000003</v>
      </c>
      <c r="K338" s="1012">
        <v>0.59750000000000003</v>
      </c>
      <c r="L338" s="1012">
        <v>0.59750000000000003</v>
      </c>
      <c r="M338" s="1012">
        <v>0.59750000000000003</v>
      </c>
    </row>
    <row r="339" spans="1:13">
      <c r="A339" s="1027">
        <v>3.1</v>
      </c>
      <c r="B339" s="1012">
        <v>0.75470000000000004</v>
      </c>
      <c r="C339" s="1012">
        <v>0.75470000000000004</v>
      </c>
      <c r="D339" s="1012">
        <v>0.74399999999999999</v>
      </c>
      <c r="E339" s="1012">
        <v>0.74399999999999999</v>
      </c>
      <c r="F339" s="1012">
        <v>0.74399999999999999</v>
      </c>
      <c r="G339" s="1012">
        <v>0.67020000000000002</v>
      </c>
      <c r="H339" s="1012">
        <v>0.67020000000000002</v>
      </c>
      <c r="I339" s="1012">
        <v>0.5897</v>
      </c>
      <c r="J339" s="1012">
        <v>0.5897</v>
      </c>
      <c r="K339" s="1012">
        <v>0.5897</v>
      </c>
      <c r="L339" s="1012">
        <v>0.5897</v>
      </c>
      <c r="M339" s="1012">
        <v>0.5897</v>
      </c>
    </row>
    <row r="340" spans="1:13">
      <c r="A340" s="1027">
        <v>3.2</v>
      </c>
      <c r="B340" s="1012">
        <v>0.747</v>
      </c>
      <c r="C340" s="1012">
        <v>0.747</v>
      </c>
      <c r="D340" s="1012">
        <v>0.73540000000000005</v>
      </c>
      <c r="E340" s="1012">
        <v>0.73540000000000005</v>
      </c>
      <c r="F340" s="1012">
        <v>0.73540000000000005</v>
      </c>
      <c r="G340" s="1012">
        <v>0.66220000000000001</v>
      </c>
      <c r="H340" s="1012">
        <v>0.66220000000000001</v>
      </c>
      <c r="I340" s="1012">
        <v>0.58230000000000004</v>
      </c>
      <c r="J340" s="1012">
        <v>0.58230000000000004</v>
      </c>
      <c r="K340" s="1012">
        <v>0.58230000000000004</v>
      </c>
      <c r="L340" s="1012">
        <v>0.58230000000000004</v>
      </c>
      <c r="M340" s="1012">
        <v>0.58230000000000004</v>
      </c>
    </row>
    <row r="341" spans="1:13">
      <c r="A341" s="1027">
        <v>3.3</v>
      </c>
      <c r="B341" s="1012">
        <v>0.7399</v>
      </c>
      <c r="C341" s="1012">
        <v>0.7399</v>
      </c>
      <c r="D341" s="1012">
        <v>0.72750000000000004</v>
      </c>
      <c r="E341" s="1012">
        <v>0.72750000000000004</v>
      </c>
      <c r="F341" s="1012">
        <v>0.72750000000000004</v>
      </c>
      <c r="G341" s="1012">
        <v>0.65480000000000005</v>
      </c>
      <c r="H341" s="1012">
        <v>0.65480000000000005</v>
      </c>
      <c r="I341" s="1012">
        <v>0.57540000000000002</v>
      </c>
      <c r="J341" s="1012">
        <v>0.57540000000000002</v>
      </c>
      <c r="K341" s="1012">
        <v>0.57540000000000002</v>
      </c>
      <c r="L341" s="1012">
        <v>0.57540000000000002</v>
      </c>
      <c r="M341" s="1012">
        <v>0.57540000000000002</v>
      </c>
    </row>
    <row r="342" spans="1:13">
      <c r="A342" s="1027">
        <v>3.4</v>
      </c>
      <c r="B342" s="1012">
        <v>0.73340000000000005</v>
      </c>
      <c r="C342" s="1012">
        <v>0.73340000000000005</v>
      </c>
      <c r="D342" s="1012">
        <v>0.72009999999999996</v>
      </c>
      <c r="E342" s="1012">
        <v>0.72009999999999996</v>
      </c>
      <c r="F342" s="1012">
        <v>0.72009999999999996</v>
      </c>
      <c r="G342" s="1012">
        <v>0.64780000000000004</v>
      </c>
      <c r="H342" s="1012">
        <v>0.64780000000000004</v>
      </c>
      <c r="I342" s="1012">
        <v>0.56899999999999995</v>
      </c>
      <c r="J342" s="1012">
        <v>0.56899999999999995</v>
      </c>
      <c r="K342" s="1012">
        <v>0.56899999999999995</v>
      </c>
      <c r="L342" s="1012">
        <v>0.56899999999999995</v>
      </c>
      <c r="M342" s="1012">
        <v>0.56899999999999995</v>
      </c>
    </row>
    <row r="343" spans="1:13">
      <c r="A343" s="1027">
        <v>3.5</v>
      </c>
      <c r="B343" s="1012">
        <v>0.72740000000000005</v>
      </c>
      <c r="C343" s="1012">
        <v>0.72740000000000005</v>
      </c>
      <c r="D343" s="1012">
        <v>0.71330000000000005</v>
      </c>
      <c r="E343" s="1012">
        <v>0.71330000000000005</v>
      </c>
      <c r="F343" s="1012">
        <v>0.71330000000000005</v>
      </c>
      <c r="G343" s="1012">
        <v>0.64129999999999998</v>
      </c>
      <c r="H343" s="1012">
        <v>0.64129999999999998</v>
      </c>
      <c r="I343" s="1012">
        <v>0.56310000000000004</v>
      </c>
      <c r="J343" s="1012">
        <v>0.56310000000000004</v>
      </c>
      <c r="K343" s="1012">
        <v>0.56310000000000004</v>
      </c>
      <c r="L343" s="1012">
        <v>0.56310000000000004</v>
      </c>
      <c r="M343" s="1012">
        <v>0.56310000000000004</v>
      </c>
    </row>
    <row r="344" spans="1:13">
      <c r="A344" s="1027">
        <v>3.6</v>
      </c>
      <c r="B344" s="1012">
        <v>0.72189999999999999</v>
      </c>
      <c r="C344" s="1012">
        <v>0.72189999999999999</v>
      </c>
      <c r="D344" s="1012">
        <v>0.70699999999999996</v>
      </c>
      <c r="E344" s="1012">
        <v>0.70699999999999996</v>
      </c>
      <c r="F344" s="1012">
        <v>0.70699999999999996</v>
      </c>
      <c r="G344" s="1012">
        <v>0.63529999999999998</v>
      </c>
      <c r="H344" s="1012">
        <v>0.63529999999999998</v>
      </c>
      <c r="I344" s="1012">
        <v>0.5575</v>
      </c>
      <c r="J344" s="1012">
        <v>0.5575</v>
      </c>
      <c r="K344" s="1012">
        <v>0.5575</v>
      </c>
      <c r="L344" s="1012">
        <v>0.5575</v>
      </c>
      <c r="M344" s="1012">
        <v>0.5575</v>
      </c>
    </row>
    <row r="345" spans="1:13">
      <c r="A345" s="1027">
        <v>3.7</v>
      </c>
      <c r="B345" s="1012">
        <v>0.71679999999999999</v>
      </c>
      <c r="C345" s="1012">
        <v>0.71679999999999999</v>
      </c>
      <c r="D345" s="1012">
        <v>0.70109999999999995</v>
      </c>
      <c r="E345" s="1012">
        <v>0.70109999999999995</v>
      </c>
      <c r="F345" s="1012">
        <v>0.70109999999999995</v>
      </c>
      <c r="G345" s="1012">
        <v>0.62970000000000004</v>
      </c>
      <c r="H345" s="1012">
        <v>0.62970000000000004</v>
      </c>
      <c r="I345" s="1012">
        <v>0.55230000000000001</v>
      </c>
      <c r="J345" s="1012">
        <v>0.55230000000000001</v>
      </c>
      <c r="K345" s="1012">
        <v>0.55230000000000001</v>
      </c>
      <c r="L345" s="1012">
        <v>0.55230000000000001</v>
      </c>
      <c r="M345" s="1012">
        <v>0.55230000000000001</v>
      </c>
    </row>
    <row r="346" spans="1:13">
      <c r="A346" s="1027">
        <v>3.8</v>
      </c>
      <c r="B346" s="1012">
        <v>0.71220000000000006</v>
      </c>
      <c r="C346" s="1012">
        <v>0.71220000000000006</v>
      </c>
      <c r="D346" s="1012">
        <v>0.6956</v>
      </c>
      <c r="E346" s="1012">
        <v>0.6956</v>
      </c>
      <c r="F346" s="1012">
        <v>0.6956</v>
      </c>
      <c r="G346" s="1012">
        <v>0.62439999999999996</v>
      </c>
      <c r="H346" s="1012">
        <v>0.62439999999999996</v>
      </c>
      <c r="I346" s="1012">
        <v>0.5474</v>
      </c>
      <c r="J346" s="1012">
        <v>0.5474</v>
      </c>
      <c r="K346" s="1012">
        <v>0.5474</v>
      </c>
      <c r="L346" s="1012">
        <v>0.5474</v>
      </c>
      <c r="M346" s="1012">
        <v>0.5474</v>
      </c>
    </row>
    <row r="347" spans="1:13">
      <c r="A347" s="1027">
        <v>3.9</v>
      </c>
      <c r="B347" s="1012">
        <v>0.70799999999999996</v>
      </c>
      <c r="C347" s="1012">
        <v>0.70799999999999996</v>
      </c>
      <c r="D347" s="1012">
        <v>0.69059999999999999</v>
      </c>
      <c r="E347" s="1012">
        <v>0.69059999999999999</v>
      </c>
      <c r="F347" s="1012">
        <v>0.69059999999999999</v>
      </c>
      <c r="G347" s="1012">
        <v>0.61950000000000005</v>
      </c>
      <c r="H347" s="1012">
        <v>0.61950000000000005</v>
      </c>
      <c r="I347" s="1012">
        <v>0.54279999999999995</v>
      </c>
      <c r="J347" s="1012">
        <v>0.54279999999999995</v>
      </c>
      <c r="K347" s="1012">
        <v>0.54279999999999995</v>
      </c>
      <c r="L347" s="1012">
        <v>0.54279999999999995</v>
      </c>
      <c r="M347" s="1012">
        <v>0.54279999999999995</v>
      </c>
    </row>
    <row r="348" spans="1:13">
      <c r="A348" s="1027">
        <v>4</v>
      </c>
      <c r="B348" s="1012">
        <v>0.70409999999999995</v>
      </c>
      <c r="C348" s="1012">
        <v>0.70409999999999995</v>
      </c>
      <c r="D348" s="1012">
        <v>0.68589999999999995</v>
      </c>
      <c r="E348" s="1012">
        <v>0.68589999999999995</v>
      </c>
      <c r="F348" s="1012">
        <v>0.68589999999999995</v>
      </c>
      <c r="G348" s="1012">
        <v>0.61499999999999999</v>
      </c>
      <c r="H348" s="1012">
        <v>0.61499999999999999</v>
      </c>
      <c r="I348" s="1012">
        <v>0.53859999999999997</v>
      </c>
      <c r="J348" s="1012">
        <v>0.53859999999999997</v>
      </c>
      <c r="K348" s="1012">
        <v>0.53859999999999997</v>
      </c>
      <c r="L348" s="1012">
        <v>0.53859999999999997</v>
      </c>
      <c r="M348" s="1012">
        <v>0.53859999999999997</v>
      </c>
    </row>
    <row r="349" spans="1:13">
      <c r="A349" s="1027">
        <v>4.0999999999999996</v>
      </c>
      <c r="B349" s="1012">
        <v>0.7006</v>
      </c>
      <c r="C349" s="1012">
        <v>0.7006</v>
      </c>
      <c r="D349" s="1012">
        <v>0.68159999999999998</v>
      </c>
      <c r="E349" s="1012">
        <v>0.68159999999999998</v>
      </c>
      <c r="F349" s="1012">
        <v>0.68159999999999998</v>
      </c>
      <c r="G349" s="1012">
        <v>0.61080000000000001</v>
      </c>
      <c r="H349" s="1012">
        <v>0.61080000000000001</v>
      </c>
      <c r="I349" s="1012">
        <v>0.53459999999999996</v>
      </c>
      <c r="J349" s="1012">
        <v>0.53459999999999996</v>
      </c>
      <c r="K349" s="1012">
        <v>0.53459999999999996</v>
      </c>
      <c r="L349" s="1012">
        <v>0.53459999999999996</v>
      </c>
      <c r="M349" s="1012">
        <v>0.53459999999999996</v>
      </c>
    </row>
    <row r="350" spans="1:13">
      <c r="A350" s="1027">
        <v>4.2</v>
      </c>
      <c r="B350" s="1012">
        <v>0.69740000000000002</v>
      </c>
      <c r="C350" s="1012">
        <v>0.69740000000000002</v>
      </c>
      <c r="D350" s="1012">
        <v>0.67759999999999998</v>
      </c>
      <c r="E350" s="1012">
        <v>0.67759999999999998</v>
      </c>
      <c r="F350" s="1012">
        <v>0.67759999999999998</v>
      </c>
      <c r="G350" s="1012">
        <v>0.60699999999999998</v>
      </c>
      <c r="H350" s="1012">
        <v>0.60699999999999998</v>
      </c>
      <c r="I350" s="1012">
        <v>0.53090000000000004</v>
      </c>
      <c r="J350" s="1012">
        <v>0.53090000000000004</v>
      </c>
      <c r="K350" s="1012">
        <v>0.53090000000000004</v>
      </c>
      <c r="L350" s="1012">
        <v>0.53090000000000004</v>
      </c>
      <c r="M350" s="1012">
        <v>0.53090000000000004</v>
      </c>
    </row>
    <row r="351" spans="1:13">
      <c r="A351" s="1027">
        <v>4.3</v>
      </c>
      <c r="B351" s="1012">
        <v>0.69450000000000001</v>
      </c>
      <c r="C351" s="1012">
        <v>0.69450000000000001</v>
      </c>
      <c r="D351" s="1012">
        <v>0.67390000000000005</v>
      </c>
      <c r="E351" s="1012">
        <v>0.67390000000000005</v>
      </c>
      <c r="F351" s="1012">
        <v>0.67390000000000005</v>
      </c>
      <c r="G351" s="1012">
        <v>0.60329999999999995</v>
      </c>
      <c r="H351" s="1012">
        <v>0.60329999999999995</v>
      </c>
      <c r="I351" s="1012">
        <v>0.52739999999999998</v>
      </c>
      <c r="J351" s="1012">
        <v>0.52739999999999998</v>
      </c>
      <c r="K351" s="1012">
        <v>0.52739999999999998</v>
      </c>
      <c r="L351" s="1012">
        <v>0.52739999999999998</v>
      </c>
      <c r="M351" s="1012">
        <v>0.52739999999999998</v>
      </c>
    </row>
    <row r="352" spans="1:13">
      <c r="A352" s="1027">
        <v>4.4000000000000004</v>
      </c>
      <c r="B352" s="1012">
        <v>0.69179999999999997</v>
      </c>
      <c r="C352" s="1012">
        <v>0.69179999999999997</v>
      </c>
      <c r="D352" s="1012">
        <v>0.67049999999999998</v>
      </c>
      <c r="E352" s="1012">
        <v>0.67049999999999998</v>
      </c>
      <c r="F352" s="1012">
        <v>0.67049999999999998</v>
      </c>
      <c r="G352" s="1012">
        <v>0.59989999999999999</v>
      </c>
      <c r="H352" s="1012">
        <v>0.59989999999999999</v>
      </c>
      <c r="I352" s="1012">
        <v>0.5242</v>
      </c>
      <c r="J352" s="1012">
        <v>0.5242</v>
      </c>
      <c r="K352" s="1012">
        <v>0.5242</v>
      </c>
      <c r="L352" s="1012">
        <v>0.5242</v>
      </c>
      <c r="M352" s="1012">
        <v>0.5242</v>
      </c>
    </row>
    <row r="353" spans="1:13">
      <c r="A353" s="1027">
        <v>4.5</v>
      </c>
      <c r="B353" s="1012">
        <v>0.68940000000000001</v>
      </c>
      <c r="C353" s="1012">
        <v>0.68940000000000001</v>
      </c>
      <c r="D353" s="1012">
        <v>0.6673</v>
      </c>
      <c r="E353" s="1012">
        <v>0.6673</v>
      </c>
      <c r="F353" s="1012">
        <v>0.6673</v>
      </c>
      <c r="G353" s="1012">
        <v>0.59670000000000001</v>
      </c>
      <c r="H353" s="1012">
        <v>0.59670000000000001</v>
      </c>
      <c r="I353" s="1012">
        <v>0.52110000000000001</v>
      </c>
      <c r="J353" s="1012">
        <v>0.52110000000000001</v>
      </c>
      <c r="K353" s="1012">
        <v>0.52110000000000001</v>
      </c>
      <c r="L353" s="1012">
        <v>0.52110000000000001</v>
      </c>
      <c r="M353" s="1012">
        <v>0.52110000000000001</v>
      </c>
    </row>
    <row r="354" spans="1:13">
      <c r="A354" s="1027">
        <v>4.5999999999999996</v>
      </c>
      <c r="B354" s="1012">
        <v>0.68720000000000003</v>
      </c>
      <c r="C354" s="1012">
        <v>0.68720000000000003</v>
      </c>
      <c r="D354" s="1012">
        <v>0.6643</v>
      </c>
      <c r="E354" s="1012">
        <v>0.6643</v>
      </c>
      <c r="F354" s="1012">
        <v>0.6643</v>
      </c>
      <c r="G354" s="1012">
        <v>0.59379999999999999</v>
      </c>
      <c r="H354" s="1012">
        <v>0.59379999999999999</v>
      </c>
      <c r="I354" s="1012">
        <v>0.51819999999999999</v>
      </c>
      <c r="J354" s="1012">
        <v>0.51819999999999999</v>
      </c>
      <c r="K354" s="1012">
        <v>0.51819999999999999</v>
      </c>
      <c r="L354" s="1012">
        <v>0.51819999999999999</v>
      </c>
      <c r="M354" s="1012">
        <v>0.51819999999999999</v>
      </c>
    </row>
    <row r="355" spans="1:13">
      <c r="A355" s="1027">
        <v>4.7</v>
      </c>
      <c r="B355" s="1012">
        <v>0.68520000000000003</v>
      </c>
      <c r="C355" s="1012">
        <v>0.68520000000000003</v>
      </c>
      <c r="D355" s="1012">
        <v>0.66149999999999998</v>
      </c>
      <c r="E355" s="1012">
        <v>0.66149999999999998</v>
      </c>
      <c r="F355" s="1012">
        <v>0.66149999999999998</v>
      </c>
      <c r="G355" s="1012">
        <v>0.59109999999999996</v>
      </c>
      <c r="H355" s="1012">
        <v>0.59109999999999996</v>
      </c>
      <c r="I355" s="1012">
        <v>0.51559999999999995</v>
      </c>
      <c r="J355" s="1012">
        <v>0.51559999999999995</v>
      </c>
      <c r="K355" s="1012">
        <v>0.51559999999999995</v>
      </c>
      <c r="L355" s="1012">
        <v>0.51559999999999995</v>
      </c>
      <c r="M355" s="1012">
        <v>0.51559999999999995</v>
      </c>
    </row>
    <row r="356" spans="1:13">
      <c r="A356" s="1027">
        <v>4.8</v>
      </c>
      <c r="B356" s="1012">
        <v>0.68340000000000001</v>
      </c>
      <c r="C356" s="1012">
        <v>0.68340000000000001</v>
      </c>
      <c r="D356" s="1012">
        <v>0.65900000000000003</v>
      </c>
      <c r="E356" s="1012">
        <v>0.65900000000000003</v>
      </c>
      <c r="F356" s="1012">
        <v>0.65900000000000003</v>
      </c>
      <c r="G356" s="1012">
        <v>0.58850000000000002</v>
      </c>
      <c r="H356" s="1012">
        <v>0.58850000000000002</v>
      </c>
      <c r="I356" s="1012">
        <v>0.51300000000000001</v>
      </c>
      <c r="J356" s="1012">
        <v>0.51300000000000001</v>
      </c>
      <c r="K356" s="1012">
        <v>0.51300000000000001</v>
      </c>
      <c r="L356" s="1012">
        <v>0.51300000000000001</v>
      </c>
      <c r="M356" s="1012">
        <v>0.51300000000000001</v>
      </c>
    </row>
    <row r="357" spans="1:13">
      <c r="A357" s="1027">
        <v>4.9000000000000004</v>
      </c>
      <c r="B357" s="1012">
        <v>0.68179999999999996</v>
      </c>
      <c r="C357" s="1012">
        <v>0.68179999999999996</v>
      </c>
      <c r="D357" s="1012">
        <v>0.65659999999999996</v>
      </c>
      <c r="E357" s="1012">
        <v>0.65659999999999996</v>
      </c>
      <c r="F357" s="1012">
        <v>0.65659999999999996</v>
      </c>
      <c r="G357" s="1012">
        <v>0.58599999999999997</v>
      </c>
      <c r="H357" s="1012">
        <v>0.58599999999999997</v>
      </c>
      <c r="I357" s="1012">
        <v>0.51060000000000005</v>
      </c>
      <c r="J357" s="1012">
        <v>0.51060000000000005</v>
      </c>
      <c r="K357" s="1012">
        <v>0.51060000000000005</v>
      </c>
      <c r="L357" s="1012">
        <v>0.51060000000000005</v>
      </c>
      <c r="M357" s="1012">
        <v>0.51060000000000005</v>
      </c>
    </row>
    <row r="358" spans="1:13">
      <c r="A358" s="1027">
        <v>5</v>
      </c>
      <c r="B358" s="1012">
        <v>0.68030000000000002</v>
      </c>
      <c r="C358" s="1012">
        <v>0.68030000000000002</v>
      </c>
      <c r="D358" s="1012">
        <v>0.65439999999999998</v>
      </c>
      <c r="E358" s="1012">
        <v>0.65439999999999998</v>
      </c>
      <c r="F358" s="1012">
        <v>0.65439999999999998</v>
      </c>
      <c r="G358" s="1012">
        <v>0.58379999999999999</v>
      </c>
      <c r="H358" s="1012">
        <v>0.58379999999999999</v>
      </c>
      <c r="I358" s="1012">
        <v>0.50839999999999996</v>
      </c>
      <c r="J358" s="1012">
        <v>0.50839999999999996</v>
      </c>
      <c r="K358" s="1012">
        <v>0.50839999999999996</v>
      </c>
      <c r="L358" s="1012">
        <v>0.50839999999999996</v>
      </c>
      <c r="M358" s="1012">
        <v>0.50839999999999996</v>
      </c>
    </row>
    <row r="359" spans="1:13">
      <c r="A359" s="1003">
        <v>5.0999999999999996</v>
      </c>
      <c r="B359" s="1012">
        <v>0.67889999999999995</v>
      </c>
      <c r="C359" s="1012">
        <v>0.67889999999999995</v>
      </c>
      <c r="D359" s="1012">
        <v>0.65229999999999999</v>
      </c>
      <c r="E359" s="1012">
        <v>0.65229999999999999</v>
      </c>
      <c r="F359" s="1012">
        <v>0.65229999999999999</v>
      </c>
      <c r="G359" s="1012">
        <v>0.58160000000000001</v>
      </c>
      <c r="H359" s="1012">
        <v>0.58160000000000001</v>
      </c>
      <c r="I359" s="1012">
        <v>0.50629999999999997</v>
      </c>
      <c r="J359" s="1012">
        <v>0.50629999999999997</v>
      </c>
      <c r="K359" s="1012">
        <v>0.50629999999999997</v>
      </c>
      <c r="L359" s="1012">
        <v>0.50629999999999997</v>
      </c>
      <c r="M359" s="1012">
        <v>0.50629999999999997</v>
      </c>
    </row>
    <row r="360" spans="1:13">
      <c r="A360" s="1003">
        <v>5.2</v>
      </c>
      <c r="B360" s="1012">
        <v>0.67749999999999999</v>
      </c>
      <c r="C360" s="1012">
        <v>0.67749999999999999</v>
      </c>
      <c r="D360" s="1012">
        <v>0.65029999999999999</v>
      </c>
      <c r="E360" s="1012">
        <v>0.65029999999999999</v>
      </c>
      <c r="F360" s="1012">
        <v>0.65029999999999999</v>
      </c>
      <c r="G360" s="1012">
        <v>0.57950000000000002</v>
      </c>
      <c r="H360" s="1012">
        <v>0.57950000000000002</v>
      </c>
      <c r="I360" s="1012">
        <v>0.50419999999999998</v>
      </c>
      <c r="J360" s="1012">
        <v>0.50419999999999998</v>
      </c>
      <c r="K360" s="1012">
        <v>0.50419999999999998</v>
      </c>
      <c r="L360" s="1012">
        <v>0.50419999999999998</v>
      </c>
      <c r="M360" s="1012">
        <v>0.50419999999999998</v>
      </c>
    </row>
    <row r="361" spans="1:13">
      <c r="A361" s="1003">
        <v>5.3</v>
      </c>
      <c r="B361" s="1012">
        <v>0.67620000000000002</v>
      </c>
      <c r="C361" s="1012">
        <v>0.67620000000000002</v>
      </c>
      <c r="D361" s="1012">
        <v>0.64839999999999998</v>
      </c>
      <c r="E361" s="1012">
        <v>0.64839999999999998</v>
      </c>
      <c r="F361" s="1012">
        <v>0.64839999999999998</v>
      </c>
      <c r="G361" s="1012">
        <v>0.5776</v>
      </c>
      <c r="H361" s="1012">
        <v>0.5776</v>
      </c>
      <c r="I361" s="1012">
        <v>0.50229999999999997</v>
      </c>
      <c r="J361" s="1012">
        <v>0.50229999999999997</v>
      </c>
      <c r="K361" s="1012">
        <v>0.50229999999999997</v>
      </c>
      <c r="L361" s="1012">
        <v>0.50229999999999997</v>
      </c>
      <c r="M361" s="1012">
        <v>0.50229999999999997</v>
      </c>
    </row>
    <row r="362" spans="1:13">
      <c r="A362" s="1003">
        <v>5.4</v>
      </c>
      <c r="B362" s="1012">
        <v>0.67500000000000004</v>
      </c>
      <c r="C362" s="1012">
        <v>0.67500000000000004</v>
      </c>
      <c r="D362" s="1012">
        <v>0.64670000000000005</v>
      </c>
      <c r="E362" s="1012">
        <v>0.64670000000000005</v>
      </c>
      <c r="F362" s="1012">
        <v>0.64670000000000005</v>
      </c>
      <c r="G362" s="1012">
        <v>0.57579999999999998</v>
      </c>
      <c r="H362" s="1012">
        <v>0.57579999999999998</v>
      </c>
      <c r="I362" s="1012">
        <v>0.50039999999999996</v>
      </c>
      <c r="J362" s="1012">
        <v>0.50039999999999996</v>
      </c>
      <c r="K362" s="1012">
        <v>0.50039999999999996</v>
      </c>
      <c r="L362" s="1012">
        <v>0.50039999999999996</v>
      </c>
      <c r="M362" s="1012">
        <v>0.50039999999999996</v>
      </c>
    </row>
    <row r="363" spans="1:13">
      <c r="A363" s="1003">
        <v>5.5</v>
      </c>
      <c r="B363" s="1012">
        <v>0.67379999999999995</v>
      </c>
      <c r="C363" s="1012">
        <v>0.67379999999999995</v>
      </c>
      <c r="D363" s="1012">
        <v>0.64500000000000002</v>
      </c>
      <c r="E363" s="1012">
        <v>0.64500000000000002</v>
      </c>
      <c r="F363" s="1012">
        <v>0.64500000000000002</v>
      </c>
      <c r="G363" s="1012">
        <v>0.57399999999999995</v>
      </c>
      <c r="H363" s="1012">
        <v>0.57399999999999995</v>
      </c>
      <c r="I363" s="1012">
        <v>0.49869999999999998</v>
      </c>
      <c r="J363" s="1012">
        <v>0.49869999999999998</v>
      </c>
      <c r="K363" s="1012">
        <v>0.49869999999999998</v>
      </c>
      <c r="L363" s="1012">
        <v>0.49869999999999998</v>
      </c>
      <c r="M363" s="1012">
        <v>0.49869999999999998</v>
      </c>
    </row>
    <row r="364" spans="1:13">
      <c r="A364" s="1003">
        <v>5.6</v>
      </c>
      <c r="B364" s="1012">
        <v>0.67259999999999998</v>
      </c>
      <c r="C364" s="1012">
        <v>0.67259999999999998</v>
      </c>
      <c r="D364" s="1012">
        <v>0.64339999999999997</v>
      </c>
      <c r="E364" s="1012">
        <v>0.64339999999999997</v>
      </c>
      <c r="F364" s="1012">
        <v>0.64339999999999997</v>
      </c>
      <c r="G364" s="1012">
        <v>0.57240000000000002</v>
      </c>
      <c r="H364" s="1012">
        <v>0.57240000000000002</v>
      </c>
      <c r="I364" s="1012">
        <v>0.49690000000000001</v>
      </c>
      <c r="J364" s="1012">
        <v>0.49690000000000001</v>
      </c>
      <c r="K364" s="1012">
        <v>0.49690000000000001</v>
      </c>
      <c r="L364" s="1012">
        <v>0.49690000000000001</v>
      </c>
      <c r="M364" s="1012">
        <v>0.49690000000000001</v>
      </c>
    </row>
    <row r="365" spans="1:13">
      <c r="A365" s="1027">
        <v>5.7</v>
      </c>
      <c r="B365" s="1012">
        <v>0.6714</v>
      </c>
      <c r="C365" s="1012">
        <v>0.6714</v>
      </c>
      <c r="D365" s="1012">
        <v>0.64190000000000003</v>
      </c>
      <c r="E365" s="1012">
        <v>0.64190000000000003</v>
      </c>
      <c r="F365" s="1012">
        <v>0.64190000000000003</v>
      </c>
      <c r="G365" s="1012">
        <v>0.57069999999999999</v>
      </c>
      <c r="H365" s="1012">
        <v>0.57069999999999999</v>
      </c>
      <c r="I365" s="1012">
        <v>0.49519999999999997</v>
      </c>
      <c r="J365" s="1012">
        <v>0.49519999999999997</v>
      </c>
      <c r="K365" s="1012">
        <v>0.49519999999999997</v>
      </c>
      <c r="L365" s="1012">
        <v>0.49519999999999997</v>
      </c>
      <c r="M365" s="1012">
        <v>0.49519999999999997</v>
      </c>
    </row>
    <row r="366" spans="1:13">
      <c r="A366" s="1003">
        <v>5.8</v>
      </c>
      <c r="B366" s="1012">
        <v>0.67020000000000002</v>
      </c>
      <c r="C366" s="1012">
        <v>0.67020000000000002</v>
      </c>
      <c r="D366" s="1012">
        <v>0.64039999999999997</v>
      </c>
      <c r="E366" s="1012">
        <v>0.64039999999999997</v>
      </c>
      <c r="F366" s="1012">
        <v>0.64039999999999997</v>
      </c>
      <c r="G366" s="1012">
        <v>0.56910000000000005</v>
      </c>
      <c r="H366" s="1012">
        <v>0.56910000000000005</v>
      </c>
      <c r="I366" s="1012">
        <v>0.49359999999999998</v>
      </c>
      <c r="J366" s="1012">
        <v>0.49359999999999998</v>
      </c>
      <c r="K366" s="1012">
        <v>0.49359999999999998</v>
      </c>
      <c r="L366" s="1012">
        <v>0.49359999999999998</v>
      </c>
      <c r="M366" s="1012">
        <v>0.49359999999999998</v>
      </c>
    </row>
    <row r="367" spans="1:13">
      <c r="A367" s="1003">
        <v>5.9</v>
      </c>
      <c r="B367" s="1012">
        <v>0.66910000000000003</v>
      </c>
      <c r="C367" s="1012">
        <v>0.66910000000000003</v>
      </c>
      <c r="D367" s="1012">
        <v>0.63890000000000002</v>
      </c>
      <c r="E367" s="1012">
        <v>0.63890000000000002</v>
      </c>
      <c r="F367" s="1012">
        <v>0.63890000000000002</v>
      </c>
      <c r="G367" s="1012">
        <v>0.5675</v>
      </c>
      <c r="H367" s="1012">
        <v>0.5675</v>
      </c>
      <c r="I367" s="1012">
        <v>0.4919</v>
      </c>
      <c r="J367" s="1012">
        <v>0.4919</v>
      </c>
      <c r="K367" s="1012">
        <v>0.4919</v>
      </c>
      <c r="L367" s="1012">
        <v>0.4919</v>
      </c>
      <c r="M367" s="1012">
        <v>0.4919</v>
      </c>
    </row>
    <row r="368" spans="1:13">
      <c r="A368" s="1003">
        <v>6</v>
      </c>
      <c r="B368" s="1012">
        <v>0.66800000000000004</v>
      </c>
      <c r="C368" s="1012">
        <v>0.66800000000000004</v>
      </c>
      <c r="D368" s="1012">
        <v>0.63739999999999997</v>
      </c>
      <c r="E368" s="1012">
        <v>0.63739999999999997</v>
      </c>
      <c r="F368" s="1012">
        <v>0.63739999999999997</v>
      </c>
      <c r="G368" s="1012">
        <v>0.56589999999999996</v>
      </c>
      <c r="H368" s="1012">
        <v>0.56589999999999996</v>
      </c>
      <c r="I368" s="1012">
        <v>0.49020000000000002</v>
      </c>
      <c r="J368" s="1012">
        <v>0.49020000000000002</v>
      </c>
      <c r="K368" s="1012">
        <v>0.49020000000000002</v>
      </c>
      <c r="L368" s="1012">
        <v>0.49020000000000002</v>
      </c>
      <c r="M368" s="1012">
        <v>0.49020000000000002</v>
      </c>
    </row>
    <row r="369" spans="1:13">
      <c r="A369" s="1003">
        <v>6.1</v>
      </c>
      <c r="B369" s="1012">
        <v>0.66690000000000005</v>
      </c>
      <c r="C369" s="1012">
        <v>0.66690000000000005</v>
      </c>
      <c r="D369" s="1012">
        <v>0.63590000000000002</v>
      </c>
      <c r="E369" s="1012">
        <v>0.63590000000000002</v>
      </c>
      <c r="F369" s="1012">
        <v>0.63590000000000002</v>
      </c>
      <c r="G369" s="1012">
        <v>0.56440000000000001</v>
      </c>
      <c r="H369" s="1012">
        <v>0.56440000000000001</v>
      </c>
      <c r="I369" s="1012">
        <v>0.48849999999999999</v>
      </c>
      <c r="J369" s="1012">
        <v>0.48849999999999999</v>
      </c>
      <c r="K369" s="1012">
        <v>0.48849999999999999</v>
      </c>
      <c r="L369" s="1012">
        <v>0.48849999999999999</v>
      </c>
      <c r="M369" s="1012">
        <v>0.48849999999999999</v>
      </c>
    </row>
    <row r="370" spans="1:13">
      <c r="A370" s="1003">
        <v>6.2</v>
      </c>
      <c r="B370" s="1012">
        <v>0.66579999999999995</v>
      </c>
      <c r="C370" s="1012">
        <v>0.66579999999999995</v>
      </c>
      <c r="D370" s="1012">
        <v>0.63439999999999996</v>
      </c>
      <c r="E370" s="1012">
        <v>0.63439999999999996</v>
      </c>
      <c r="F370" s="1012">
        <v>0.63439999999999996</v>
      </c>
      <c r="G370" s="1012">
        <v>0.56289999999999996</v>
      </c>
      <c r="H370" s="1012">
        <v>0.56289999999999996</v>
      </c>
      <c r="I370" s="1012">
        <v>0.48680000000000001</v>
      </c>
      <c r="J370" s="1012">
        <v>0.48680000000000001</v>
      </c>
      <c r="K370" s="1012">
        <v>0.48680000000000001</v>
      </c>
      <c r="L370" s="1012">
        <v>0.48680000000000001</v>
      </c>
      <c r="M370" s="1012">
        <v>0.48680000000000001</v>
      </c>
    </row>
    <row r="371" spans="1:13">
      <c r="A371" s="1003">
        <v>6.3</v>
      </c>
      <c r="B371" s="1012">
        <v>0.66469999999999996</v>
      </c>
      <c r="C371" s="1012">
        <v>0.66469999999999996</v>
      </c>
      <c r="D371" s="1012">
        <v>0.63290000000000002</v>
      </c>
      <c r="E371" s="1012">
        <v>0.63290000000000002</v>
      </c>
      <c r="F371" s="1012">
        <v>0.63290000000000002</v>
      </c>
      <c r="G371" s="1012">
        <v>0.56130000000000002</v>
      </c>
      <c r="H371" s="1012">
        <v>0.56130000000000002</v>
      </c>
      <c r="I371" s="1012">
        <v>0.48509999999999998</v>
      </c>
      <c r="J371" s="1012">
        <v>0.48509999999999998</v>
      </c>
      <c r="K371" s="1012">
        <v>0.48509999999999998</v>
      </c>
      <c r="L371" s="1012">
        <v>0.48509999999999998</v>
      </c>
      <c r="M371" s="1012">
        <v>0.48509999999999998</v>
      </c>
    </row>
    <row r="372" spans="1:13">
      <c r="A372" s="1003">
        <v>6.4</v>
      </c>
      <c r="B372" s="1012">
        <v>0.66359999999999997</v>
      </c>
      <c r="C372" s="1012">
        <v>0.66359999999999997</v>
      </c>
      <c r="D372" s="1012">
        <v>0.63139999999999996</v>
      </c>
      <c r="E372" s="1012">
        <v>0.63139999999999996</v>
      </c>
      <c r="F372" s="1012">
        <v>0.63139999999999996</v>
      </c>
      <c r="G372" s="1012">
        <v>0.55979999999999996</v>
      </c>
      <c r="H372" s="1012">
        <v>0.55979999999999996</v>
      </c>
      <c r="I372" s="1012">
        <v>0.48349999999999999</v>
      </c>
      <c r="J372" s="1012">
        <v>0.48349999999999999</v>
      </c>
      <c r="K372" s="1012">
        <v>0.48349999999999999</v>
      </c>
      <c r="L372" s="1012">
        <v>0.48349999999999999</v>
      </c>
      <c r="M372" s="1012">
        <v>0.48349999999999999</v>
      </c>
    </row>
    <row r="373" spans="1:13">
      <c r="A373" s="1003">
        <v>6.5</v>
      </c>
      <c r="B373" s="1012">
        <v>0.66249999999999998</v>
      </c>
      <c r="C373" s="1012">
        <v>0.66249999999999998</v>
      </c>
      <c r="D373" s="1012">
        <v>0.63</v>
      </c>
      <c r="E373" s="1012">
        <v>0.63</v>
      </c>
      <c r="F373" s="1012">
        <v>0.63</v>
      </c>
      <c r="G373" s="1012">
        <v>0.55820000000000003</v>
      </c>
      <c r="H373" s="1012">
        <v>0.55820000000000003</v>
      </c>
      <c r="I373" s="1012">
        <v>0.4819</v>
      </c>
      <c r="J373" s="1012">
        <v>0.4819</v>
      </c>
      <c r="K373" s="1012">
        <v>0.4819</v>
      </c>
      <c r="L373" s="1012">
        <v>0.4819</v>
      </c>
      <c r="M373" s="1012">
        <v>0.4819</v>
      </c>
    </row>
    <row r="374" spans="1:13">
      <c r="A374" s="1003">
        <v>6.6</v>
      </c>
      <c r="B374" s="1012">
        <v>0.66149999999999998</v>
      </c>
      <c r="C374" s="1012">
        <v>0.66149999999999998</v>
      </c>
      <c r="D374" s="1012">
        <v>0.62860000000000005</v>
      </c>
      <c r="E374" s="1012">
        <v>0.62860000000000005</v>
      </c>
      <c r="F374" s="1012">
        <v>0.62860000000000005</v>
      </c>
      <c r="G374" s="1012">
        <v>0.55669999999999997</v>
      </c>
      <c r="H374" s="1012">
        <v>0.55669999999999997</v>
      </c>
      <c r="I374" s="1012">
        <v>0.4803</v>
      </c>
      <c r="J374" s="1012">
        <v>0.4803</v>
      </c>
      <c r="K374" s="1012">
        <v>0.4803</v>
      </c>
      <c r="L374" s="1012">
        <v>0.4803</v>
      </c>
      <c r="M374" s="1012">
        <v>0.4803</v>
      </c>
    </row>
    <row r="375" spans="1:13">
      <c r="A375" s="1003">
        <v>6.7</v>
      </c>
      <c r="B375" s="1012">
        <v>0.66049999999999998</v>
      </c>
      <c r="C375" s="1012">
        <v>0.66049999999999998</v>
      </c>
      <c r="D375" s="1012">
        <v>0.62719999999999998</v>
      </c>
      <c r="E375" s="1012">
        <v>0.62719999999999998</v>
      </c>
      <c r="F375" s="1012">
        <v>0.62719999999999998</v>
      </c>
      <c r="G375" s="1012">
        <v>0.55520000000000003</v>
      </c>
      <c r="H375" s="1012">
        <v>0.55520000000000003</v>
      </c>
      <c r="I375" s="1012">
        <v>0.47870000000000001</v>
      </c>
      <c r="J375" s="1012">
        <v>0.47870000000000001</v>
      </c>
      <c r="K375" s="1012">
        <v>0.47870000000000001</v>
      </c>
      <c r="L375" s="1012">
        <v>0.47870000000000001</v>
      </c>
      <c r="M375" s="1012">
        <v>0.47870000000000001</v>
      </c>
    </row>
    <row r="376" spans="1:13">
      <c r="A376" s="1003">
        <v>6.8</v>
      </c>
      <c r="B376" s="1012">
        <v>0.65949999999999998</v>
      </c>
      <c r="C376" s="1012">
        <v>0.65949999999999998</v>
      </c>
      <c r="D376" s="1012">
        <v>0.62580000000000002</v>
      </c>
      <c r="E376" s="1012">
        <v>0.62580000000000002</v>
      </c>
      <c r="F376" s="1012">
        <v>0.62580000000000002</v>
      </c>
      <c r="G376" s="1012">
        <v>0.55359999999999998</v>
      </c>
      <c r="H376" s="1012">
        <v>0.55359999999999998</v>
      </c>
      <c r="I376" s="1012">
        <v>0.47710000000000002</v>
      </c>
      <c r="J376" s="1012">
        <v>0.47710000000000002</v>
      </c>
      <c r="K376" s="1012">
        <v>0.47710000000000002</v>
      </c>
      <c r="L376" s="1012">
        <v>0.47710000000000002</v>
      </c>
      <c r="M376" s="1012">
        <v>0.47710000000000002</v>
      </c>
    </row>
    <row r="377" spans="1:13">
      <c r="A377" s="1003">
        <v>6.9</v>
      </c>
      <c r="B377" s="1012">
        <v>0.65849999999999997</v>
      </c>
      <c r="C377" s="1012">
        <v>0.65849999999999997</v>
      </c>
      <c r="D377" s="1012">
        <v>0.62439999999999996</v>
      </c>
      <c r="E377" s="1012">
        <v>0.62439999999999996</v>
      </c>
      <c r="F377" s="1012">
        <v>0.62439999999999996</v>
      </c>
      <c r="G377" s="1012">
        <v>0.55220000000000002</v>
      </c>
      <c r="H377" s="1012">
        <v>0.55220000000000002</v>
      </c>
      <c r="I377" s="1012">
        <v>0.47549999999999998</v>
      </c>
      <c r="J377" s="1012">
        <v>0.47549999999999998</v>
      </c>
      <c r="K377" s="1012">
        <v>0.47549999999999998</v>
      </c>
      <c r="L377" s="1012">
        <v>0.47549999999999998</v>
      </c>
      <c r="M377" s="1012">
        <v>0.47549999999999998</v>
      </c>
    </row>
    <row r="378" spans="1:13">
      <c r="A378" s="1003">
        <v>7</v>
      </c>
      <c r="B378" s="1012">
        <v>0.65749999999999997</v>
      </c>
      <c r="C378" s="1012">
        <v>0.65749999999999997</v>
      </c>
      <c r="D378" s="1012">
        <v>0.623</v>
      </c>
      <c r="E378" s="1012">
        <v>0.623</v>
      </c>
      <c r="F378" s="1012">
        <v>0.623</v>
      </c>
      <c r="G378" s="1012">
        <v>0.55069999999999997</v>
      </c>
      <c r="H378" s="1012">
        <v>0.55069999999999997</v>
      </c>
      <c r="I378" s="1012">
        <v>0.47389999999999999</v>
      </c>
      <c r="J378" s="1012">
        <v>0.47389999999999999</v>
      </c>
      <c r="K378" s="1012">
        <v>0.47389999999999999</v>
      </c>
      <c r="L378" s="1012">
        <v>0.47389999999999999</v>
      </c>
      <c r="M378" s="1012">
        <v>0.47389999999999999</v>
      </c>
    </row>
    <row r="379" spans="1:13">
      <c r="A379" s="1003">
        <v>7.1</v>
      </c>
      <c r="B379" s="1012">
        <v>0.65649999999999997</v>
      </c>
      <c r="C379" s="1012">
        <v>0.65649999999999997</v>
      </c>
      <c r="D379" s="1012">
        <v>0.62160000000000004</v>
      </c>
      <c r="E379" s="1012">
        <v>0.62160000000000004</v>
      </c>
      <c r="F379" s="1012">
        <v>0.62160000000000004</v>
      </c>
      <c r="G379" s="1012">
        <v>0.54930000000000001</v>
      </c>
      <c r="H379" s="1012">
        <v>0.54930000000000001</v>
      </c>
      <c r="I379" s="1012">
        <v>0.47239999999999999</v>
      </c>
      <c r="J379" s="1012">
        <v>0.47239999999999999</v>
      </c>
      <c r="K379" s="1012">
        <v>0.47239999999999999</v>
      </c>
      <c r="L379" s="1012">
        <v>0.47239999999999999</v>
      </c>
      <c r="M379" s="1012">
        <v>0.47239999999999999</v>
      </c>
    </row>
    <row r="380" spans="1:13">
      <c r="A380" s="1003">
        <v>7.2</v>
      </c>
      <c r="B380" s="1012">
        <v>0.65549999999999997</v>
      </c>
      <c r="C380" s="1012">
        <v>0.65549999999999997</v>
      </c>
      <c r="D380" s="1012">
        <v>0.62019999999999997</v>
      </c>
      <c r="E380" s="1012">
        <v>0.62019999999999997</v>
      </c>
      <c r="F380" s="1012">
        <v>0.62019999999999997</v>
      </c>
      <c r="G380" s="1012">
        <v>0.54779999999999995</v>
      </c>
      <c r="H380" s="1012">
        <v>0.54779999999999995</v>
      </c>
      <c r="I380" s="1012">
        <v>0.47089999999999999</v>
      </c>
      <c r="J380" s="1012">
        <v>0.47089999999999999</v>
      </c>
      <c r="K380" s="1012">
        <v>0.47089999999999999</v>
      </c>
      <c r="L380" s="1012">
        <v>0.47089999999999999</v>
      </c>
      <c r="M380" s="1012">
        <v>0.47089999999999999</v>
      </c>
    </row>
    <row r="381" spans="1:13">
      <c r="A381" s="1003">
        <v>7.3</v>
      </c>
      <c r="B381" s="1012">
        <v>0.65449999999999997</v>
      </c>
      <c r="C381" s="1012">
        <v>0.65449999999999997</v>
      </c>
      <c r="D381" s="1012">
        <v>0.61880000000000002</v>
      </c>
      <c r="E381" s="1012">
        <v>0.61880000000000002</v>
      </c>
      <c r="F381" s="1012">
        <v>0.61880000000000002</v>
      </c>
      <c r="G381" s="1012">
        <v>0.5464</v>
      </c>
      <c r="H381" s="1012">
        <v>0.5464</v>
      </c>
      <c r="I381" s="1012">
        <v>0.46939999999999998</v>
      </c>
      <c r="J381" s="1012">
        <v>0.46939999999999998</v>
      </c>
      <c r="K381" s="1012">
        <v>0.46939999999999998</v>
      </c>
      <c r="L381" s="1012">
        <v>0.46939999999999998</v>
      </c>
      <c r="M381" s="1012">
        <v>0.46939999999999998</v>
      </c>
    </row>
    <row r="382" spans="1:13">
      <c r="A382" s="1003">
        <v>7.4</v>
      </c>
      <c r="B382" s="1012">
        <v>0.65349999999999997</v>
      </c>
      <c r="C382" s="1012">
        <v>0.65349999999999997</v>
      </c>
      <c r="D382" s="1012">
        <v>0.61750000000000005</v>
      </c>
      <c r="E382" s="1012">
        <v>0.61750000000000005</v>
      </c>
      <c r="F382" s="1012">
        <v>0.61750000000000005</v>
      </c>
      <c r="G382" s="1012">
        <v>0.54490000000000005</v>
      </c>
      <c r="H382" s="1012">
        <v>0.54490000000000005</v>
      </c>
      <c r="I382" s="1012">
        <v>0.46779999999999999</v>
      </c>
      <c r="J382" s="1012">
        <v>0.46779999999999999</v>
      </c>
      <c r="K382" s="1012">
        <v>0.46779999999999999</v>
      </c>
      <c r="L382" s="1012">
        <v>0.46779999999999999</v>
      </c>
      <c r="M382" s="1012">
        <v>0.46779999999999999</v>
      </c>
    </row>
    <row r="383" spans="1:13">
      <c r="A383" s="1003">
        <v>7.5</v>
      </c>
      <c r="B383" s="1012">
        <v>0.65249999999999997</v>
      </c>
      <c r="C383" s="1012">
        <v>0.65249999999999997</v>
      </c>
      <c r="D383" s="1012">
        <v>0.61619999999999997</v>
      </c>
      <c r="E383" s="1012">
        <v>0.61619999999999997</v>
      </c>
      <c r="F383" s="1012">
        <v>0.61619999999999997</v>
      </c>
      <c r="G383" s="1012">
        <v>0.54349999999999998</v>
      </c>
      <c r="H383" s="1012">
        <v>0.54349999999999998</v>
      </c>
      <c r="I383" s="1012">
        <v>0.46629999999999999</v>
      </c>
      <c r="J383" s="1012">
        <v>0.46629999999999999</v>
      </c>
      <c r="K383" s="1012">
        <v>0.46629999999999999</v>
      </c>
      <c r="L383" s="1012">
        <v>0.46629999999999999</v>
      </c>
      <c r="M383" s="1012">
        <v>0.46629999999999999</v>
      </c>
    </row>
    <row r="384" spans="1:13">
      <c r="A384" s="1003">
        <v>7.6</v>
      </c>
      <c r="B384" s="1012">
        <v>0.65149999999999997</v>
      </c>
      <c r="C384" s="1012">
        <v>0.65149999999999997</v>
      </c>
      <c r="D384" s="1012">
        <v>0.6149</v>
      </c>
      <c r="E384" s="1012">
        <v>0.6149</v>
      </c>
      <c r="F384" s="1012">
        <v>0.6149</v>
      </c>
      <c r="G384" s="1012">
        <v>0.54200000000000004</v>
      </c>
      <c r="H384" s="1012">
        <v>0.54200000000000004</v>
      </c>
      <c r="I384" s="1012">
        <v>0.46479999999999999</v>
      </c>
      <c r="J384" s="1012">
        <v>0.46479999999999999</v>
      </c>
      <c r="K384" s="1012">
        <v>0.46479999999999999</v>
      </c>
      <c r="L384" s="1012">
        <v>0.46479999999999999</v>
      </c>
      <c r="M384" s="1012">
        <v>0.46479999999999999</v>
      </c>
    </row>
    <row r="385" spans="1:13">
      <c r="A385" s="1003">
        <v>7.7</v>
      </c>
      <c r="B385" s="1012">
        <v>0.65049999999999997</v>
      </c>
      <c r="C385" s="1012">
        <v>0.65049999999999997</v>
      </c>
      <c r="D385" s="1012">
        <v>0.61360000000000003</v>
      </c>
      <c r="E385" s="1012">
        <v>0.61360000000000003</v>
      </c>
      <c r="F385" s="1012">
        <v>0.61360000000000003</v>
      </c>
      <c r="G385" s="1012">
        <v>0.54059999999999997</v>
      </c>
      <c r="H385" s="1012">
        <v>0.54059999999999997</v>
      </c>
      <c r="I385" s="1012">
        <v>0.46329999999999999</v>
      </c>
      <c r="J385" s="1012">
        <v>0.46329999999999999</v>
      </c>
      <c r="K385" s="1012">
        <v>0.46329999999999999</v>
      </c>
      <c r="L385" s="1012">
        <v>0.46329999999999999</v>
      </c>
      <c r="M385" s="1012">
        <v>0.46329999999999999</v>
      </c>
    </row>
    <row r="386" spans="1:13">
      <c r="A386" s="1003">
        <v>7.8</v>
      </c>
      <c r="B386" s="1012">
        <v>0.64949999999999997</v>
      </c>
      <c r="C386" s="1012">
        <v>0.64949999999999997</v>
      </c>
      <c r="D386" s="1012">
        <v>0.61229999999999996</v>
      </c>
      <c r="E386" s="1012">
        <v>0.61229999999999996</v>
      </c>
      <c r="F386" s="1012">
        <v>0.61229999999999996</v>
      </c>
      <c r="G386" s="1012">
        <v>0.53910000000000002</v>
      </c>
      <c r="H386" s="1012">
        <v>0.53910000000000002</v>
      </c>
      <c r="I386" s="1012">
        <v>0.4617</v>
      </c>
      <c r="J386" s="1012">
        <v>0.4617</v>
      </c>
      <c r="K386" s="1012">
        <v>0.4617</v>
      </c>
      <c r="L386" s="1012">
        <v>0.4617</v>
      </c>
      <c r="M386" s="1012">
        <v>0.4617</v>
      </c>
    </row>
    <row r="387" spans="1:13">
      <c r="A387" s="1003">
        <v>7.9</v>
      </c>
      <c r="B387" s="1012">
        <v>0.64849999999999997</v>
      </c>
      <c r="C387" s="1012">
        <v>0.64849999999999997</v>
      </c>
      <c r="D387" s="1012">
        <v>0.61099999999999999</v>
      </c>
      <c r="E387" s="1012">
        <v>0.61099999999999999</v>
      </c>
      <c r="F387" s="1012">
        <v>0.61099999999999999</v>
      </c>
      <c r="G387" s="1012">
        <v>0.53769999999999996</v>
      </c>
      <c r="H387" s="1012">
        <v>0.53769999999999996</v>
      </c>
      <c r="I387" s="1012">
        <v>0.4602</v>
      </c>
      <c r="J387" s="1012">
        <v>0.4602</v>
      </c>
      <c r="K387" s="1012">
        <v>0.4602</v>
      </c>
      <c r="L387" s="1012">
        <v>0.4602</v>
      </c>
      <c r="M387" s="1012">
        <v>0.4602</v>
      </c>
    </row>
    <row r="388" spans="1:13">
      <c r="A388" s="1003">
        <v>8</v>
      </c>
      <c r="B388" s="1012">
        <v>0.64749999999999996</v>
      </c>
      <c r="C388" s="1012">
        <v>0.64749999999999996</v>
      </c>
      <c r="D388" s="1012">
        <v>0.60970000000000002</v>
      </c>
      <c r="E388" s="1012">
        <v>0.60970000000000002</v>
      </c>
      <c r="F388" s="1012">
        <v>0.60970000000000002</v>
      </c>
      <c r="G388" s="1012">
        <v>0.53620000000000001</v>
      </c>
      <c r="H388" s="1012">
        <v>0.53620000000000001</v>
      </c>
      <c r="I388" s="1012">
        <v>0.4587</v>
      </c>
      <c r="J388" s="1012">
        <v>0.4587</v>
      </c>
      <c r="K388" s="1012">
        <v>0.4587</v>
      </c>
      <c r="L388" s="1012">
        <v>0.4587</v>
      </c>
      <c r="M388" s="1012">
        <v>0.4587</v>
      </c>
    </row>
    <row r="389" spans="1:13">
      <c r="A389" s="1003">
        <v>8.1</v>
      </c>
      <c r="B389" s="1012">
        <v>0.64649999999999996</v>
      </c>
      <c r="C389" s="1012">
        <v>0.64649999999999996</v>
      </c>
      <c r="D389" s="1012">
        <v>0.60840000000000005</v>
      </c>
      <c r="E389" s="1012">
        <v>0.60840000000000005</v>
      </c>
      <c r="F389" s="1012">
        <v>0.60840000000000005</v>
      </c>
      <c r="G389" s="1012">
        <v>0.53480000000000005</v>
      </c>
      <c r="H389" s="1012">
        <v>0.53480000000000005</v>
      </c>
      <c r="I389" s="1012">
        <v>0.4572</v>
      </c>
      <c r="J389" s="1012">
        <v>0.4572</v>
      </c>
      <c r="K389" s="1012">
        <v>0.4572</v>
      </c>
      <c r="L389" s="1012">
        <v>0.4572</v>
      </c>
      <c r="M389" s="1012">
        <v>0.4572</v>
      </c>
    </row>
    <row r="390" spans="1:13">
      <c r="A390" s="1003">
        <v>8.1999999999999993</v>
      </c>
      <c r="B390" s="1012">
        <v>0.64549999999999996</v>
      </c>
      <c r="C390" s="1012">
        <v>0.64549999999999996</v>
      </c>
      <c r="D390" s="1012">
        <v>0.60709999999999997</v>
      </c>
      <c r="E390" s="1012">
        <v>0.60709999999999997</v>
      </c>
      <c r="F390" s="1012">
        <v>0.60709999999999997</v>
      </c>
      <c r="G390" s="1012">
        <v>0.5333</v>
      </c>
      <c r="H390" s="1012">
        <v>0.5333</v>
      </c>
      <c r="I390" s="1012">
        <v>0.45569999999999999</v>
      </c>
      <c r="J390" s="1012">
        <v>0.45569999999999999</v>
      </c>
      <c r="K390" s="1012">
        <v>0.45569999999999999</v>
      </c>
      <c r="L390" s="1012">
        <v>0.45569999999999999</v>
      </c>
      <c r="M390" s="1012">
        <v>0.45569999999999999</v>
      </c>
    </row>
    <row r="391" spans="1:13">
      <c r="A391" s="1003">
        <v>8.3000000000000007</v>
      </c>
      <c r="B391" s="1012">
        <v>0.64449999999999996</v>
      </c>
      <c r="C391" s="1012">
        <v>0.64449999999999996</v>
      </c>
      <c r="D391" s="1012">
        <v>0.60580000000000001</v>
      </c>
      <c r="E391" s="1012">
        <v>0.60580000000000001</v>
      </c>
      <c r="F391" s="1012">
        <v>0.60580000000000001</v>
      </c>
      <c r="G391" s="1012">
        <v>0.53190000000000004</v>
      </c>
      <c r="H391" s="1012">
        <v>0.53190000000000004</v>
      </c>
      <c r="I391" s="1012">
        <v>0.45429999999999998</v>
      </c>
      <c r="J391" s="1012">
        <v>0.45429999999999998</v>
      </c>
      <c r="K391" s="1012">
        <v>0.45429999999999998</v>
      </c>
      <c r="L391" s="1012">
        <v>0.45429999999999998</v>
      </c>
      <c r="M391" s="1012">
        <v>0.45429999999999998</v>
      </c>
    </row>
    <row r="392" spans="1:13">
      <c r="A392" s="1003">
        <v>8.4</v>
      </c>
      <c r="B392" s="1012">
        <v>0.64349999999999996</v>
      </c>
      <c r="C392" s="1012">
        <v>0.64349999999999996</v>
      </c>
      <c r="D392" s="1012">
        <v>0.60450000000000004</v>
      </c>
      <c r="E392" s="1012">
        <v>0.60450000000000004</v>
      </c>
      <c r="F392" s="1012">
        <v>0.60450000000000004</v>
      </c>
      <c r="G392" s="1012">
        <v>0.53039999999999998</v>
      </c>
      <c r="H392" s="1012">
        <v>0.53039999999999998</v>
      </c>
      <c r="I392" s="1012">
        <v>0.45290000000000002</v>
      </c>
      <c r="J392" s="1012">
        <v>0.45290000000000002</v>
      </c>
      <c r="K392" s="1012">
        <v>0.45290000000000002</v>
      </c>
      <c r="L392" s="1012">
        <v>0.45290000000000002</v>
      </c>
      <c r="M392" s="1012">
        <v>0.45290000000000002</v>
      </c>
    </row>
    <row r="393" spans="1:13">
      <c r="A393" s="1003">
        <v>8.5</v>
      </c>
      <c r="B393" s="1012">
        <v>0.64249999999999996</v>
      </c>
      <c r="C393" s="1012">
        <v>0.64249999999999996</v>
      </c>
      <c r="D393" s="1012">
        <v>0.60319999999999996</v>
      </c>
      <c r="E393" s="1012">
        <v>0.60319999999999996</v>
      </c>
      <c r="F393" s="1012">
        <v>0.60319999999999996</v>
      </c>
      <c r="G393" s="1012">
        <v>0.52900000000000003</v>
      </c>
      <c r="H393" s="1012">
        <v>0.52900000000000003</v>
      </c>
      <c r="I393" s="1012">
        <v>0.45140000000000002</v>
      </c>
      <c r="J393" s="1012">
        <v>0.45140000000000002</v>
      </c>
      <c r="K393" s="1012">
        <v>0.45140000000000002</v>
      </c>
      <c r="L393" s="1012">
        <v>0.45140000000000002</v>
      </c>
      <c r="M393" s="1012">
        <v>0.45140000000000002</v>
      </c>
    </row>
    <row r="394" spans="1:13">
      <c r="A394" s="1003">
        <v>8.6</v>
      </c>
      <c r="B394" s="1012">
        <v>0.64149999999999996</v>
      </c>
      <c r="C394" s="1012">
        <v>0.64149999999999996</v>
      </c>
      <c r="D394" s="1012">
        <v>0.60189999999999999</v>
      </c>
      <c r="E394" s="1012">
        <v>0.60189999999999999</v>
      </c>
      <c r="F394" s="1012">
        <v>0.60189999999999999</v>
      </c>
      <c r="G394" s="1012">
        <v>0.52749999999999997</v>
      </c>
      <c r="H394" s="1012">
        <v>0.52749999999999997</v>
      </c>
      <c r="I394" s="1012">
        <v>0.45</v>
      </c>
      <c r="J394" s="1012">
        <v>0.45</v>
      </c>
      <c r="K394" s="1012">
        <v>0.45</v>
      </c>
      <c r="L394" s="1012">
        <v>0.45</v>
      </c>
      <c r="M394" s="1012">
        <v>0.45</v>
      </c>
    </row>
    <row r="395" spans="1:13">
      <c r="A395" s="1003">
        <v>8.6999999999999993</v>
      </c>
      <c r="B395" s="1012">
        <v>0.64049999999999996</v>
      </c>
      <c r="C395" s="1012">
        <v>0.64049999999999996</v>
      </c>
      <c r="D395" s="1012">
        <v>0.60060000000000002</v>
      </c>
      <c r="E395" s="1012">
        <v>0.60060000000000002</v>
      </c>
      <c r="F395" s="1012">
        <v>0.60060000000000002</v>
      </c>
      <c r="G395" s="1012">
        <v>0.52610000000000001</v>
      </c>
      <c r="H395" s="1012">
        <v>0.52610000000000001</v>
      </c>
      <c r="I395" s="1012">
        <v>0.44850000000000001</v>
      </c>
      <c r="J395" s="1012">
        <v>0.44850000000000001</v>
      </c>
      <c r="K395" s="1012">
        <v>0.44850000000000001</v>
      </c>
      <c r="L395" s="1012">
        <v>0.44850000000000001</v>
      </c>
      <c r="M395" s="1012">
        <v>0.44850000000000001</v>
      </c>
    </row>
    <row r="396" spans="1:13">
      <c r="A396" s="1003">
        <v>8.8000000000000007</v>
      </c>
      <c r="B396" s="1012">
        <v>0.63949999999999996</v>
      </c>
      <c r="C396" s="1012">
        <v>0.63949999999999996</v>
      </c>
      <c r="D396" s="1012">
        <v>0.59930000000000005</v>
      </c>
      <c r="E396" s="1012">
        <v>0.59930000000000005</v>
      </c>
      <c r="F396" s="1012">
        <v>0.59930000000000005</v>
      </c>
      <c r="G396" s="1012">
        <v>0.52459999999999996</v>
      </c>
      <c r="H396" s="1012">
        <v>0.52459999999999996</v>
      </c>
      <c r="I396" s="1012">
        <v>0.4471</v>
      </c>
      <c r="J396" s="1012">
        <v>0.4471</v>
      </c>
      <c r="K396" s="1012">
        <v>0.4471</v>
      </c>
      <c r="L396" s="1012">
        <v>0.4471</v>
      </c>
      <c r="M396" s="1012">
        <v>0.4471</v>
      </c>
    </row>
    <row r="397" spans="1:13">
      <c r="A397" s="1003">
        <v>8.9</v>
      </c>
      <c r="B397" s="1012">
        <v>0.63849999999999996</v>
      </c>
      <c r="C397" s="1012">
        <v>0.63849999999999996</v>
      </c>
      <c r="D397" s="1012">
        <v>0.59799999999999998</v>
      </c>
      <c r="E397" s="1012">
        <v>0.59799999999999998</v>
      </c>
      <c r="F397" s="1012">
        <v>0.59799999999999998</v>
      </c>
      <c r="G397" s="1012">
        <v>0.5232</v>
      </c>
      <c r="H397" s="1012">
        <v>0.5232</v>
      </c>
      <c r="I397" s="1012">
        <v>0.4456</v>
      </c>
      <c r="J397" s="1012">
        <v>0.4456</v>
      </c>
      <c r="K397" s="1012">
        <v>0.4456</v>
      </c>
      <c r="L397" s="1012">
        <v>0.4456</v>
      </c>
      <c r="M397" s="1012">
        <v>0.4456</v>
      </c>
    </row>
    <row r="398" spans="1:13">
      <c r="A398" s="1027">
        <v>9</v>
      </c>
      <c r="B398" s="1012">
        <v>0.63749999999999996</v>
      </c>
      <c r="C398" s="1012">
        <v>0.63749999999999996</v>
      </c>
      <c r="D398" s="1012">
        <v>0.59670000000000001</v>
      </c>
      <c r="E398" s="1012">
        <v>0.59670000000000001</v>
      </c>
      <c r="F398" s="1012">
        <v>0.59670000000000001</v>
      </c>
      <c r="G398" s="1012">
        <v>0.52170000000000005</v>
      </c>
      <c r="H398" s="1012">
        <v>0.52170000000000005</v>
      </c>
      <c r="I398" s="1012">
        <v>0.44429999999999997</v>
      </c>
      <c r="J398" s="1012">
        <v>0.44429999999999997</v>
      </c>
      <c r="K398" s="1012">
        <v>0.44429999999999997</v>
      </c>
      <c r="L398" s="1012">
        <v>0.44429999999999997</v>
      </c>
      <c r="M398" s="1012">
        <v>0.44429999999999997</v>
      </c>
    </row>
    <row r="399" spans="1:13">
      <c r="A399" s="1027">
        <v>9.1</v>
      </c>
      <c r="B399" s="1012">
        <v>0.63649999999999995</v>
      </c>
      <c r="C399" s="1012">
        <v>0.63649999999999995</v>
      </c>
      <c r="D399" s="1012">
        <v>0.59540000000000004</v>
      </c>
      <c r="E399" s="1012">
        <v>0.59540000000000004</v>
      </c>
      <c r="F399" s="1012">
        <v>0.59540000000000004</v>
      </c>
      <c r="G399" s="1012">
        <v>0.52029999999999998</v>
      </c>
      <c r="H399" s="1012">
        <v>0.52029999999999998</v>
      </c>
      <c r="I399" s="1012">
        <v>0.44290000000000002</v>
      </c>
      <c r="J399" s="1012">
        <v>0.44290000000000002</v>
      </c>
      <c r="K399" s="1012">
        <v>0.44290000000000002</v>
      </c>
      <c r="L399" s="1012">
        <v>0.44290000000000002</v>
      </c>
      <c r="M399" s="1012">
        <v>0.44290000000000002</v>
      </c>
    </row>
    <row r="400" spans="1:13">
      <c r="A400" s="1027">
        <v>9.1999999999999993</v>
      </c>
      <c r="B400" s="1012">
        <v>0.63549999999999995</v>
      </c>
      <c r="C400" s="1012">
        <v>0.63549999999999995</v>
      </c>
      <c r="D400" s="1012">
        <v>0.59409999999999996</v>
      </c>
      <c r="E400" s="1012">
        <v>0.59409999999999996</v>
      </c>
      <c r="F400" s="1012">
        <v>0.59409999999999996</v>
      </c>
      <c r="G400" s="1012">
        <v>0.51880000000000004</v>
      </c>
      <c r="H400" s="1012">
        <v>0.51880000000000004</v>
      </c>
      <c r="I400" s="1012">
        <v>0.44159999999999999</v>
      </c>
      <c r="J400" s="1012">
        <v>0.44159999999999999</v>
      </c>
      <c r="K400" s="1012">
        <v>0.44159999999999999</v>
      </c>
      <c r="L400" s="1012">
        <v>0.44159999999999999</v>
      </c>
      <c r="M400" s="1012">
        <v>0.44159999999999999</v>
      </c>
    </row>
    <row r="401" spans="1:13">
      <c r="A401" s="1027">
        <v>9.3000000000000007</v>
      </c>
      <c r="B401" s="1012">
        <v>0.63449999999999995</v>
      </c>
      <c r="C401" s="1012">
        <v>0.63449999999999995</v>
      </c>
      <c r="D401" s="1012">
        <v>0.59279999999999999</v>
      </c>
      <c r="E401" s="1012">
        <v>0.59279999999999999</v>
      </c>
      <c r="F401" s="1012">
        <v>0.59279999999999999</v>
      </c>
      <c r="G401" s="1012">
        <v>0.51739999999999997</v>
      </c>
      <c r="H401" s="1012">
        <v>0.51739999999999997</v>
      </c>
      <c r="I401" s="1012">
        <v>0.44019999999999998</v>
      </c>
      <c r="J401" s="1012">
        <v>0.44019999999999998</v>
      </c>
      <c r="K401" s="1012">
        <v>0.44019999999999998</v>
      </c>
      <c r="L401" s="1012">
        <v>0.44019999999999998</v>
      </c>
      <c r="M401" s="1012">
        <v>0.44019999999999998</v>
      </c>
    </row>
    <row r="402" spans="1:13">
      <c r="A402" s="1027">
        <v>9.4</v>
      </c>
      <c r="B402" s="1012">
        <v>0.63349999999999995</v>
      </c>
      <c r="C402" s="1012">
        <v>0.63349999999999995</v>
      </c>
      <c r="D402" s="1012">
        <v>0.59150000000000003</v>
      </c>
      <c r="E402" s="1012">
        <v>0.59150000000000003</v>
      </c>
      <c r="F402" s="1012">
        <v>0.59150000000000003</v>
      </c>
      <c r="G402" s="1012">
        <v>0.51600000000000001</v>
      </c>
      <c r="H402" s="1012">
        <v>0.51600000000000001</v>
      </c>
      <c r="I402" s="1012">
        <v>0.43880000000000002</v>
      </c>
      <c r="J402" s="1012">
        <v>0.43880000000000002</v>
      </c>
      <c r="K402" s="1012">
        <v>0.43880000000000002</v>
      </c>
      <c r="L402" s="1012">
        <v>0.43880000000000002</v>
      </c>
      <c r="M402" s="1012">
        <v>0.43880000000000002</v>
      </c>
    </row>
    <row r="403" spans="1:13">
      <c r="A403" s="1027">
        <v>9.5</v>
      </c>
      <c r="B403" s="1012">
        <v>0.63249999999999995</v>
      </c>
      <c r="C403" s="1012">
        <v>0.63249999999999995</v>
      </c>
      <c r="D403" s="1012">
        <v>0.59030000000000005</v>
      </c>
      <c r="E403" s="1012">
        <v>0.59030000000000005</v>
      </c>
      <c r="F403" s="1012">
        <v>0.59030000000000005</v>
      </c>
      <c r="G403" s="1012">
        <v>0.51470000000000005</v>
      </c>
      <c r="H403" s="1012">
        <v>0.51470000000000005</v>
      </c>
      <c r="I403" s="1012">
        <v>0.4375</v>
      </c>
      <c r="J403" s="1012">
        <v>0.4375</v>
      </c>
      <c r="K403" s="1012">
        <v>0.4375</v>
      </c>
      <c r="L403" s="1012">
        <v>0.4375</v>
      </c>
      <c r="M403" s="1012">
        <v>0.4375</v>
      </c>
    </row>
    <row r="404" spans="1:13">
      <c r="A404" s="1027">
        <v>9.6</v>
      </c>
      <c r="B404" s="1012">
        <v>0.63149999999999995</v>
      </c>
      <c r="C404" s="1012">
        <v>0.63149999999999995</v>
      </c>
      <c r="D404" s="1012">
        <v>0.58909999999999996</v>
      </c>
      <c r="E404" s="1012">
        <v>0.58909999999999996</v>
      </c>
      <c r="F404" s="1012">
        <v>0.58909999999999996</v>
      </c>
      <c r="G404" s="1012">
        <v>0.51329999999999998</v>
      </c>
      <c r="H404" s="1012">
        <v>0.51329999999999998</v>
      </c>
      <c r="I404" s="1012">
        <v>0.43609999999999999</v>
      </c>
      <c r="J404" s="1012">
        <v>0.43609999999999999</v>
      </c>
      <c r="K404" s="1012">
        <v>0.43609999999999999</v>
      </c>
      <c r="L404" s="1012">
        <v>0.43609999999999999</v>
      </c>
      <c r="M404" s="1012">
        <v>0.43609999999999999</v>
      </c>
    </row>
    <row r="405" spans="1:13">
      <c r="A405" s="1027">
        <v>9.6999999999999993</v>
      </c>
      <c r="B405" s="1012">
        <v>0.63049999999999995</v>
      </c>
      <c r="C405" s="1012">
        <v>0.63049999999999995</v>
      </c>
      <c r="D405" s="1012">
        <v>0.58789999999999998</v>
      </c>
      <c r="E405" s="1012">
        <v>0.58789999999999998</v>
      </c>
      <c r="F405" s="1012">
        <v>0.58789999999999998</v>
      </c>
      <c r="G405" s="1012">
        <v>0.51200000000000001</v>
      </c>
      <c r="H405" s="1012">
        <v>0.51200000000000001</v>
      </c>
      <c r="I405" s="1012">
        <v>0.43480000000000002</v>
      </c>
      <c r="J405" s="1012">
        <v>0.43480000000000002</v>
      </c>
      <c r="K405" s="1012">
        <v>0.43480000000000002</v>
      </c>
      <c r="L405" s="1012">
        <v>0.43480000000000002</v>
      </c>
      <c r="M405" s="1012">
        <v>0.43480000000000002</v>
      </c>
    </row>
    <row r="406" spans="1:13">
      <c r="A406" s="1027">
        <v>9.8000000000000007</v>
      </c>
      <c r="B406" s="1012">
        <v>0.62949999999999995</v>
      </c>
      <c r="C406" s="1012">
        <v>0.62949999999999995</v>
      </c>
      <c r="D406" s="1012">
        <v>0.5867</v>
      </c>
      <c r="E406" s="1012">
        <v>0.5867</v>
      </c>
      <c r="F406" s="1012">
        <v>0.5867</v>
      </c>
      <c r="G406" s="1012">
        <v>0.51060000000000005</v>
      </c>
      <c r="H406" s="1012">
        <v>0.51060000000000005</v>
      </c>
      <c r="I406" s="1012">
        <v>0.43340000000000001</v>
      </c>
      <c r="J406" s="1012">
        <v>0.43340000000000001</v>
      </c>
      <c r="K406" s="1012">
        <v>0.43340000000000001</v>
      </c>
      <c r="L406" s="1012">
        <v>0.43340000000000001</v>
      </c>
      <c r="M406" s="1012">
        <v>0.43340000000000001</v>
      </c>
    </row>
    <row r="407" spans="1:13">
      <c r="A407" s="1027">
        <v>9.9</v>
      </c>
      <c r="B407" s="1012">
        <v>0.62849999999999995</v>
      </c>
      <c r="C407" s="1012">
        <v>0.62849999999999995</v>
      </c>
      <c r="D407" s="1012">
        <v>0.58550000000000002</v>
      </c>
      <c r="E407" s="1012">
        <v>0.58550000000000002</v>
      </c>
      <c r="F407" s="1012">
        <v>0.58550000000000002</v>
      </c>
      <c r="G407" s="1012">
        <v>0.50919999999999999</v>
      </c>
      <c r="H407" s="1012">
        <v>0.50919999999999999</v>
      </c>
      <c r="I407" s="1012">
        <v>0.432</v>
      </c>
      <c r="J407" s="1012">
        <v>0.432</v>
      </c>
      <c r="K407" s="1012">
        <v>0.432</v>
      </c>
      <c r="L407" s="1012">
        <v>0.432</v>
      </c>
      <c r="M407" s="1012">
        <v>0.432</v>
      </c>
    </row>
    <row r="408" spans="1:13">
      <c r="A408" s="1027">
        <v>10</v>
      </c>
      <c r="B408" s="1012">
        <v>0.62749999999999995</v>
      </c>
      <c r="C408" s="1012">
        <v>0.62749999999999995</v>
      </c>
      <c r="D408" s="1012">
        <v>0.58430000000000004</v>
      </c>
      <c r="E408" s="1012">
        <v>0.58430000000000004</v>
      </c>
      <c r="F408" s="1012">
        <v>0.58430000000000004</v>
      </c>
      <c r="G408" s="1012">
        <v>0.50790000000000002</v>
      </c>
      <c r="H408" s="1012">
        <v>0.50790000000000002</v>
      </c>
      <c r="I408" s="1012">
        <v>0.43070000000000003</v>
      </c>
      <c r="J408" s="1012">
        <v>0.43070000000000003</v>
      </c>
      <c r="K408" s="1012">
        <v>0.43070000000000003</v>
      </c>
      <c r="L408" s="1012">
        <v>0.43070000000000003</v>
      </c>
      <c r="M408" s="1012">
        <v>0.43070000000000003</v>
      </c>
    </row>
  </sheetData>
  <sheetProtection password="C66D" sheet="1" objects="1" scenarios="1" formatCells="0" formatColumns="0" formatRows="0"/>
  <phoneticPr fontId="1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56" customWidth="1"/>
    <col min="2" max="2" width="10.125" style="1857" customWidth="1"/>
  </cols>
  <sheetData>
    <row r="1" spans="1:6">
      <c r="A1" s="3850" t="s">
        <v>2055</v>
      </c>
      <c r="B1" s="3850"/>
    </row>
    <row r="2" spans="1:6" ht="14.25" thickBot="1">
      <c r="A2" s="1827"/>
      <c r="B2" s="1827"/>
    </row>
    <row r="3" spans="1:6" ht="14.25" thickBot="1">
      <c r="A3" s="1827"/>
      <c r="B3" s="1827"/>
      <c r="C3" s="1828" t="s">
        <v>2056</v>
      </c>
      <c r="D3" s="1828" t="s">
        <v>2057</v>
      </c>
      <c r="E3" s="1828" t="s">
        <v>2058</v>
      </c>
      <c r="F3" s="1828" t="s">
        <v>2059</v>
      </c>
    </row>
    <row r="4" spans="1:6" ht="14.25" thickBot="1">
      <c r="A4" s="1829" t="s">
        <v>2060</v>
      </c>
      <c r="B4" s="1830" t="s">
        <v>2061</v>
      </c>
      <c r="C4" s="1828"/>
      <c r="D4" s="1828"/>
      <c r="E4" s="1828"/>
      <c r="F4" s="1828"/>
    </row>
    <row r="5" spans="1:6" ht="14.25" thickBot="1">
      <c r="A5" s="1831" t="s">
        <v>2062</v>
      </c>
      <c r="B5" s="1832" t="s">
        <v>2063</v>
      </c>
      <c r="C5" s="1833">
        <v>8.8999999999999996E-2</v>
      </c>
      <c r="D5" s="1833">
        <v>7.3999999999999996E-2</v>
      </c>
      <c r="E5" s="1833">
        <v>7.4999999999999997E-2</v>
      </c>
      <c r="F5" s="1834">
        <v>0.1</v>
      </c>
    </row>
    <row r="6" spans="1:6" ht="14.25" thickBot="1">
      <c r="A6" s="1831" t="s">
        <v>1074</v>
      </c>
      <c r="B6" s="1835" t="s">
        <v>2064</v>
      </c>
      <c r="C6" s="1836">
        <v>0.1</v>
      </c>
      <c r="D6" s="1836">
        <v>9.0999999999999998E-2</v>
      </c>
      <c r="E6" s="1836">
        <v>9.0999999999999998E-2</v>
      </c>
      <c r="F6" s="1837">
        <v>0.1</v>
      </c>
    </row>
    <row r="7" spans="1:6" ht="14.25" thickBot="1">
      <c r="A7" s="1831" t="s">
        <v>1074</v>
      </c>
      <c r="B7" s="1838" t="s">
        <v>1062</v>
      </c>
      <c r="C7" s="1836">
        <v>8.5999999999999993E-2</v>
      </c>
      <c r="D7" s="1836">
        <v>9.6000000000000002E-2</v>
      </c>
      <c r="E7" s="1836">
        <v>7.5999999999999998E-2</v>
      </c>
      <c r="F7" s="1837">
        <v>0.1</v>
      </c>
    </row>
    <row r="8" spans="1:6" ht="14.25" thickBot="1">
      <c r="A8" s="1831" t="s">
        <v>1074</v>
      </c>
      <c r="B8" s="1835" t="s">
        <v>1075</v>
      </c>
      <c r="C8" s="1836">
        <v>9.9000000000000005E-2</v>
      </c>
      <c r="D8" s="1836">
        <v>9.8000000000000004E-2</v>
      </c>
      <c r="E8" s="1836">
        <v>9.8000000000000004E-2</v>
      </c>
      <c r="F8" s="1837">
        <v>0.1</v>
      </c>
    </row>
    <row r="9" spans="1:6" ht="14.25" thickBot="1">
      <c r="A9" s="1839" t="s">
        <v>1074</v>
      </c>
      <c r="B9" s="1840" t="s">
        <v>1089</v>
      </c>
      <c r="C9" s="1841">
        <v>0.05</v>
      </c>
      <c r="D9" s="1842"/>
      <c r="E9" s="1842"/>
      <c r="F9" s="1843"/>
    </row>
    <row r="10" spans="1:6" ht="14.25" thickBot="1">
      <c r="A10" s="1831" t="s">
        <v>1133</v>
      </c>
      <c r="B10" s="1832" t="s">
        <v>2065</v>
      </c>
      <c r="C10" s="1833">
        <v>8.8999999999999996E-2</v>
      </c>
      <c r="D10" s="1833">
        <v>7.2999999999999995E-2</v>
      </c>
      <c r="E10" s="1833">
        <v>8.2000000000000003E-2</v>
      </c>
      <c r="F10" s="1834">
        <v>0.1</v>
      </c>
    </row>
    <row r="11" spans="1:6" ht="14.25" thickBot="1">
      <c r="A11" s="1831" t="s">
        <v>1133</v>
      </c>
      <c r="B11" s="1838" t="s">
        <v>1049</v>
      </c>
      <c r="C11" s="1836">
        <v>8.8999999999999996E-2</v>
      </c>
      <c r="D11" s="1836">
        <v>7.2999999999999995E-2</v>
      </c>
      <c r="E11" s="1836">
        <v>8.2000000000000003E-2</v>
      </c>
      <c r="F11" s="1837">
        <v>0.1</v>
      </c>
    </row>
    <row r="12" spans="1:6" ht="14.25" thickBot="1">
      <c r="A12" s="1831" t="s">
        <v>1133</v>
      </c>
      <c r="B12" s="1838" t="s">
        <v>1063</v>
      </c>
      <c r="C12" s="1836">
        <v>6.0999999999999999E-2</v>
      </c>
      <c r="D12" s="1836">
        <v>7.0999999999999994E-2</v>
      </c>
      <c r="E12" s="1836">
        <v>9.6000000000000002E-2</v>
      </c>
      <c r="F12" s="1837">
        <v>0.1</v>
      </c>
    </row>
    <row r="13" spans="1:6" ht="14.25" thickBot="1">
      <c r="A13" s="1831" t="s">
        <v>1133</v>
      </c>
      <c r="B13" s="1838" t="s">
        <v>1076</v>
      </c>
      <c r="C13" s="1836">
        <v>6.9000000000000006E-2</v>
      </c>
      <c r="D13" s="1836">
        <v>6.5000000000000002E-2</v>
      </c>
      <c r="E13" s="1836">
        <v>6.6000000000000003E-2</v>
      </c>
      <c r="F13" s="1837">
        <v>0.1</v>
      </c>
    </row>
    <row r="14" spans="1:6" ht="14.25" thickBot="1">
      <c r="A14" s="1831" t="s">
        <v>1133</v>
      </c>
      <c r="B14" s="1838" t="s">
        <v>1090</v>
      </c>
      <c r="C14" s="1836">
        <v>0.1</v>
      </c>
      <c r="D14" s="1836">
        <v>6.5000000000000002E-2</v>
      </c>
      <c r="E14" s="1836">
        <v>7.0000000000000007E-2</v>
      </c>
      <c r="F14" s="1837">
        <v>0.1</v>
      </c>
    </row>
    <row r="15" spans="1:6" ht="14.25" thickBot="1">
      <c r="A15" s="1831" t="s">
        <v>1133</v>
      </c>
      <c r="B15" s="1838" t="s">
        <v>1101</v>
      </c>
      <c r="C15" s="1836">
        <v>9.8000000000000004E-2</v>
      </c>
      <c r="D15" s="1836">
        <v>8.8999999999999996E-2</v>
      </c>
      <c r="E15" s="1836">
        <v>8.8999999999999996E-2</v>
      </c>
      <c r="F15" s="1837">
        <v>0.1</v>
      </c>
    </row>
    <row r="16" spans="1:6" ht="14.25" thickBot="1">
      <c r="A16" s="1831" t="s">
        <v>1133</v>
      </c>
      <c r="B16" s="1838" t="s">
        <v>1112</v>
      </c>
      <c r="C16" s="1836">
        <v>7.0000000000000007E-2</v>
      </c>
      <c r="D16" s="1836">
        <v>9.2999999999999999E-2</v>
      </c>
      <c r="E16" s="1836">
        <v>9.6000000000000002E-2</v>
      </c>
      <c r="F16" s="1837">
        <v>0.1</v>
      </c>
    </row>
    <row r="17" spans="1:6" ht="14.25" thickBot="1">
      <c r="A17" s="1831" t="s">
        <v>1133</v>
      </c>
      <c r="B17" s="1838" t="s">
        <v>1123</v>
      </c>
      <c r="C17" s="1836">
        <v>9.5000000000000001E-2</v>
      </c>
      <c r="D17" s="1836">
        <v>0.1</v>
      </c>
      <c r="E17" s="1836">
        <v>0.1</v>
      </c>
      <c r="F17" s="1844"/>
    </row>
    <row r="18" spans="1:6" ht="14.25" thickBot="1">
      <c r="A18" s="1831" t="s">
        <v>1133</v>
      </c>
      <c r="B18" s="1838" t="s">
        <v>1135</v>
      </c>
      <c r="C18" s="1836">
        <v>7.3999999999999996E-2</v>
      </c>
      <c r="D18" s="1836">
        <v>9.9000000000000005E-2</v>
      </c>
      <c r="E18" s="1836">
        <v>0.1</v>
      </c>
      <c r="F18" s="1844"/>
    </row>
    <row r="19" spans="1:6" ht="14.25" thickBot="1">
      <c r="A19" s="1831" t="s">
        <v>1133</v>
      </c>
      <c r="B19" s="1838" t="s">
        <v>1145</v>
      </c>
      <c r="C19" s="1836">
        <v>9.9000000000000005E-2</v>
      </c>
      <c r="D19" s="1836">
        <v>7.5999999999999998E-2</v>
      </c>
      <c r="E19" s="1836">
        <v>8.6999999999999994E-2</v>
      </c>
      <c r="F19" s="1844"/>
    </row>
    <row r="20" spans="1:6" ht="14.25" thickBot="1">
      <c r="A20" s="1831" t="s">
        <v>1133</v>
      </c>
      <c r="B20" s="1838" t="s">
        <v>1155</v>
      </c>
      <c r="C20" s="1836">
        <v>9.8000000000000004E-2</v>
      </c>
      <c r="D20" s="1836">
        <v>8.5000000000000006E-2</v>
      </c>
      <c r="E20" s="1836">
        <v>8.2000000000000003E-2</v>
      </c>
      <c r="F20" s="1844"/>
    </row>
    <row r="21" spans="1:6" ht="14.25" thickBot="1">
      <c r="A21" s="1831" t="s">
        <v>1133</v>
      </c>
      <c r="B21" s="1838" t="s">
        <v>1165</v>
      </c>
      <c r="C21" s="1836">
        <v>6.6000000000000003E-2</v>
      </c>
      <c r="D21" s="1836">
        <v>6.4000000000000001E-2</v>
      </c>
      <c r="E21" s="1836">
        <v>6.5000000000000002E-2</v>
      </c>
      <c r="F21" s="1844"/>
    </row>
    <row r="22" spans="1:6" ht="14.25" thickBot="1">
      <c r="A22" s="1831" t="s">
        <v>1133</v>
      </c>
      <c r="B22" s="1838" t="s">
        <v>2066</v>
      </c>
      <c r="C22" s="1836">
        <v>0.08</v>
      </c>
      <c r="D22" s="1836">
        <v>9.8000000000000004E-2</v>
      </c>
      <c r="E22" s="1836">
        <v>9.8000000000000004E-2</v>
      </c>
      <c r="F22" s="1844"/>
    </row>
    <row r="23" spans="1:6" ht="14.25" thickBot="1">
      <c r="A23" s="1831" t="s">
        <v>1133</v>
      </c>
      <c r="B23" s="1838" t="s">
        <v>1185</v>
      </c>
      <c r="C23" s="1836">
        <v>9.9000000000000005E-2</v>
      </c>
      <c r="D23" s="1836">
        <v>9.8000000000000004E-2</v>
      </c>
      <c r="E23" s="1836">
        <v>9.0999999999999998E-2</v>
      </c>
      <c r="F23" s="1844"/>
    </row>
    <row r="24" spans="1:6" ht="14.25" thickBot="1">
      <c r="A24" s="1831" t="s">
        <v>1133</v>
      </c>
      <c r="B24" s="1838" t="s">
        <v>1195</v>
      </c>
      <c r="C24" s="1836">
        <v>8.8999999999999996E-2</v>
      </c>
      <c r="D24" s="1836">
        <v>9.7000000000000003E-2</v>
      </c>
      <c r="E24" s="1836">
        <v>7.0000000000000007E-2</v>
      </c>
      <c r="F24" s="1844"/>
    </row>
    <row r="25" spans="1:6" ht="14.25" thickBot="1">
      <c r="A25" s="1831" t="s">
        <v>1133</v>
      </c>
      <c r="B25" s="1838" t="s">
        <v>1205</v>
      </c>
      <c r="C25" s="1836">
        <v>8.8999999999999996E-2</v>
      </c>
      <c r="D25" s="1836">
        <v>0.1</v>
      </c>
      <c r="E25" s="1836">
        <v>8.1000000000000003E-2</v>
      </c>
      <c r="F25" s="1844"/>
    </row>
    <row r="26" spans="1:6" ht="14.25" thickBot="1">
      <c r="A26" s="1831" t="s">
        <v>1133</v>
      </c>
      <c r="B26" s="1838" t="s">
        <v>1215</v>
      </c>
      <c r="C26" s="1845"/>
      <c r="D26" s="1836">
        <v>9.6000000000000002E-2</v>
      </c>
      <c r="E26" s="1836">
        <v>9.2999999999999999E-2</v>
      </c>
      <c r="F26" s="1844"/>
    </row>
    <row r="27" spans="1:6" ht="14.25" thickBot="1">
      <c r="A27" s="1831" t="s">
        <v>1133</v>
      </c>
      <c r="B27" s="1838" t="s">
        <v>1225</v>
      </c>
      <c r="C27" s="1845"/>
      <c r="D27" s="1836">
        <v>7.5999999999999998E-2</v>
      </c>
      <c r="E27" s="1836">
        <v>9.1999999999999998E-2</v>
      </c>
      <c r="F27" s="1844"/>
    </row>
    <row r="28" spans="1:6" ht="14.25" thickBot="1">
      <c r="A28" s="1839" t="s">
        <v>1133</v>
      </c>
      <c r="B28" s="1840" t="s">
        <v>1235</v>
      </c>
      <c r="C28" s="1842"/>
      <c r="D28" s="1841">
        <v>7.5999999999999998E-2</v>
      </c>
      <c r="E28" s="1841">
        <v>9.1999999999999998E-2</v>
      </c>
      <c r="F28" s="1843"/>
    </row>
    <row r="29" spans="1:6" ht="14.25" thickBot="1">
      <c r="A29" s="1831" t="s">
        <v>1304</v>
      </c>
      <c r="B29" s="1832" t="s">
        <v>2067</v>
      </c>
      <c r="C29" s="1833">
        <v>6.4000000000000001E-2</v>
      </c>
      <c r="D29" s="1833">
        <v>6.5000000000000002E-2</v>
      </c>
      <c r="E29" s="1833">
        <v>6.9000000000000006E-2</v>
      </c>
      <c r="F29" s="1834">
        <v>0.1</v>
      </c>
    </row>
    <row r="30" spans="1:6" ht="14.25" thickBot="1">
      <c r="A30" s="1831" t="s">
        <v>1304</v>
      </c>
      <c r="B30" s="1838" t="s">
        <v>1050</v>
      </c>
      <c r="C30" s="1836">
        <v>6.4000000000000001E-2</v>
      </c>
      <c r="D30" s="1836">
        <v>9.9000000000000005E-2</v>
      </c>
      <c r="E30" s="1836">
        <v>0.1</v>
      </c>
      <c r="F30" s="1837">
        <v>0.1</v>
      </c>
    </row>
    <row r="31" spans="1:6" ht="14.25" thickBot="1">
      <c r="A31" s="1831" t="s">
        <v>1304</v>
      </c>
      <c r="B31" s="1838" t="s">
        <v>1064</v>
      </c>
      <c r="C31" s="1836">
        <v>0.1</v>
      </c>
      <c r="D31" s="1836">
        <v>9.5000000000000001E-2</v>
      </c>
      <c r="E31" s="1836">
        <v>8.8999999999999996E-2</v>
      </c>
      <c r="F31" s="1837">
        <v>0.1</v>
      </c>
    </row>
    <row r="32" spans="1:6" ht="14.25" thickBot="1">
      <c r="A32" s="1831" t="s">
        <v>1304</v>
      </c>
      <c r="B32" s="1838" t="s">
        <v>1077</v>
      </c>
      <c r="C32" s="1836">
        <v>0.05</v>
      </c>
      <c r="D32" s="1836">
        <v>0.05</v>
      </c>
      <c r="E32" s="1836">
        <v>8.7999999999999995E-2</v>
      </c>
      <c r="F32" s="1837">
        <v>0.1</v>
      </c>
    </row>
    <row r="33" spans="1:6" ht="14.25" thickBot="1">
      <c r="A33" s="1831" t="s">
        <v>1304</v>
      </c>
      <c r="B33" s="1838" t="s">
        <v>1091</v>
      </c>
      <c r="C33" s="1836">
        <v>7.4999999999999997E-2</v>
      </c>
      <c r="D33" s="1836">
        <v>9.4E-2</v>
      </c>
      <c r="E33" s="1836">
        <v>9.7000000000000003E-2</v>
      </c>
      <c r="F33" s="1837">
        <v>0.1</v>
      </c>
    </row>
    <row r="34" spans="1:6" ht="14.25" thickBot="1">
      <c r="A34" s="1831" t="s">
        <v>1304</v>
      </c>
      <c r="B34" s="1838" t="s">
        <v>1102</v>
      </c>
      <c r="C34" s="1836">
        <v>9.8000000000000004E-2</v>
      </c>
      <c r="D34" s="1836">
        <v>8.5999999999999993E-2</v>
      </c>
      <c r="E34" s="1836">
        <v>9.7000000000000003E-2</v>
      </c>
      <c r="F34" s="1837">
        <v>0.1</v>
      </c>
    </row>
    <row r="35" spans="1:6" ht="14.25" thickBot="1">
      <c r="A35" s="1831" t="s">
        <v>1304</v>
      </c>
      <c r="B35" s="1838" t="s">
        <v>1113</v>
      </c>
      <c r="C35" s="1836">
        <v>5.8999999999999997E-2</v>
      </c>
      <c r="D35" s="1836">
        <v>6.5000000000000002E-2</v>
      </c>
      <c r="E35" s="1836">
        <v>7.0000000000000007E-2</v>
      </c>
      <c r="F35" s="1837">
        <v>0.1</v>
      </c>
    </row>
    <row r="36" spans="1:6" ht="14.25" thickBot="1">
      <c r="A36" s="1831" t="s">
        <v>1304</v>
      </c>
      <c r="B36" s="1838" t="s">
        <v>1124</v>
      </c>
      <c r="C36" s="1836">
        <v>6.3E-2</v>
      </c>
      <c r="D36" s="1836">
        <v>0.1</v>
      </c>
      <c r="E36" s="1836">
        <v>0.1</v>
      </c>
      <c r="F36" s="1837">
        <v>0.1</v>
      </c>
    </row>
    <row r="37" spans="1:6" ht="14.25" thickBot="1">
      <c r="A37" s="1831" t="s">
        <v>1304</v>
      </c>
      <c r="B37" s="1838" t="s">
        <v>1136</v>
      </c>
      <c r="C37" s="1836">
        <v>7.3999999999999996E-2</v>
      </c>
      <c r="D37" s="1836">
        <v>0.1</v>
      </c>
      <c r="E37" s="1836">
        <v>0.1</v>
      </c>
      <c r="F37" s="1837">
        <v>0.1</v>
      </c>
    </row>
    <row r="38" spans="1:6" ht="14.25" thickBot="1">
      <c r="A38" s="1831" t="s">
        <v>1304</v>
      </c>
      <c r="B38" s="1838" t="s">
        <v>1146</v>
      </c>
      <c r="C38" s="1836">
        <v>0.1</v>
      </c>
      <c r="D38" s="1836">
        <v>9.6000000000000002E-2</v>
      </c>
      <c r="E38" s="1836">
        <v>9.6000000000000002E-2</v>
      </c>
      <c r="F38" s="1844"/>
    </row>
    <row r="39" spans="1:6" ht="14.25" thickBot="1">
      <c r="A39" s="1831" t="s">
        <v>1304</v>
      </c>
      <c r="B39" s="1838" t="s">
        <v>1156</v>
      </c>
      <c r="C39" s="1836">
        <v>0.1</v>
      </c>
      <c r="D39" s="1836">
        <v>9.6000000000000002E-2</v>
      </c>
      <c r="E39" s="1836">
        <v>9.6000000000000002E-2</v>
      </c>
      <c r="F39" s="1844"/>
    </row>
    <row r="40" spans="1:6" ht="14.25" thickBot="1">
      <c r="A40" s="1831" t="s">
        <v>1304</v>
      </c>
      <c r="B40" s="1838" t="s">
        <v>1166</v>
      </c>
      <c r="C40" s="1836">
        <v>9.6000000000000002E-2</v>
      </c>
      <c r="D40" s="1836">
        <v>0.1</v>
      </c>
      <c r="E40" s="1836">
        <v>9.9000000000000005E-2</v>
      </c>
      <c r="F40" s="1844"/>
    </row>
    <row r="41" spans="1:6" ht="14.25" thickBot="1">
      <c r="A41" s="1831" t="s">
        <v>1304</v>
      </c>
      <c r="B41" s="1838" t="s">
        <v>1176</v>
      </c>
      <c r="C41" s="1836">
        <v>9.6000000000000002E-2</v>
      </c>
      <c r="D41" s="1836">
        <v>9.8000000000000004E-2</v>
      </c>
      <c r="E41" s="1836">
        <v>9.8000000000000004E-2</v>
      </c>
      <c r="F41" s="1844"/>
    </row>
    <row r="42" spans="1:6" ht="14.25" thickBot="1">
      <c r="A42" s="1831" t="s">
        <v>1304</v>
      </c>
      <c r="B42" s="1838" t="s">
        <v>1186</v>
      </c>
      <c r="C42" s="1836">
        <v>0.1</v>
      </c>
      <c r="D42" s="1836">
        <v>8.7999999999999995E-2</v>
      </c>
      <c r="E42" s="1836">
        <v>0.1</v>
      </c>
      <c r="F42" s="1844"/>
    </row>
    <row r="43" spans="1:6" ht="14.25" thickBot="1">
      <c r="A43" s="1831" t="s">
        <v>1304</v>
      </c>
      <c r="B43" s="1838" t="s">
        <v>1196</v>
      </c>
      <c r="C43" s="1836">
        <v>9.8000000000000004E-2</v>
      </c>
      <c r="D43" s="1836">
        <v>9.7000000000000003E-2</v>
      </c>
      <c r="E43" s="1836">
        <v>9.6000000000000002E-2</v>
      </c>
      <c r="F43" s="1844"/>
    </row>
    <row r="44" spans="1:6" ht="14.25" thickBot="1">
      <c r="A44" s="1831" t="s">
        <v>1304</v>
      </c>
      <c r="B44" s="1838" t="s">
        <v>1206</v>
      </c>
      <c r="C44" s="1836">
        <v>8.5999999999999993E-2</v>
      </c>
      <c r="D44" s="1836">
        <v>7.9000000000000001E-2</v>
      </c>
      <c r="E44" s="1836">
        <v>7.0999999999999994E-2</v>
      </c>
      <c r="F44" s="1844"/>
    </row>
    <row r="45" spans="1:6" ht="14.25" thickBot="1">
      <c r="A45" s="1831" t="s">
        <v>1304</v>
      </c>
      <c r="B45" s="1838" t="s">
        <v>1216</v>
      </c>
      <c r="C45" s="1836">
        <v>9.8000000000000004E-2</v>
      </c>
      <c r="D45" s="1836">
        <v>9.6000000000000002E-2</v>
      </c>
      <c r="E45" s="1836">
        <v>9.6000000000000002E-2</v>
      </c>
      <c r="F45" s="1844"/>
    </row>
    <row r="46" spans="1:6" ht="14.25" thickBot="1">
      <c r="A46" s="1831" t="s">
        <v>1304</v>
      </c>
      <c r="B46" s="1838" t="s">
        <v>1226</v>
      </c>
      <c r="C46" s="1836">
        <v>8.5999999999999993E-2</v>
      </c>
      <c r="D46" s="1836">
        <v>9.8000000000000004E-2</v>
      </c>
      <c r="E46" s="1836">
        <v>8.7999999999999995E-2</v>
      </c>
      <c r="F46" s="1844"/>
    </row>
    <row r="47" spans="1:6" ht="14.25" thickBot="1">
      <c r="A47" s="1831" t="s">
        <v>1304</v>
      </c>
      <c r="B47" s="1838" t="s">
        <v>1236</v>
      </c>
      <c r="C47" s="1836">
        <v>9.6000000000000002E-2</v>
      </c>
      <c r="D47" s="1845"/>
      <c r="E47" s="1836">
        <v>6.9000000000000006E-2</v>
      </c>
      <c r="F47" s="1844"/>
    </row>
    <row r="48" spans="1:6" ht="14.25" thickBot="1">
      <c r="A48" s="1839" t="s">
        <v>1304</v>
      </c>
      <c r="B48" s="1840" t="s">
        <v>1245</v>
      </c>
      <c r="C48" s="1841">
        <v>9.8000000000000004E-2</v>
      </c>
      <c r="D48" s="1842"/>
      <c r="E48" s="1841">
        <v>9.5000000000000001E-2</v>
      </c>
      <c r="F48" s="1843"/>
    </row>
    <row r="49" spans="1:6" ht="14.25" thickBot="1">
      <c r="A49" s="1831" t="s">
        <v>903</v>
      </c>
      <c r="B49" s="1832" t="s">
        <v>2068</v>
      </c>
      <c r="C49" s="1833">
        <v>9.7000000000000003E-2</v>
      </c>
      <c r="D49" s="1833">
        <v>9.5000000000000001E-2</v>
      </c>
      <c r="E49" s="1833">
        <v>9.7000000000000003E-2</v>
      </c>
      <c r="F49" s="1834">
        <v>0.1</v>
      </c>
    </row>
    <row r="50" spans="1:6" ht="14.25" thickBot="1">
      <c r="A50" s="1831" t="s">
        <v>903</v>
      </c>
      <c r="B50" s="1835" t="s">
        <v>1051</v>
      </c>
      <c r="C50" s="1836">
        <v>7.4999999999999997E-2</v>
      </c>
      <c r="D50" s="1836">
        <v>9.5000000000000001E-2</v>
      </c>
      <c r="E50" s="1836">
        <v>0.1</v>
      </c>
      <c r="F50" s="1837">
        <v>0.1</v>
      </c>
    </row>
    <row r="51" spans="1:6" ht="14.25" thickBot="1">
      <c r="A51" s="1831" t="s">
        <v>903</v>
      </c>
      <c r="B51" s="1835" t="s">
        <v>1065</v>
      </c>
      <c r="C51" s="1836">
        <v>9.8000000000000004E-2</v>
      </c>
      <c r="D51" s="1836">
        <v>8.8999999999999996E-2</v>
      </c>
      <c r="E51" s="1836">
        <v>0.1</v>
      </c>
      <c r="F51" s="1837">
        <v>0.1</v>
      </c>
    </row>
    <row r="52" spans="1:6" ht="14.25" thickBot="1">
      <c r="A52" s="1831" t="s">
        <v>903</v>
      </c>
      <c r="B52" s="1835" t="s">
        <v>1078</v>
      </c>
      <c r="C52" s="1836">
        <v>9.8000000000000004E-2</v>
      </c>
      <c r="D52" s="1836">
        <v>9.7000000000000003E-2</v>
      </c>
      <c r="E52" s="1836">
        <v>8.1000000000000003E-2</v>
      </c>
      <c r="F52" s="1837">
        <v>0.1</v>
      </c>
    </row>
    <row r="53" spans="1:6" ht="14.25" thickBot="1">
      <c r="A53" s="1831" t="s">
        <v>903</v>
      </c>
      <c r="B53" s="1835" t="s">
        <v>1092</v>
      </c>
      <c r="C53" s="1836">
        <v>9.7000000000000003E-2</v>
      </c>
      <c r="D53" s="1836">
        <v>7.5999999999999998E-2</v>
      </c>
      <c r="E53" s="1836">
        <v>7.0999999999999994E-2</v>
      </c>
      <c r="F53" s="1837">
        <v>0.1</v>
      </c>
    </row>
    <row r="54" spans="1:6" ht="14.25" thickBot="1">
      <c r="A54" s="1831" t="s">
        <v>903</v>
      </c>
      <c r="B54" s="1835" t="s">
        <v>1103</v>
      </c>
      <c r="C54" s="1836">
        <v>7.5999999999999998E-2</v>
      </c>
      <c r="D54" s="1836">
        <v>0.1</v>
      </c>
      <c r="E54" s="1836">
        <v>9.9000000000000005E-2</v>
      </c>
      <c r="F54" s="1837">
        <v>0.1</v>
      </c>
    </row>
    <row r="55" spans="1:6" ht="14.25" thickBot="1">
      <c r="A55" s="1831" t="s">
        <v>903</v>
      </c>
      <c r="B55" s="1835" t="s">
        <v>1114</v>
      </c>
      <c r="C55" s="1836">
        <v>0.1</v>
      </c>
      <c r="D55" s="1836">
        <v>0.1</v>
      </c>
      <c r="E55" s="1836">
        <v>9.6000000000000002E-2</v>
      </c>
      <c r="F55" s="1837">
        <v>0.1</v>
      </c>
    </row>
    <row r="56" spans="1:6" ht="14.25" thickBot="1">
      <c r="A56" s="1831" t="s">
        <v>903</v>
      </c>
      <c r="B56" s="1835" t="s">
        <v>1125</v>
      </c>
      <c r="C56" s="1836">
        <v>0.1</v>
      </c>
      <c r="D56" s="1836">
        <v>9.6000000000000002E-2</v>
      </c>
      <c r="E56" s="1836">
        <v>5.1999999999999998E-2</v>
      </c>
      <c r="F56" s="1837">
        <v>0.1</v>
      </c>
    </row>
    <row r="57" spans="1:6" ht="14.25" thickBot="1">
      <c r="A57" s="1831" t="s">
        <v>903</v>
      </c>
      <c r="B57" s="1835" t="s">
        <v>1137</v>
      </c>
      <c r="C57" s="1836">
        <v>9.7000000000000003E-2</v>
      </c>
      <c r="D57" s="1836">
        <v>9.6000000000000002E-2</v>
      </c>
      <c r="E57" s="1836">
        <v>9.6000000000000002E-2</v>
      </c>
      <c r="F57" s="1837">
        <v>0.1</v>
      </c>
    </row>
    <row r="58" spans="1:6" ht="14.25" thickBot="1">
      <c r="A58" s="1831" t="s">
        <v>903</v>
      </c>
      <c r="B58" s="1835" t="s">
        <v>1147</v>
      </c>
      <c r="C58" s="1836">
        <v>9.6000000000000002E-2</v>
      </c>
      <c r="D58" s="1836">
        <v>9.9000000000000005E-2</v>
      </c>
      <c r="E58" s="1836">
        <v>9.6000000000000002E-2</v>
      </c>
      <c r="F58" s="1837">
        <v>0.1</v>
      </c>
    </row>
    <row r="59" spans="1:6" ht="14.25" thickBot="1">
      <c r="A59" s="1831" t="s">
        <v>903</v>
      </c>
      <c r="B59" s="1835" t="s">
        <v>1157</v>
      </c>
      <c r="C59" s="1836">
        <v>7.1999999999999995E-2</v>
      </c>
      <c r="D59" s="1836">
        <v>9.6000000000000002E-2</v>
      </c>
      <c r="E59" s="1836">
        <v>7.0999999999999994E-2</v>
      </c>
      <c r="F59" s="1837">
        <v>0.1</v>
      </c>
    </row>
    <row r="60" spans="1:6" ht="14.25" thickBot="1">
      <c r="A60" s="1831" t="s">
        <v>903</v>
      </c>
      <c r="B60" s="1835" t="s">
        <v>1167</v>
      </c>
      <c r="C60" s="1836">
        <v>9.6000000000000002E-2</v>
      </c>
      <c r="D60" s="1836">
        <v>8.8999999999999996E-2</v>
      </c>
      <c r="E60" s="1836">
        <v>9.6000000000000002E-2</v>
      </c>
      <c r="F60" s="1837">
        <v>0.1</v>
      </c>
    </row>
    <row r="61" spans="1:6" ht="14.25" thickBot="1">
      <c r="A61" s="1831" t="s">
        <v>903</v>
      </c>
      <c r="B61" s="1835" t="s">
        <v>1177</v>
      </c>
      <c r="C61" s="1836">
        <v>8.8999999999999996E-2</v>
      </c>
      <c r="D61" s="1836">
        <v>9.8000000000000004E-2</v>
      </c>
      <c r="E61" s="1836">
        <v>8.7999999999999995E-2</v>
      </c>
      <c r="F61" s="1844"/>
    </row>
    <row r="62" spans="1:6" ht="14.25" thickBot="1">
      <c r="A62" s="1831" t="s">
        <v>903</v>
      </c>
      <c r="B62" s="1835" t="s">
        <v>1187</v>
      </c>
      <c r="C62" s="1836">
        <v>9.8000000000000004E-2</v>
      </c>
      <c r="D62" s="1836">
        <v>9.2999999999999999E-2</v>
      </c>
      <c r="E62" s="1836">
        <v>9.7000000000000003E-2</v>
      </c>
      <c r="F62" s="1844"/>
    </row>
    <row r="63" spans="1:6" ht="14.25" thickBot="1">
      <c r="A63" s="1831" t="s">
        <v>903</v>
      </c>
      <c r="B63" s="1835" t="s">
        <v>1197</v>
      </c>
      <c r="C63" s="1836">
        <v>9.6000000000000002E-2</v>
      </c>
      <c r="D63" s="1836">
        <v>9.8000000000000004E-2</v>
      </c>
      <c r="E63" s="1836">
        <v>0.09</v>
      </c>
      <c r="F63" s="1844"/>
    </row>
    <row r="64" spans="1:6" ht="14.25" thickBot="1">
      <c r="A64" s="1831" t="s">
        <v>903</v>
      </c>
      <c r="B64" s="1835" t="s">
        <v>1207</v>
      </c>
      <c r="C64" s="1836">
        <v>9.9000000000000005E-2</v>
      </c>
      <c r="D64" s="1836">
        <v>9.7000000000000003E-2</v>
      </c>
      <c r="E64" s="1836">
        <v>9.9000000000000005E-2</v>
      </c>
      <c r="F64" s="1844"/>
    </row>
    <row r="65" spans="1:6" ht="14.25" thickBot="1">
      <c r="A65" s="1831" t="s">
        <v>903</v>
      </c>
      <c r="B65" s="1835" t="s">
        <v>1217</v>
      </c>
      <c r="C65" s="1836">
        <v>9.8000000000000004E-2</v>
      </c>
      <c r="D65" s="1836">
        <v>9.6000000000000002E-2</v>
      </c>
      <c r="E65" s="1836">
        <v>9.6000000000000002E-2</v>
      </c>
      <c r="F65" s="1844"/>
    </row>
    <row r="66" spans="1:6" ht="14.25" thickBot="1">
      <c r="A66" s="1831" t="s">
        <v>903</v>
      </c>
      <c r="B66" s="1835" t="s">
        <v>1227</v>
      </c>
      <c r="C66" s="1836">
        <v>9.6000000000000002E-2</v>
      </c>
      <c r="D66" s="1836">
        <v>9.1999999999999998E-2</v>
      </c>
      <c r="E66" s="1836">
        <v>9.6000000000000002E-2</v>
      </c>
      <c r="F66" s="1844"/>
    </row>
    <row r="67" spans="1:6" ht="14.25" thickBot="1">
      <c r="A67" s="1831" t="s">
        <v>903</v>
      </c>
      <c r="B67" s="1835" t="s">
        <v>1237</v>
      </c>
      <c r="C67" s="1836">
        <v>9.4E-2</v>
      </c>
      <c r="D67" s="1836">
        <v>0.1</v>
      </c>
      <c r="E67" s="1836">
        <v>8.7999999999999995E-2</v>
      </c>
      <c r="F67" s="1844"/>
    </row>
    <row r="68" spans="1:6" ht="14.25" thickBot="1">
      <c r="A68" s="1831" t="s">
        <v>903</v>
      </c>
      <c r="B68" s="1835" t="s">
        <v>1246</v>
      </c>
      <c r="C68" s="1836">
        <v>0.1</v>
      </c>
      <c r="D68" s="1836">
        <v>8.7999999999999995E-2</v>
      </c>
      <c r="E68" s="1836">
        <v>9.7000000000000003E-2</v>
      </c>
      <c r="F68" s="1844"/>
    </row>
    <row r="69" spans="1:6" ht="14.25" thickBot="1">
      <c r="A69" s="1831" t="s">
        <v>903</v>
      </c>
      <c r="B69" s="1835" t="s">
        <v>1255</v>
      </c>
      <c r="C69" s="1836">
        <v>6.4000000000000001E-2</v>
      </c>
      <c r="D69" s="1836">
        <v>0.1</v>
      </c>
      <c r="E69" s="1836">
        <v>0.1</v>
      </c>
      <c r="F69" s="1844"/>
    </row>
    <row r="70" spans="1:6" ht="14.25" thickBot="1">
      <c r="A70" s="1831" t="s">
        <v>903</v>
      </c>
      <c r="B70" s="1835" t="s">
        <v>1263</v>
      </c>
      <c r="C70" s="1836">
        <v>9.0999999999999998E-2</v>
      </c>
      <c r="D70" s="1845"/>
      <c r="E70" s="1845"/>
      <c r="F70" s="1844"/>
    </row>
    <row r="71" spans="1:6" ht="14.25" thickBot="1">
      <c r="A71" s="1831" t="s">
        <v>903</v>
      </c>
      <c r="B71" s="1835" t="s">
        <v>1270</v>
      </c>
      <c r="C71" s="1836">
        <v>0.1</v>
      </c>
      <c r="D71" s="1845"/>
      <c r="E71" s="1845"/>
      <c r="F71" s="1844"/>
    </row>
    <row r="72" spans="1:6" ht="24.75" thickBot="1">
      <c r="A72" s="1831" t="s">
        <v>903</v>
      </c>
      <c r="B72" s="1835" t="s">
        <v>2069</v>
      </c>
      <c r="C72" s="1845"/>
      <c r="D72" s="1845"/>
      <c r="E72" s="1845"/>
      <c r="F72" s="1837">
        <v>0.05</v>
      </c>
    </row>
    <row r="73" spans="1:6" ht="24.75" thickBot="1">
      <c r="A73" s="1831" t="s">
        <v>903</v>
      </c>
      <c r="B73" s="1835" t="s">
        <v>2070</v>
      </c>
      <c r="C73" s="1845"/>
      <c r="D73" s="1845"/>
      <c r="E73" s="1845"/>
      <c r="F73" s="1837">
        <v>0.05</v>
      </c>
    </row>
    <row r="74" spans="1:6" ht="24.75" thickBot="1">
      <c r="A74" s="1831" t="s">
        <v>903</v>
      </c>
      <c r="B74" s="1835" t="s">
        <v>2071</v>
      </c>
      <c r="C74" s="1845"/>
      <c r="D74" s="1845"/>
      <c r="E74" s="1845"/>
      <c r="F74" s="1837">
        <v>0.05</v>
      </c>
    </row>
    <row r="75" spans="1:6" ht="24.75" thickBot="1">
      <c r="A75" s="1839" t="s">
        <v>903</v>
      </c>
      <c r="B75" s="1846" t="s">
        <v>2072</v>
      </c>
      <c r="C75" s="1842"/>
      <c r="D75" s="1842"/>
      <c r="E75" s="1842"/>
      <c r="F75" s="1847">
        <v>0.05</v>
      </c>
    </row>
    <row r="76" spans="1:6" ht="14.25" thickBot="1">
      <c r="A76" s="1831" t="s">
        <v>1385</v>
      </c>
      <c r="B76" s="1832" t="s">
        <v>2073</v>
      </c>
      <c r="C76" s="1833">
        <v>0.1</v>
      </c>
      <c r="D76" s="1833">
        <v>0.1</v>
      </c>
      <c r="E76" s="1833">
        <v>0.1</v>
      </c>
      <c r="F76" s="1834">
        <v>0.1</v>
      </c>
    </row>
    <row r="77" spans="1:6" ht="14.25" thickBot="1">
      <c r="A77" s="1831" t="s">
        <v>1385</v>
      </c>
      <c r="B77" s="1835" t="s">
        <v>1052</v>
      </c>
      <c r="C77" s="1836">
        <v>8.7999999999999995E-2</v>
      </c>
      <c r="D77" s="1836">
        <v>8.6999999999999994E-2</v>
      </c>
      <c r="E77" s="1836">
        <v>7.9000000000000001E-2</v>
      </c>
      <c r="F77" s="1837">
        <v>0.1</v>
      </c>
    </row>
    <row r="78" spans="1:6" ht="14.25" thickBot="1">
      <c r="A78" s="1831" t="s">
        <v>1385</v>
      </c>
      <c r="B78" s="1835" t="s">
        <v>1066</v>
      </c>
      <c r="C78" s="1836">
        <v>8.6999999999999994E-2</v>
      </c>
      <c r="D78" s="1836">
        <v>8.4000000000000005E-2</v>
      </c>
      <c r="E78" s="1836">
        <v>9.6000000000000002E-2</v>
      </c>
      <c r="F78" s="1837">
        <v>0.1</v>
      </c>
    </row>
    <row r="79" spans="1:6" ht="14.25" thickBot="1">
      <c r="A79" s="1831" t="s">
        <v>1385</v>
      </c>
      <c r="B79" s="1835" t="s">
        <v>1079</v>
      </c>
      <c r="C79" s="1836">
        <v>9.8000000000000004E-2</v>
      </c>
      <c r="D79" s="1836">
        <v>9.8000000000000004E-2</v>
      </c>
      <c r="E79" s="1836">
        <v>9.0999999999999998E-2</v>
      </c>
      <c r="F79" s="1837">
        <v>0.1</v>
      </c>
    </row>
    <row r="80" spans="1:6" ht="14.25" thickBot="1">
      <c r="A80" s="1831" t="s">
        <v>1385</v>
      </c>
      <c r="B80" s="1835" t="s">
        <v>1093</v>
      </c>
      <c r="C80" s="1836">
        <v>9.6000000000000002E-2</v>
      </c>
      <c r="D80" s="1836">
        <v>9.6000000000000002E-2</v>
      </c>
      <c r="E80" s="1836">
        <v>0.1</v>
      </c>
      <c r="F80" s="1837">
        <v>0.1</v>
      </c>
    </row>
    <row r="81" spans="1:6" ht="14.25" thickBot="1">
      <c r="A81" s="1831" t="s">
        <v>1385</v>
      </c>
      <c r="B81" s="1835" t="s">
        <v>1104</v>
      </c>
      <c r="C81" s="1836">
        <v>9.9000000000000005E-2</v>
      </c>
      <c r="D81" s="1836">
        <v>9.9000000000000005E-2</v>
      </c>
      <c r="E81" s="1836">
        <v>9.8000000000000004E-2</v>
      </c>
      <c r="F81" s="1837">
        <v>0.1</v>
      </c>
    </row>
    <row r="82" spans="1:6" ht="14.25" thickBot="1">
      <c r="A82" s="1831" t="s">
        <v>1385</v>
      </c>
      <c r="B82" s="1835" t="s">
        <v>1115</v>
      </c>
      <c r="C82" s="1836">
        <v>9.9000000000000005E-2</v>
      </c>
      <c r="D82" s="1836">
        <v>9.9000000000000005E-2</v>
      </c>
      <c r="E82" s="1836">
        <v>9.7000000000000003E-2</v>
      </c>
      <c r="F82" s="1837">
        <v>0.1</v>
      </c>
    </row>
    <row r="83" spans="1:6" ht="14.25" thickBot="1">
      <c r="A83" s="1831" t="s">
        <v>1385</v>
      </c>
      <c r="B83" s="1835" t="s">
        <v>1126</v>
      </c>
      <c r="C83" s="1836">
        <v>9.8000000000000004E-2</v>
      </c>
      <c r="D83" s="1836">
        <v>9.8000000000000004E-2</v>
      </c>
      <c r="E83" s="1836">
        <v>9.8000000000000004E-2</v>
      </c>
      <c r="F83" s="1837">
        <v>0.1</v>
      </c>
    </row>
    <row r="84" spans="1:6" ht="14.25" thickBot="1">
      <c r="A84" s="1831" t="s">
        <v>1385</v>
      </c>
      <c r="B84" s="1835" t="s">
        <v>1138</v>
      </c>
      <c r="C84" s="1836">
        <v>9.9000000000000005E-2</v>
      </c>
      <c r="D84" s="1836">
        <v>9.9000000000000005E-2</v>
      </c>
      <c r="E84" s="1836">
        <v>9.9000000000000005E-2</v>
      </c>
      <c r="F84" s="1837">
        <v>0.1</v>
      </c>
    </row>
    <row r="85" spans="1:6" ht="14.25" thickBot="1">
      <c r="A85" s="1831" t="s">
        <v>1385</v>
      </c>
      <c r="B85" s="1835" t="s">
        <v>1148</v>
      </c>
      <c r="C85" s="1836">
        <v>9.9000000000000005E-2</v>
      </c>
      <c r="D85" s="1836">
        <v>9.9000000000000005E-2</v>
      </c>
      <c r="E85" s="1836">
        <v>9.9000000000000005E-2</v>
      </c>
      <c r="F85" s="1837">
        <v>0.1</v>
      </c>
    </row>
    <row r="86" spans="1:6" ht="14.25" thickBot="1">
      <c r="A86" s="1831" t="s">
        <v>1385</v>
      </c>
      <c r="B86" s="1835" t="s">
        <v>1158</v>
      </c>
      <c r="C86" s="1836">
        <v>0.1</v>
      </c>
      <c r="D86" s="1836">
        <v>0.1</v>
      </c>
      <c r="E86" s="1836">
        <v>7.6999999999999999E-2</v>
      </c>
      <c r="F86" s="1837">
        <v>0.1</v>
      </c>
    </row>
    <row r="87" spans="1:6" ht="14.25" thickBot="1">
      <c r="A87" s="1831" t="s">
        <v>1385</v>
      </c>
      <c r="B87" s="1835" t="s">
        <v>1168</v>
      </c>
      <c r="C87" s="1836">
        <v>0.1</v>
      </c>
      <c r="D87" s="1836">
        <v>0.1</v>
      </c>
      <c r="E87" s="1836">
        <v>9.8000000000000004E-2</v>
      </c>
      <c r="F87" s="1844"/>
    </row>
    <row r="88" spans="1:6" ht="14.25" thickBot="1">
      <c r="A88" s="1831" t="s">
        <v>1385</v>
      </c>
      <c r="B88" s="1835" t="s">
        <v>1178</v>
      </c>
      <c r="C88" s="1836">
        <v>9.1999999999999998E-2</v>
      </c>
      <c r="D88" s="1836">
        <v>8.5000000000000006E-2</v>
      </c>
      <c r="E88" s="1836">
        <v>9.6000000000000002E-2</v>
      </c>
      <c r="F88" s="1844"/>
    </row>
    <row r="89" spans="1:6" ht="14.25" thickBot="1">
      <c r="A89" s="1831" t="s">
        <v>1385</v>
      </c>
      <c r="B89" s="1835" t="s">
        <v>1188</v>
      </c>
      <c r="C89" s="1836">
        <v>0.1</v>
      </c>
      <c r="D89" s="1836">
        <v>0.1</v>
      </c>
      <c r="E89" s="1836">
        <v>9.7000000000000003E-2</v>
      </c>
      <c r="F89" s="1844"/>
    </row>
    <row r="90" spans="1:6" ht="14.25" thickBot="1">
      <c r="A90" s="1831" t="s">
        <v>1385</v>
      </c>
      <c r="B90" s="1835" t="s">
        <v>1198</v>
      </c>
      <c r="C90" s="1836">
        <v>9.8000000000000004E-2</v>
      </c>
      <c r="D90" s="1836">
        <v>9.8000000000000004E-2</v>
      </c>
      <c r="E90" s="1836">
        <v>8.7999999999999995E-2</v>
      </c>
      <c r="F90" s="1844"/>
    </row>
    <row r="91" spans="1:6" ht="14.25" thickBot="1">
      <c r="A91" s="1831" t="s">
        <v>1385</v>
      </c>
      <c r="B91" s="1835" t="s">
        <v>1208</v>
      </c>
      <c r="C91" s="1836">
        <v>9.9000000000000005E-2</v>
      </c>
      <c r="D91" s="1836">
        <v>9.9000000000000005E-2</v>
      </c>
      <c r="E91" s="1836">
        <v>9.0999999999999998E-2</v>
      </c>
      <c r="F91" s="1844"/>
    </row>
    <row r="92" spans="1:6" ht="14.25" thickBot="1">
      <c r="A92" s="1831" t="s">
        <v>1385</v>
      </c>
      <c r="B92" s="1835" t="s">
        <v>1218</v>
      </c>
      <c r="C92" s="1836">
        <v>9.6000000000000002E-2</v>
      </c>
      <c r="D92" s="1836">
        <v>9.6000000000000002E-2</v>
      </c>
      <c r="E92" s="1836">
        <v>7.2999999999999995E-2</v>
      </c>
      <c r="F92" s="1844"/>
    </row>
    <row r="93" spans="1:6" ht="14.25" thickBot="1">
      <c r="A93" s="1831" t="s">
        <v>1385</v>
      </c>
      <c r="B93" s="1835" t="s">
        <v>1228</v>
      </c>
      <c r="C93" s="1836">
        <v>9.6000000000000002E-2</v>
      </c>
      <c r="D93" s="1836">
        <v>9.6000000000000002E-2</v>
      </c>
      <c r="E93" s="1836">
        <v>9.9000000000000005E-2</v>
      </c>
      <c r="F93" s="1844"/>
    </row>
    <row r="94" spans="1:6" ht="14.25" thickBot="1">
      <c r="A94" s="1831" t="s">
        <v>1385</v>
      </c>
      <c r="B94" s="1835" t="s">
        <v>1238</v>
      </c>
      <c r="C94" s="1836">
        <v>7.5999999999999998E-2</v>
      </c>
      <c r="D94" s="1836">
        <v>7.3999999999999996E-2</v>
      </c>
      <c r="E94" s="1836">
        <v>9.7000000000000003E-2</v>
      </c>
      <c r="F94" s="1844"/>
    </row>
    <row r="95" spans="1:6" ht="14.25" thickBot="1">
      <c r="A95" s="1831" t="s">
        <v>1385</v>
      </c>
      <c r="B95" s="1835" t="s">
        <v>1247</v>
      </c>
      <c r="C95" s="1836">
        <v>9.9000000000000005E-2</v>
      </c>
      <c r="D95" s="1836">
        <v>9.4E-2</v>
      </c>
      <c r="E95" s="1836">
        <v>9.6000000000000002E-2</v>
      </c>
      <c r="F95" s="1844"/>
    </row>
    <row r="96" spans="1:6" ht="14.25" thickBot="1">
      <c r="A96" s="1831" t="s">
        <v>1385</v>
      </c>
      <c r="B96" s="1835" t="s">
        <v>1256</v>
      </c>
      <c r="C96" s="1836">
        <v>9.9000000000000005E-2</v>
      </c>
      <c r="D96" s="1836">
        <v>9.9000000000000005E-2</v>
      </c>
      <c r="E96" s="1836">
        <v>9.9000000000000005E-2</v>
      </c>
      <c r="F96" s="1844"/>
    </row>
    <row r="97" spans="1:6" ht="14.25" thickBot="1">
      <c r="A97" s="1831" t="s">
        <v>1385</v>
      </c>
      <c r="B97" s="1835" t="s">
        <v>1264</v>
      </c>
      <c r="C97" s="1836">
        <v>9.8000000000000004E-2</v>
      </c>
      <c r="D97" s="1836">
        <v>9.8000000000000004E-2</v>
      </c>
      <c r="E97" s="1836">
        <v>9.7000000000000003E-2</v>
      </c>
      <c r="F97" s="1844"/>
    </row>
    <row r="98" spans="1:6" ht="14.25" thickBot="1">
      <c r="A98" s="1831" t="s">
        <v>1385</v>
      </c>
      <c r="B98" s="1835" t="s">
        <v>1271</v>
      </c>
      <c r="C98" s="1836">
        <v>0.1</v>
      </c>
      <c r="D98" s="1836">
        <v>0.1</v>
      </c>
      <c r="E98" s="1836">
        <v>9.7000000000000003E-2</v>
      </c>
      <c r="F98" s="1844"/>
    </row>
    <row r="99" spans="1:6" ht="14.25" thickBot="1">
      <c r="A99" s="1831" t="s">
        <v>1385</v>
      </c>
      <c r="B99" s="1835" t="s">
        <v>1278</v>
      </c>
      <c r="C99" s="1836">
        <v>0.1</v>
      </c>
      <c r="D99" s="1836">
        <v>0.1</v>
      </c>
      <c r="E99" s="1845"/>
      <c r="F99" s="1844"/>
    </row>
    <row r="100" spans="1:6" ht="14.25" thickBot="1">
      <c r="A100" s="1831" t="s">
        <v>1385</v>
      </c>
      <c r="B100" s="1835" t="s">
        <v>1285</v>
      </c>
      <c r="C100" s="1836">
        <v>0.09</v>
      </c>
      <c r="D100" s="1836">
        <v>8.8999999999999996E-2</v>
      </c>
      <c r="E100" s="1845"/>
      <c r="F100" s="1844"/>
    </row>
    <row r="101" spans="1:6" ht="14.25" thickBot="1">
      <c r="A101" s="1831" t="s">
        <v>1385</v>
      </c>
      <c r="B101" s="1835" t="s">
        <v>1292</v>
      </c>
      <c r="C101" s="1836">
        <v>9.8000000000000004E-2</v>
      </c>
      <c r="D101" s="1836">
        <v>9.7000000000000003E-2</v>
      </c>
      <c r="E101" s="1845"/>
      <c r="F101" s="1844"/>
    </row>
    <row r="102" spans="1:6" ht="24.75" thickBot="1">
      <c r="A102" s="1831" t="s">
        <v>1385</v>
      </c>
      <c r="B102" s="1835" t="s">
        <v>2074</v>
      </c>
      <c r="C102" s="1845"/>
      <c r="D102" s="1845"/>
      <c r="E102" s="1845"/>
      <c r="F102" s="1837">
        <v>0.05</v>
      </c>
    </row>
    <row r="103" spans="1:6" ht="24.75" thickBot="1">
      <c r="A103" s="1831" t="s">
        <v>1385</v>
      </c>
      <c r="B103" s="1835" t="s">
        <v>2075</v>
      </c>
      <c r="C103" s="1845"/>
      <c r="D103" s="1845"/>
      <c r="E103" s="1845"/>
      <c r="F103" s="1837">
        <v>0.05</v>
      </c>
    </row>
    <row r="104" spans="1:6" ht="14.25" thickBot="1">
      <c r="A104" s="1831" t="s">
        <v>1385</v>
      </c>
      <c r="B104" s="1835" t="s">
        <v>2076</v>
      </c>
      <c r="C104" s="1845"/>
      <c r="D104" s="1845"/>
      <c r="E104" s="1845"/>
      <c r="F104" s="1837">
        <v>0.05</v>
      </c>
    </row>
    <row r="105" spans="1:6" ht="14.25" thickBot="1">
      <c r="A105" s="1831" t="s">
        <v>1385</v>
      </c>
      <c r="B105" s="1835" t="s">
        <v>2077</v>
      </c>
      <c r="C105" s="1845"/>
      <c r="D105" s="1845"/>
      <c r="E105" s="1845"/>
      <c r="F105" s="1837">
        <v>0.05</v>
      </c>
    </row>
    <row r="106" spans="1:6" ht="14.25" thickBot="1">
      <c r="A106" s="1831" t="s">
        <v>1385</v>
      </c>
      <c r="B106" s="1835" t="s">
        <v>2078</v>
      </c>
      <c r="C106" s="1845"/>
      <c r="D106" s="1845"/>
      <c r="E106" s="1845"/>
      <c r="F106" s="1837">
        <v>0.05</v>
      </c>
    </row>
    <row r="107" spans="1:6" ht="24.75" thickBot="1">
      <c r="A107" s="1831" t="s">
        <v>1385</v>
      </c>
      <c r="B107" s="1835" t="s">
        <v>2079</v>
      </c>
      <c r="C107" s="1845"/>
      <c r="D107" s="1845"/>
      <c r="E107" s="1845"/>
      <c r="F107" s="1837">
        <v>0.05</v>
      </c>
    </row>
    <row r="108" spans="1:6" ht="24.75" thickBot="1">
      <c r="A108" s="1831" t="s">
        <v>1385</v>
      </c>
      <c r="B108" s="1835" t="s">
        <v>2080</v>
      </c>
      <c r="C108" s="1845"/>
      <c r="D108" s="1845"/>
      <c r="E108" s="1845"/>
      <c r="F108" s="1837">
        <v>0.05</v>
      </c>
    </row>
    <row r="109" spans="1:6" ht="24.75" thickBot="1">
      <c r="A109" s="1839" t="s">
        <v>1385</v>
      </c>
      <c r="B109" s="1846" t="s">
        <v>2081</v>
      </c>
      <c r="C109" s="1842"/>
      <c r="D109" s="1842"/>
      <c r="E109" s="1842"/>
      <c r="F109" s="1847">
        <v>0.05</v>
      </c>
    </row>
    <row r="110" spans="1:6" ht="14.25" thickBot="1">
      <c r="A110" s="1831" t="s">
        <v>1387</v>
      </c>
      <c r="B110" s="1832" t="s">
        <v>2082</v>
      </c>
      <c r="C110" s="1833">
        <v>0.129</v>
      </c>
      <c r="D110" s="1833">
        <v>0.129</v>
      </c>
      <c r="E110" s="1833">
        <v>0.126</v>
      </c>
      <c r="F110" s="1834">
        <v>0.13</v>
      </c>
    </row>
    <row r="111" spans="1:6" ht="14.25" thickBot="1">
      <c r="A111" s="1831" t="s">
        <v>1387</v>
      </c>
      <c r="B111" s="1835" t="s">
        <v>1053</v>
      </c>
      <c r="C111" s="1836">
        <v>0.11</v>
      </c>
      <c r="D111" s="1836">
        <v>0.11</v>
      </c>
      <c r="E111" s="1836">
        <v>9.9000000000000005E-2</v>
      </c>
      <c r="F111" s="1837">
        <v>0.128</v>
      </c>
    </row>
    <row r="112" spans="1:6" ht="14.25" thickBot="1">
      <c r="A112" s="1831" t="s">
        <v>1387</v>
      </c>
      <c r="B112" s="1835" t="s">
        <v>1067</v>
      </c>
      <c r="C112" s="1836">
        <v>0.125</v>
      </c>
      <c r="D112" s="1836">
        <v>0.125</v>
      </c>
      <c r="E112" s="1836">
        <v>0.12</v>
      </c>
      <c r="F112" s="1837">
        <v>0.125</v>
      </c>
    </row>
    <row r="113" spans="1:6" ht="14.25" thickBot="1">
      <c r="A113" s="1831" t="s">
        <v>1387</v>
      </c>
      <c r="B113" s="1835" t="s">
        <v>1080</v>
      </c>
      <c r="C113" s="1836">
        <v>0.13</v>
      </c>
      <c r="D113" s="1836">
        <v>0.13</v>
      </c>
      <c r="E113" s="1836">
        <v>0.13</v>
      </c>
      <c r="F113" s="1837">
        <v>0.13</v>
      </c>
    </row>
    <row r="114" spans="1:6" ht="14.25" thickBot="1">
      <c r="A114" s="1831" t="s">
        <v>1387</v>
      </c>
      <c r="B114" s="1835" t="s">
        <v>1094</v>
      </c>
      <c r="C114" s="1836">
        <v>0.123</v>
      </c>
      <c r="D114" s="1836">
        <v>0.123</v>
      </c>
      <c r="E114" s="1836">
        <v>0.12</v>
      </c>
      <c r="F114" s="1837">
        <v>0.13</v>
      </c>
    </row>
    <row r="115" spans="1:6" ht="14.25" thickBot="1">
      <c r="A115" s="1831" t="s">
        <v>1387</v>
      </c>
      <c r="B115" s="1835" t="s">
        <v>1105</v>
      </c>
      <c r="C115" s="1836">
        <v>0.125</v>
      </c>
      <c r="D115" s="1836">
        <v>0.125</v>
      </c>
      <c r="E115" s="1836">
        <v>0.11700000000000001</v>
      </c>
      <c r="F115" s="1837">
        <v>0.13</v>
      </c>
    </row>
    <row r="116" spans="1:6" ht="14.25" thickBot="1">
      <c r="A116" s="1831" t="s">
        <v>1387</v>
      </c>
      <c r="B116" s="1835" t="s">
        <v>1116</v>
      </c>
      <c r="C116" s="1836">
        <v>0.11700000000000001</v>
      </c>
      <c r="D116" s="1836">
        <v>0.11700000000000001</v>
      </c>
      <c r="E116" s="1836">
        <v>8.7999999999999995E-2</v>
      </c>
      <c r="F116" s="1837">
        <v>0.13</v>
      </c>
    </row>
    <row r="117" spans="1:6" ht="14.25" thickBot="1">
      <c r="A117" s="1831" t="s">
        <v>1387</v>
      </c>
      <c r="B117" s="1835" t="s">
        <v>1127</v>
      </c>
      <c r="C117" s="1836">
        <v>0.13</v>
      </c>
      <c r="D117" s="1836">
        <v>0.13</v>
      </c>
      <c r="E117" s="1836">
        <v>0.129</v>
      </c>
      <c r="F117" s="1837">
        <v>0.13</v>
      </c>
    </row>
    <row r="118" spans="1:6" ht="14.25" thickBot="1">
      <c r="A118" s="1831" t="s">
        <v>1387</v>
      </c>
      <c r="B118" s="1835" t="s">
        <v>1139</v>
      </c>
      <c r="C118" s="1836">
        <v>0.123</v>
      </c>
      <c r="D118" s="1836">
        <v>0.123</v>
      </c>
      <c r="E118" s="1836">
        <v>0.11600000000000001</v>
      </c>
      <c r="F118" s="1837">
        <v>0.13</v>
      </c>
    </row>
    <row r="119" spans="1:6" ht="14.25" thickBot="1">
      <c r="A119" s="1831" t="s">
        <v>1387</v>
      </c>
      <c r="B119" s="1835" t="s">
        <v>1149</v>
      </c>
      <c r="C119" s="1836">
        <v>0.127</v>
      </c>
      <c r="D119" s="1836">
        <v>0.127</v>
      </c>
      <c r="E119" s="1836">
        <v>0.124</v>
      </c>
      <c r="F119" s="1837">
        <v>0.13</v>
      </c>
    </row>
    <row r="120" spans="1:6" ht="14.25" thickBot="1">
      <c r="A120" s="1831" t="s">
        <v>1387</v>
      </c>
      <c r="B120" s="1835" t="s">
        <v>1159</v>
      </c>
      <c r="C120" s="1836">
        <v>0.125</v>
      </c>
      <c r="D120" s="1836">
        <v>0.125</v>
      </c>
      <c r="E120" s="1836">
        <v>0.122</v>
      </c>
      <c r="F120" s="1837">
        <v>0.13</v>
      </c>
    </row>
    <row r="121" spans="1:6" ht="14.25" thickBot="1">
      <c r="A121" s="1831" t="s">
        <v>1387</v>
      </c>
      <c r="B121" s="1835" t="s">
        <v>1169</v>
      </c>
      <c r="C121" s="1836">
        <v>0.13</v>
      </c>
      <c r="D121" s="1836">
        <v>0.13</v>
      </c>
      <c r="E121" s="1836">
        <v>0.13</v>
      </c>
      <c r="F121" s="1837">
        <v>0.13</v>
      </c>
    </row>
    <row r="122" spans="1:6" ht="14.25" thickBot="1">
      <c r="A122" s="1831" t="s">
        <v>1387</v>
      </c>
      <c r="B122" s="1835" t="s">
        <v>1179</v>
      </c>
      <c r="C122" s="1836">
        <v>0.13</v>
      </c>
      <c r="D122" s="1836">
        <v>0.13</v>
      </c>
      <c r="E122" s="1836">
        <v>0.125</v>
      </c>
      <c r="F122" s="1837">
        <v>0.13</v>
      </c>
    </row>
    <row r="123" spans="1:6" ht="14.25" thickBot="1">
      <c r="A123" s="1831" t="s">
        <v>1387</v>
      </c>
      <c r="B123" s="1835" t="s">
        <v>1189</v>
      </c>
      <c r="C123" s="1836">
        <v>0.129</v>
      </c>
      <c r="D123" s="1836">
        <v>0.129</v>
      </c>
      <c r="E123" s="1836">
        <v>0.123</v>
      </c>
      <c r="F123" s="1837">
        <v>0.13</v>
      </c>
    </row>
    <row r="124" spans="1:6" ht="14.25" thickBot="1">
      <c r="A124" s="1831" t="s">
        <v>1387</v>
      </c>
      <c r="B124" s="1835" t="s">
        <v>1199</v>
      </c>
      <c r="C124" s="1836">
        <v>0.10199999999999999</v>
      </c>
      <c r="D124" s="1836">
        <v>0.10100000000000001</v>
      </c>
      <c r="E124" s="1836">
        <v>0.08</v>
      </c>
      <c r="F124" s="1844"/>
    </row>
    <row r="125" spans="1:6" ht="14.25" thickBot="1">
      <c r="A125" s="1831" t="s">
        <v>1387</v>
      </c>
      <c r="B125" s="1835" t="s">
        <v>1209</v>
      </c>
      <c r="C125" s="1836">
        <v>0.13</v>
      </c>
      <c r="D125" s="1836">
        <v>0.13</v>
      </c>
      <c r="E125" s="1836">
        <v>0.129</v>
      </c>
      <c r="F125" s="1844"/>
    </row>
    <row r="126" spans="1:6" ht="14.25" thickBot="1">
      <c r="A126" s="1831" t="s">
        <v>1387</v>
      </c>
      <c r="B126" s="1835" t="s">
        <v>1219</v>
      </c>
      <c r="C126" s="1836">
        <v>0.13</v>
      </c>
      <c r="D126" s="1836">
        <v>0.13</v>
      </c>
      <c r="E126" s="1836">
        <v>0.126</v>
      </c>
      <c r="F126" s="1844"/>
    </row>
    <row r="127" spans="1:6" ht="14.25" thickBot="1">
      <c r="A127" s="1831" t="s">
        <v>1387</v>
      </c>
      <c r="B127" s="1835" t="s">
        <v>1229</v>
      </c>
      <c r="C127" s="1836">
        <v>0.125</v>
      </c>
      <c r="D127" s="1836">
        <v>0.125</v>
      </c>
      <c r="E127" s="1836">
        <v>0.121</v>
      </c>
      <c r="F127" s="1844"/>
    </row>
    <row r="128" spans="1:6" ht="14.25" thickBot="1">
      <c r="A128" s="1831" t="s">
        <v>1387</v>
      </c>
      <c r="B128" s="1835" t="s">
        <v>1239</v>
      </c>
      <c r="C128" s="1836">
        <v>0.12</v>
      </c>
      <c r="D128" s="1836">
        <v>0.12</v>
      </c>
      <c r="E128" s="1836">
        <v>0.105</v>
      </c>
      <c r="F128" s="1844"/>
    </row>
    <row r="129" spans="1:6" ht="14.25" thickBot="1">
      <c r="A129" s="1831" t="s">
        <v>1387</v>
      </c>
      <c r="B129" s="1835" t="s">
        <v>1248</v>
      </c>
      <c r="C129" s="1836">
        <v>0.13</v>
      </c>
      <c r="D129" s="1836">
        <v>0.13</v>
      </c>
      <c r="E129" s="1836">
        <v>0.126</v>
      </c>
      <c r="F129" s="1844"/>
    </row>
    <row r="130" spans="1:6" ht="14.25" thickBot="1">
      <c r="A130" s="1831" t="s">
        <v>1387</v>
      </c>
      <c r="B130" s="1835" t="s">
        <v>1257</v>
      </c>
      <c r="C130" s="1836">
        <v>0.125</v>
      </c>
      <c r="D130" s="1836">
        <v>0.125</v>
      </c>
      <c r="E130" s="1836">
        <v>0.122</v>
      </c>
      <c r="F130" s="1844"/>
    </row>
    <row r="131" spans="1:6" ht="14.25" thickBot="1">
      <c r="A131" s="1831" t="s">
        <v>1387</v>
      </c>
      <c r="B131" s="1835" t="s">
        <v>1265</v>
      </c>
      <c r="C131" s="1836">
        <v>0.127</v>
      </c>
      <c r="D131" s="1836">
        <v>0.126</v>
      </c>
      <c r="E131" s="1836">
        <v>0.123</v>
      </c>
      <c r="F131" s="1844"/>
    </row>
    <row r="132" spans="1:6" ht="14.25" thickBot="1">
      <c r="A132" s="1831" t="s">
        <v>1387</v>
      </c>
      <c r="B132" s="1835" t="s">
        <v>1272</v>
      </c>
      <c r="C132" s="1836">
        <v>9.0999999999999998E-2</v>
      </c>
      <c r="D132" s="1836">
        <v>0.121</v>
      </c>
      <c r="E132" s="1836">
        <v>9.9000000000000005E-2</v>
      </c>
      <c r="F132" s="1844"/>
    </row>
    <row r="133" spans="1:6" ht="14.25" thickBot="1">
      <c r="A133" s="1831" t="s">
        <v>1387</v>
      </c>
      <c r="B133" s="1835" t="s">
        <v>1279</v>
      </c>
      <c r="C133" s="1836">
        <v>0.13</v>
      </c>
      <c r="D133" s="1836">
        <v>0.13</v>
      </c>
      <c r="E133" s="1836">
        <v>0.129</v>
      </c>
      <c r="F133" s="1844"/>
    </row>
    <row r="134" spans="1:6" ht="14.25" thickBot="1">
      <c r="A134" s="1831" t="s">
        <v>1387</v>
      </c>
      <c r="B134" s="1835" t="s">
        <v>2083</v>
      </c>
      <c r="C134" s="1836">
        <v>6.8000000000000005E-2</v>
      </c>
      <c r="D134" s="1836">
        <v>6.5000000000000002E-2</v>
      </c>
      <c r="E134" s="1836">
        <v>6.5000000000000002E-2</v>
      </c>
      <c r="F134" s="1837">
        <v>0.13</v>
      </c>
    </row>
    <row r="135" spans="1:6" ht="14.25" thickBot="1">
      <c r="A135" s="1831" t="s">
        <v>1387</v>
      </c>
      <c r="B135" s="1835" t="s">
        <v>1293</v>
      </c>
      <c r="C135" s="1836">
        <v>0.123</v>
      </c>
      <c r="D135" s="1836">
        <v>0.123</v>
      </c>
      <c r="E135" s="1836">
        <v>0.11</v>
      </c>
      <c r="F135" s="1844"/>
    </row>
    <row r="136" spans="1:6" ht="14.25" thickBot="1">
      <c r="A136" s="1831" t="s">
        <v>1387</v>
      </c>
      <c r="B136" s="1835" t="s">
        <v>1300</v>
      </c>
      <c r="C136" s="1836">
        <v>0.13</v>
      </c>
      <c r="D136" s="1836">
        <v>0.13</v>
      </c>
      <c r="E136" s="1836">
        <v>0.125</v>
      </c>
      <c r="F136" s="1844"/>
    </row>
    <row r="137" spans="1:6" ht="14.25" thickBot="1">
      <c r="A137" s="1831" t="s">
        <v>1387</v>
      </c>
      <c r="B137" s="1835" t="s">
        <v>1307</v>
      </c>
      <c r="C137" s="1836">
        <v>0.121</v>
      </c>
      <c r="D137" s="1836">
        <v>0.122</v>
      </c>
      <c r="E137" s="1836">
        <v>0.115</v>
      </c>
      <c r="F137" s="1844"/>
    </row>
    <row r="138" spans="1:6" ht="14.25" thickBot="1">
      <c r="A138" s="1831" t="s">
        <v>1387</v>
      </c>
      <c r="B138" s="1835" t="s">
        <v>2084</v>
      </c>
      <c r="C138" s="1836">
        <v>0.105</v>
      </c>
      <c r="D138" s="1836">
        <v>0.125</v>
      </c>
      <c r="E138" s="1836">
        <v>0.112</v>
      </c>
      <c r="F138" s="1844"/>
    </row>
    <row r="139" spans="1:6" ht="14.25" thickBot="1">
      <c r="A139" s="1831" t="s">
        <v>1387</v>
      </c>
      <c r="B139" s="1835" t="s">
        <v>2085</v>
      </c>
      <c r="C139" s="1836">
        <v>0.127</v>
      </c>
      <c r="D139" s="1836">
        <v>0.127</v>
      </c>
      <c r="E139" s="1836">
        <v>0.122</v>
      </c>
      <c r="F139" s="1837">
        <v>0.13</v>
      </c>
    </row>
    <row r="140" spans="1:6" ht="14.25" thickBot="1">
      <c r="A140" s="1831" t="s">
        <v>1387</v>
      </c>
      <c r="B140" s="1835" t="s">
        <v>2086</v>
      </c>
      <c r="C140" s="1836">
        <v>0.125</v>
      </c>
      <c r="D140" s="1836">
        <v>0.125</v>
      </c>
      <c r="E140" s="1836">
        <v>0.11899999999999999</v>
      </c>
      <c r="F140" s="1837">
        <v>0.13</v>
      </c>
    </row>
    <row r="141" spans="1:6" ht="14.25" thickBot="1">
      <c r="A141" s="1831" t="s">
        <v>1387</v>
      </c>
      <c r="B141" s="1835" t="s">
        <v>1326</v>
      </c>
      <c r="C141" s="1836">
        <v>0.125</v>
      </c>
      <c r="D141" s="1836">
        <v>0.125</v>
      </c>
      <c r="E141" s="1836">
        <v>0.11700000000000001</v>
      </c>
      <c r="F141" s="1844"/>
    </row>
    <row r="142" spans="1:6" ht="14.25" thickBot="1">
      <c r="A142" s="1831" t="s">
        <v>1387</v>
      </c>
      <c r="B142" s="1835" t="s">
        <v>1331</v>
      </c>
      <c r="C142" s="1836">
        <v>0.125</v>
      </c>
      <c r="D142" s="1836">
        <v>0.125</v>
      </c>
      <c r="E142" s="1836">
        <v>0.115</v>
      </c>
      <c r="F142" s="1844"/>
    </row>
    <row r="143" spans="1:6" ht="14.25" thickBot="1">
      <c r="A143" s="1831" t="s">
        <v>1387</v>
      </c>
      <c r="B143" s="1835" t="s">
        <v>1336</v>
      </c>
      <c r="C143" s="1836">
        <v>0.121</v>
      </c>
      <c r="D143" s="1836">
        <v>0.121</v>
      </c>
      <c r="E143" s="1836">
        <v>0.108</v>
      </c>
      <c r="F143" s="1844"/>
    </row>
    <row r="144" spans="1:6" ht="14.25" thickBot="1">
      <c r="A144" s="1831" t="s">
        <v>1387</v>
      </c>
      <c r="B144" s="1848" t="s">
        <v>2087</v>
      </c>
      <c r="C144" s="1849">
        <v>0.126</v>
      </c>
      <c r="D144" s="1849">
        <v>0.126</v>
      </c>
      <c r="E144" s="1849">
        <v>0.121</v>
      </c>
      <c r="F144" s="1844"/>
    </row>
    <row r="145" spans="1:6" ht="14.25" thickBot="1">
      <c r="A145" s="1839" t="s">
        <v>1387</v>
      </c>
      <c r="B145" s="1850" t="s">
        <v>2088</v>
      </c>
      <c r="C145" s="1851"/>
      <c r="D145" s="1851"/>
      <c r="E145" s="1851"/>
      <c r="F145" s="1852">
        <v>0.05</v>
      </c>
    </row>
    <row r="146" spans="1:6" ht="24.75" thickBot="1">
      <c r="A146" s="1853" t="s">
        <v>1387</v>
      </c>
      <c r="B146" s="1838" t="s">
        <v>2089</v>
      </c>
      <c r="C146" s="1845"/>
      <c r="D146" s="1845"/>
      <c r="E146" s="1845"/>
      <c r="F146" s="1854">
        <v>0.05</v>
      </c>
    </row>
    <row r="147" spans="1:6" ht="24.75" thickBot="1">
      <c r="A147" s="1831" t="s">
        <v>1387</v>
      </c>
      <c r="B147" s="1835" t="s">
        <v>2090</v>
      </c>
      <c r="C147" s="1845"/>
      <c r="D147" s="1845"/>
      <c r="E147" s="1845"/>
      <c r="F147" s="1837">
        <v>0.05</v>
      </c>
    </row>
    <row r="148" spans="1:6" ht="24.75" thickBot="1">
      <c r="A148" s="1831" t="s">
        <v>1387</v>
      </c>
      <c r="B148" s="1835" t="s">
        <v>2091</v>
      </c>
      <c r="C148" s="1845"/>
      <c r="D148" s="1845"/>
      <c r="E148" s="1845"/>
      <c r="F148" s="1837">
        <v>0.05</v>
      </c>
    </row>
    <row r="149" spans="1:6" ht="24.75" thickBot="1">
      <c r="A149" s="1831" t="s">
        <v>1387</v>
      </c>
      <c r="B149" s="1835" t="s">
        <v>2092</v>
      </c>
      <c r="C149" s="1845"/>
      <c r="D149" s="1845"/>
      <c r="E149" s="1845"/>
      <c r="F149" s="1837">
        <v>0.05</v>
      </c>
    </row>
    <row r="150" spans="1:6" ht="24.75" thickBot="1">
      <c r="A150" s="1831" t="s">
        <v>1387</v>
      </c>
      <c r="B150" s="1835" t="s">
        <v>2093</v>
      </c>
      <c r="C150" s="1845"/>
      <c r="D150" s="1845"/>
      <c r="E150" s="1845"/>
      <c r="F150" s="1837">
        <v>0.05</v>
      </c>
    </row>
    <row r="151" spans="1:6" ht="24.75" thickBot="1">
      <c r="A151" s="1831" t="s">
        <v>1387</v>
      </c>
      <c r="B151" s="1835" t="s">
        <v>2094</v>
      </c>
      <c r="C151" s="1845"/>
      <c r="D151" s="1845"/>
      <c r="E151" s="1845"/>
      <c r="F151" s="1837">
        <v>0.05</v>
      </c>
    </row>
    <row r="152" spans="1:6" ht="24.75" thickBot="1">
      <c r="A152" s="1831" t="s">
        <v>1387</v>
      </c>
      <c r="B152" s="1835" t="s">
        <v>1369</v>
      </c>
      <c r="C152" s="1845"/>
      <c r="D152" s="1845"/>
      <c r="E152" s="1845"/>
      <c r="F152" s="1837">
        <v>0.05</v>
      </c>
    </row>
    <row r="153" spans="1:6" ht="14.25" thickBot="1">
      <c r="A153" s="1831" t="s">
        <v>1387</v>
      </c>
      <c r="B153" s="1835" t="s">
        <v>2095</v>
      </c>
      <c r="C153" s="1845"/>
      <c r="D153" s="1845"/>
      <c r="E153" s="1845"/>
      <c r="F153" s="1837">
        <v>0.05</v>
      </c>
    </row>
    <row r="154" spans="1:6" ht="14.25" thickBot="1">
      <c r="A154" s="1831" t="s">
        <v>1387</v>
      </c>
      <c r="B154" s="1835" t="s">
        <v>2096</v>
      </c>
      <c r="C154" s="1845"/>
      <c r="D154" s="1845"/>
      <c r="E154" s="1845"/>
      <c r="F154" s="1837">
        <v>0.05</v>
      </c>
    </row>
    <row r="155" spans="1:6" ht="24.75" thickBot="1">
      <c r="A155" s="1831" t="s">
        <v>1387</v>
      </c>
      <c r="B155" s="1835" t="s">
        <v>2097</v>
      </c>
      <c r="C155" s="1845"/>
      <c r="D155" s="1845"/>
      <c r="E155" s="1845"/>
      <c r="F155" s="1837">
        <v>0.05</v>
      </c>
    </row>
    <row r="156" spans="1:6" ht="24.75" thickBot="1">
      <c r="A156" s="1831" t="s">
        <v>1387</v>
      </c>
      <c r="B156" s="1835" t="s">
        <v>2098</v>
      </c>
      <c r="C156" s="1845"/>
      <c r="D156" s="1845"/>
      <c r="E156" s="1845"/>
      <c r="F156" s="1837">
        <v>0.05</v>
      </c>
    </row>
    <row r="157" spans="1:6" ht="14.25" thickBot="1">
      <c r="A157" s="1839" t="s">
        <v>1387</v>
      </c>
      <c r="B157" s="1846" t="s">
        <v>2099</v>
      </c>
      <c r="C157" s="1842"/>
      <c r="D157" s="1842"/>
      <c r="E157" s="1842"/>
      <c r="F157" s="1847">
        <v>0.05</v>
      </c>
    </row>
    <row r="158" spans="1:6" ht="14.25" thickBot="1">
      <c r="A158" s="1831" t="s">
        <v>1389</v>
      </c>
      <c r="B158" s="1832" t="s">
        <v>2100</v>
      </c>
      <c r="C158" s="1833">
        <v>0.13</v>
      </c>
      <c r="D158" s="1833">
        <v>0.13</v>
      </c>
      <c r="E158" s="1833">
        <v>0.13</v>
      </c>
      <c r="F158" s="1834">
        <v>0.13</v>
      </c>
    </row>
    <row r="159" spans="1:6" ht="14.25" thickBot="1">
      <c r="A159" s="1831" t="s">
        <v>1389</v>
      </c>
      <c r="B159" s="1835" t="s">
        <v>1054</v>
      </c>
      <c r="C159" s="1836">
        <v>0.13</v>
      </c>
      <c r="D159" s="1836">
        <v>0.13</v>
      </c>
      <c r="E159" s="1836">
        <v>0.13</v>
      </c>
      <c r="F159" s="1837">
        <v>0.13</v>
      </c>
    </row>
    <row r="160" spans="1:6" ht="14.25" thickBot="1">
      <c r="A160" s="1831" t="s">
        <v>1389</v>
      </c>
      <c r="B160" s="1835" t="s">
        <v>1068</v>
      </c>
      <c r="C160" s="1836">
        <v>0.13</v>
      </c>
      <c r="D160" s="1836">
        <v>0.13</v>
      </c>
      <c r="E160" s="1836">
        <v>0.129</v>
      </c>
      <c r="F160" s="1837">
        <v>0.13</v>
      </c>
    </row>
    <row r="161" spans="1:6" ht="14.25" thickBot="1">
      <c r="A161" s="1831" t="s">
        <v>1389</v>
      </c>
      <c r="B161" s="1835" t="s">
        <v>1081</v>
      </c>
      <c r="C161" s="1836">
        <v>0.128</v>
      </c>
      <c r="D161" s="1836">
        <v>0.128</v>
      </c>
      <c r="E161" s="1836">
        <v>0.125</v>
      </c>
      <c r="F161" s="1837">
        <v>0.13</v>
      </c>
    </row>
    <row r="162" spans="1:6" ht="14.25" thickBot="1">
      <c r="A162" s="1831" t="s">
        <v>1389</v>
      </c>
      <c r="B162" s="1835" t="s">
        <v>1095</v>
      </c>
      <c r="C162" s="1836">
        <v>0.122</v>
      </c>
      <c r="D162" s="1836">
        <v>0.122</v>
      </c>
      <c r="E162" s="1836">
        <v>0.126</v>
      </c>
      <c r="F162" s="1837">
        <v>0.122</v>
      </c>
    </row>
    <row r="163" spans="1:6" ht="14.25" thickBot="1">
      <c r="A163" s="1831" t="s">
        <v>1389</v>
      </c>
      <c r="B163" s="1835" t="s">
        <v>1106</v>
      </c>
      <c r="C163" s="1836">
        <v>0.13</v>
      </c>
      <c r="D163" s="1836">
        <v>0.13</v>
      </c>
      <c r="E163" s="1836">
        <v>0.125</v>
      </c>
      <c r="F163" s="1837">
        <v>0.13</v>
      </c>
    </row>
    <row r="164" spans="1:6" ht="14.25" thickBot="1">
      <c r="A164" s="1831" t="s">
        <v>1389</v>
      </c>
      <c r="B164" s="1835" t="s">
        <v>1117</v>
      </c>
      <c r="C164" s="1836">
        <v>0.13</v>
      </c>
      <c r="D164" s="1836">
        <v>0.13</v>
      </c>
      <c r="E164" s="1836">
        <v>0.13</v>
      </c>
      <c r="F164" s="1837">
        <v>0.13</v>
      </c>
    </row>
    <row r="165" spans="1:6" ht="14.25" thickBot="1">
      <c r="A165" s="1831" t="s">
        <v>1389</v>
      </c>
      <c r="B165" s="1835" t="s">
        <v>1128</v>
      </c>
      <c r="C165" s="1836">
        <v>0.13</v>
      </c>
      <c r="D165" s="1836">
        <v>0.13</v>
      </c>
      <c r="E165" s="1836">
        <v>0.124</v>
      </c>
      <c r="F165" s="1837">
        <v>0.13</v>
      </c>
    </row>
    <row r="166" spans="1:6" ht="14.25" thickBot="1">
      <c r="A166" s="1831" t="s">
        <v>1389</v>
      </c>
      <c r="B166" s="1835" t="s">
        <v>1140</v>
      </c>
      <c r="C166" s="1836">
        <v>0.13</v>
      </c>
      <c r="D166" s="1836">
        <v>0.13</v>
      </c>
      <c r="E166" s="1836">
        <v>0.13</v>
      </c>
      <c r="F166" s="1837">
        <v>0.13</v>
      </c>
    </row>
    <row r="167" spans="1:6" ht="14.25" thickBot="1">
      <c r="A167" s="1831" t="s">
        <v>1389</v>
      </c>
      <c r="B167" s="1835" t="s">
        <v>1150</v>
      </c>
      <c r="C167" s="1836">
        <v>0.125</v>
      </c>
      <c r="D167" s="1836">
        <v>0.125</v>
      </c>
      <c r="E167" s="1836">
        <v>0.121</v>
      </c>
      <c r="F167" s="1844"/>
    </row>
    <row r="168" spans="1:6" ht="14.25" thickBot="1">
      <c r="A168" s="1831" t="s">
        <v>1389</v>
      </c>
      <c r="B168" s="1835" t="s">
        <v>1160</v>
      </c>
      <c r="C168" s="1836">
        <v>0.13</v>
      </c>
      <c r="D168" s="1836">
        <v>0.13</v>
      </c>
      <c r="E168" s="1836">
        <v>0.126</v>
      </c>
      <c r="F168" s="1844"/>
    </row>
    <row r="169" spans="1:6" ht="14.25" thickBot="1">
      <c r="A169" s="1831" t="s">
        <v>1389</v>
      </c>
      <c r="B169" s="1835" t="s">
        <v>1170</v>
      </c>
      <c r="C169" s="1836">
        <v>0.128</v>
      </c>
      <c r="D169" s="1836">
        <v>0.129</v>
      </c>
      <c r="E169" s="1836">
        <v>0.13</v>
      </c>
      <c r="F169" s="1844"/>
    </row>
    <row r="170" spans="1:6" ht="14.25" thickBot="1">
      <c r="A170" s="1831" t="s">
        <v>1389</v>
      </c>
      <c r="B170" s="1835" t="s">
        <v>1180</v>
      </c>
      <c r="C170" s="1836">
        <v>0.14099999999999999</v>
      </c>
      <c r="D170" s="1836">
        <v>0.13</v>
      </c>
      <c r="E170" s="1836">
        <v>0.125</v>
      </c>
      <c r="F170" s="1844"/>
    </row>
    <row r="171" spans="1:6" ht="14.25" thickBot="1">
      <c r="A171" s="1831" t="s">
        <v>1389</v>
      </c>
      <c r="B171" s="1835" t="s">
        <v>2101</v>
      </c>
      <c r="C171" s="1836">
        <v>0.127</v>
      </c>
      <c r="D171" s="1836">
        <v>0.126</v>
      </c>
      <c r="E171" s="1836">
        <v>0.126</v>
      </c>
      <c r="F171" s="1837">
        <v>0.11799999999999999</v>
      </c>
    </row>
    <row r="172" spans="1:6" ht="14.25" thickBot="1">
      <c r="A172" s="1831" t="s">
        <v>1389</v>
      </c>
      <c r="B172" s="1835" t="s">
        <v>2102</v>
      </c>
      <c r="C172" s="1836">
        <v>0.13</v>
      </c>
      <c r="D172" s="1836">
        <v>0.13</v>
      </c>
      <c r="E172" s="1836">
        <v>0.13</v>
      </c>
      <c r="F172" s="1844"/>
    </row>
    <row r="173" spans="1:6" ht="14.25" thickBot="1">
      <c r="A173" s="1831" t="s">
        <v>1389</v>
      </c>
      <c r="B173" s="1835" t="s">
        <v>1210</v>
      </c>
      <c r="C173" s="1836">
        <v>0.13</v>
      </c>
      <c r="D173" s="1836">
        <v>0.13</v>
      </c>
      <c r="E173" s="1836">
        <v>0.13</v>
      </c>
      <c r="F173" s="1844"/>
    </row>
    <row r="174" spans="1:6" ht="14.25" thickBot="1">
      <c r="A174" s="1831" t="s">
        <v>1389</v>
      </c>
      <c r="B174" s="1835" t="s">
        <v>2103</v>
      </c>
      <c r="C174" s="1836">
        <v>0.13</v>
      </c>
      <c r="D174" s="1836">
        <v>0.13</v>
      </c>
      <c r="E174" s="1836">
        <v>0.13</v>
      </c>
      <c r="F174" s="1837">
        <v>0.13</v>
      </c>
    </row>
    <row r="175" spans="1:6" ht="14.25" thickBot="1">
      <c r="A175" s="1831" t="s">
        <v>1389</v>
      </c>
      <c r="B175" s="1835" t="s">
        <v>2104</v>
      </c>
      <c r="C175" s="1836">
        <v>0.13</v>
      </c>
      <c r="D175" s="1836">
        <v>0.13</v>
      </c>
      <c r="E175" s="1836">
        <v>0.13</v>
      </c>
      <c r="F175" s="1837">
        <v>0.13</v>
      </c>
    </row>
    <row r="176" spans="1:6" ht="14.25" thickBot="1">
      <c r="A176" s="1831" t="s">
        <v>1389</v>
      </c>
      <c r="B176" s="1835" t="s">
        <v>1240</v>
      </c>
      <c r="C176" s="1836">
        <v>0.13</v>
      </c>
      <c r="D176" s="1836">
        <v>0.13</v>
      </c>
      <c r="E176" s="1836">
        <v>0.13</v>
      </c>
      <c r="F176" s="1837">
        <v>0.13</v>
      </c>
    </row>
    <row r="177" spans="1:6" ht="14.25" thickBot="1">
      <c r="A177" s="1831" t="s">
        <v>1389</v>
      </c>
      <c r="B177" s="1835" t="s">
        <v>2105</v>
      </c>
      <c r="C177" s="1836">
        <v>0.13</v>
      </c>
      <c r="D177" s="1836">
        <v>0.13</v>
      </c>
      <c r="E177" s="1836">
        <v>0.13</v>
      </c>
      <c r="F177" s="1837">
        <v>0.13</v>
      </c>
    </row>
    <row r="178" spans="1:6" ht="14.25" thickBot="1">
      <c r="A178" s="1831" t="s">
        <v>1389</v>
      </c>
      <c r="B178" s="1835" t="s">
        <v>1258</v>
      </c>
      <c r="C178" s="1836">
        <v>0.13</v>
      </c>
      <c r="D178" s="1836">
        <v>0.13</v>
      </c>
      <c r="E178" s="1836">
        <v>0.13</v>
      </c>
      <c r="F178" s="1837">
        <v>0.127</v>
      </c>
    </row>
    <row r="179" spans="1:6" ht="14.25" thickBot="1">
      <c r="A179" s="1831" t="s">
        <v>1389</v>
      </c>
      <c r="B179" s="1835" t="s">
        <v>1266</v>
      </c>
      <c r="C179" s="1836">
        <v>0.13</v>
      </c>
      <c r="D179" s="1836">
        <v>0.13</v>
      </c>
      <c r="E179" s="1836">
        <v>0.13</v>
      </c>
      <c r="F179" s="1844"/>
    </row>
    <row r="180" spans="1:6" ht="14.25" thickBot="1">
      <c r="A180" s="1831" t="s">
        <v>1389</v>
      </c>
      <c r="B180" s="1835" t="s">
        <v>2106</v>
      </c>
      <c r="C180" s="1836">
        <v>0.13</v>
      </c>
      <c r="D180" s="1836">
        <v>0.13</v>
      </c>
      <c r="E180" s="1836">
        <v>0.125</v>
      </c>
      <c r="F180" s="1837">
        <v>0.13</v>
      </c>
    </row>
    <row r="181" spans="1:6" ht="14.25" thickBot="1">
      <c r="A181" s="1831" t="s">
        <v>1389</v>
      </c>
      <c r="B181" s="1835" t="s">
        <v>1280</v>
      </c>
      <c r="C181" s="1836">
        <v>0.122</v>
      </c>
      <c r="D181" s="1836">
        <v>0.123</v>
      </c>
      <c r="E181" s="1836">
        <v>0.126</v>
      </c>
      <c r="F181" s="1837">
        <v>0.121</v>
      </c>
    </row>
    <row r="182" spans="1:6" ht="14.25" thickBot="1">
      <c r="A182" s="1831" t="s">
        <v>1389</v>
      </c>
      <c r="B182" s="1835" t="s">
        <v>1287</v>
      </c>
      <c r="C182" s="1836">
        <v>0.125</v>
      </c>
      <c r="D182" s="1836">
        <v>0.125</v>
      </c>
      <c r="E182" s="1836">
        <v>0.11700000000000001</v>
      </c>
      <c r="F182" s="1837">
        <v>0.13</v>
      </c>
    </row>
    <row r="183" spans="1:6" ht="14.25" thickBot="1">
      <c r="A183" s="1831" t="s">
        <v>1389</v>
      </c>
      <c r="B183" s="1835" t="s">
        <v>1294</v>
      </c>
      <c r="C183" s="1836">
        <v>0.127</v>
      </c>
      <c r="D183" s="1836">
        <v>0.127</v>
      </c>
      <c r="E183" s="1836">
        <v>0.128</v>
      </c>
      <c r="F183" s="1844"/>
    </row>
    <row r="184" spans="1:6" ht="14.25" thickBot="1">
      <c r="A184" s="1831" t="s">
        <v>1389</v>
      </c>
      <c r="B184" s="1835" t="s">
        <v>1301</v>
      </c>
      <c r="C184" s="1836">
        <v>0.125</v>
      </c>
      <c r="D184" s="1836">
        <v>0.125</v>
      </c>
      <c r="E184" s="1836">
        <v>0.127</v>
      </c>
      <c r="F184" s="1844"/>
    </row>
    <row r="185" spans="1:6" ht="14.25" thickBot="1">
      <c r="A185" s="1831" t="s">
        <v>1389</v>
      </c>
      <c r="B185" s="1835" t="s">
        <v>2107</v>
      </c>
      <c r="C185" s="1836">
        <v>0.127</v>
      </c>
      <c r="D185" s="1836">
        <v>0.127</v>
      </c>
      <c r="E185" s="1836">
        <v>0.128</v>
      </c>
      <c r="F185" s="1837">
        <v>0.13</v>
      </c>
    </row>
    <row r="186" spans="1:6" ht="24.75" thickBot="1">
      <c r="A186" s="1831" t="s">
        <v>1389</v>
      </c>
      <c r="B186" s="1835" t="s">
        <v>2108</v>
      </c>
      <c r="C186" s="1845"/>
      <c r="D186" s="1845"/>
      <c r="E186" s="1845"/>
      <c r="F186" s="1837">
        <v>0.05</v>
      </c>
    </row>
    <row r="187" spans="1:6" ht="14.25" thickBot="1">
      <c r="A187" s="1831" t="s">
        <v>1389</v>
      </c>
      <c r="B187" s="1835" t="s">
        <v>2109</v>
      </c>
      <c r="C187" s="1845"/>
      <c r="D187" s="1845"/>
      <c r="E187" s="1845"/>
      <c r="F187" s="1837">
        <v>0.05</v>
      </c>
    </row>
    <row r="188" spans="1:6" ht="24.75" thickBot="1">
      <c r="A188" s="1831" t="s">
        <v>1389</v>
      </c>
      <c r="B188" s="1835" t="s">
        <v>2110</v>
      </c>
      <c r="C188" s="1845"/>
      <c r="D188" s="1845"/>
      <c r="E188" s="1845"/>
      <c r="F188" s="1837">
        <v>0.05</v>
      </c>
    </row>
    <row r="189" spans="1:6" ht="24.75" thickBot="1">
      <c r="A189" s="1831" t="s">
        <v>1389</v>
      </c>
      <c r="B189" s="1835" t="s">
        <v>2111</v>
      </c>
      <c r="C189" s="1845"/>
      <c r="D189" s="1845"/>
      <c r="E189" s="1845"/>
      <c r="F189" s="1837">
        <v>0.05</v>
      </c>
    </row>
    <row r="190" spans="1:6" ht="24.75" thickBot="1">
      <c r="A190" s="1831" t="s">
        <v>1389</v>
      </c>
      <c r="B190" s="1835" t="s">
        <v>2112</v>
      </c>
      <c r="C190" s="1845"/>
      <c r="D190" s="1845"/>
      <c r="E190" s="1845"/>
      <c r="F190" s="1837">
        <v>0.05</v>
      </c>
    </row>
    <row r="191" spans="1:6" ht="24.75" thickBot="1">
      <c r="A191" s="1831" t="s">
        <v>1389</v>
      </c>
      <c r="B191" s="1835" t="s">
        <v>2113</v>
      </c>
      <c r="C191" s="1845"/>
      <c r="D191" s="1845"/>
      <c r="E191" s="1845"/>
      <c r="F191" s="1837">
        <v>0.05</v>
      </c>
    </row>
    <row r="192" spans="1:6" ht="24.75" thickBot="1">
      <c r="A192" s="1831" t="s">
        <v>1389</v>
      </c>
      <c r="B192" s="1835" t="s">
        <v>2114</v>
      </c>
      <c r="C192" s="1845"/>
      <c r="D192" s="1845"/>
      <c r="E192" s="1845"/>
      <c r="F192" s="1837">
        <v>0.05</v>
      </c>
    </row>
    <row r="193" spans="1:6" ht="24.75" thickBot="1">
      <c r="A193" s="1831" t="s">
        <v>1389</v>
      </c>
      <c r="B193" s="1835" t="s">
        <v>2115</v>
      </c>
      <c r="C193" s="1845"/>
      <c r="D193" s="1845"/>
      <c r="E193" s="1845"/>
      <c r="F193" s="1837">
        <v>0.05</v>
      </c>
    </row>
    <row r="194" spans="1:6" ht="24.75" thickBot="1">
      <c r="A194" s="1831" t="s">
        <v>1389</v>
      </c>
      <c r="B194" s="1835" t="s">
        <v>2116</v>
      </c>
      <c r="C194" s="1845"/>
      <c r="D194" s="1845"/>
      <c r="E194" s="1845"/>
      <c r="F194" s="1837">
        <v>0.05</v>
      </c>
    </row>
    <row r="195" spans="1:6" ht="14.25" thickBot="1">
      <c r="A195" s="1831" t="s">
        <v>1389</v>
      </c>
      <c r="B195" s="1835" t="s">
        <v>2117</v>
      </c>
      <c r="C195" s="1845"/>
      <c r="D195" s="1845"/>
      <c r="E195" s="1845"/>
      <c r="F195" s="1837">
        <v>0.05</v>
      </c>
    </row>
    <row r="196" spans="1:6" ht="24.75" thickBot="1">
      <c r="A196" s="1831" t="s">
        <v>1389</v>
      </c>
      <c r="B196" s="1835" t="s">
        <v>2118</v>
      </c>
      <c r="C196" s="1845"/>
      <c r="D196" s="1845"/>
      <c r="E196" s="1845"/>
      <c r="F196" s="1837">
        <v>0.05</v>
      </c>
    </row>
    <row r="197" spans="1:6" ht="24.75" thickBot="1">
      <c r="A197" s="1831" t="s">
        <v>1389</v>
      </c>
      <c r="B197" s="1835" t="s">
        <v>2119</v>
      </c>
      <c r="C197" s="1845"/>
      <c r="D197" s="1845"/>
      <c r="E197" s="1845"/>
      <c r="F197" s="1837">
        <v>0.05</v>
      </c>
    </row>
    <row r="198" spans="1:6" ht="24.75" thickBot="1">
      <c r="A198" s="1831" t="s">
        <v>1389</v>
      </c>
      <c r="B198" s="1835" t="s">
        <v>2120</v>
      </c>
      <c r="C198" s="1845"/>
      <c r="D198" s="1845"/>
      <c r="E198" s="1845"/>
      <c r="F198" s="1837">
        <v>0.05</v>
      </c>
    </row>
    <row r="199" spans="1:6" ht="24.75" thickBot="1">
      <c r="A199" s="1831" t="s">
        <v>1389</v>
      </c>
      <c r="B199" s="1835" t="s">
        <v>2121</v>
      </c>
      <c r="C199" s="1845"/>
      <c r="D199" s="1845"/>
      <c r="E199" s="1845"/>
      <c r="F199" s="1837">
        <v>0.05</v>
      </c>
    </row>
    <row r="200" spans="1:6" ht="24.75" thickBot="1">
      <c r="A200" s="1831" t="s">
        <v>1389</v>
      </c>
      <c r="B200" s="1835" t="s">
        <v>2122</v>
      </c>
      <c r="C200" s="1845"/>
      <c r="D200" s="1845"/>
      <c r="E200" s="1845"/>
      <c r="F200" s="1837">
        <v>0.05</v>
      </c>
    </row>
    <row r="201" spans="1:6" ht="24.75" thickBot="1">
      <c r="A201" s="1831" t="s">
        <v>1389</v>
      </c>
      <c r="B201" s="1835" t="s">
        <v>2123</v>
      </c>
      <c r="C201" s="1845"/>
      <c r="D201" s="1845"/>
      <c r="E201" s="1845"/>
      <c r="F201" s="1837">
        <v>0.05</v>
      </c>
    </row>
    <row r="202" spans="1:6" ht="24.75" thickBot="1">
      <c r="A202" s="1831" t="s">
        <v>1389</v>
      </c>
      <c r="B202" s="1835" t="s">
        <v>2124</v>
      </c>
      <c r="C202" s="1845"/>
      <c r="D202" s="1845"/>
      <c r="E202" s="1845"/>
      <c r="F202" s="1837">
        <v>0.05</v>
      </c>
    </row>
    <row r="203" spans="1:6" ht="24.75" thickBot="1">
      <c r="A203" s="1831" t="s">
        <v>1389</v>
      </c>
      <c r="B203" s="1835" t="s">
        <v>2125</v>
      </c>
      <c r="C203" s="1845"/>
      <c r="D203" s="1845"/>
      <c r="E203" s="1845"/>
      <c r="F203" s="1837">
        <v>0.05</v>
      </c>
    </row>
    <row r="204" spans="1:6" ht="14.25" thickBot="1">
      <c r="A204" s="1831" t="s">
        <v>1389</v>
      </c>
      <c r="B204" s="1835" t="s">
        <v>2126</v>
      </c>
      <c r="C204" s="1845"/>
      <c r="D204" s="1845"/>
      <c r="E204" s="1845"/>
      <c r="F204" s="1837">
        <v>0.05</v>
      </c>
    </row>
    <row r="205" spans="1:6" ht="14.25" thickBot="1">
      <c r="A205" s="1839" t="s">
        <v>1389</v>
      </c>
      <c r="B205" s="1846" t="s">
        <v>2127</v>
      </c>
      <c r="C205" s="1842"/>
      <c r="D205" s="1842"/>
      <c r="E205" s="1842"/>
      <c r="F205" s="1847">
        <v>0.05</v>
      </c>
    </row>
    <row r="206" spans="1:6" ht="14.25" thickBot="1">
      <c r="A206" s="1831" t="s">
        <v>1391</v>
      </c>
      <c r="B206" s="1832" t="s">
        <v>2128</v>
      </c>
      <c r="C206" s="1833">
        <v>0.15</v>
      </c>
      <c r="D206" s="1833">
        <v>0.15</v>
      </c>
      <c r="E206" s="1833">
        <v>0.15</v>
      </c>
      <c r="F206" s="1834">
        <v>0.15</v>
      </c>
    </row>
    <row r="207" spans="1:6" ht="14.25" thickBot="1">
      <c r="A207" s="1831" t="s">
        <v>1391</v>
      </c>
      <c r="B207" s="1835" t="s">
        <v>1055</v>
      </c>
      <c r="C207" s="1836">
        <v>0.15</v>
      </c>
      <c r="D207" s="1836">
        <v>0.15</v>
      </c>
      <c r="E207" s="1836">
        <v>0.15</v>
      </c>
      <c r="F207" s="1837">
        <v>0.14399999999999999</v>
      </c>
    </row>
    <row r="208" spans="1:6" ht="14.25" thickBot="1">
      <c r="A208" s="1831" t="s">
        <v>1391</v>
      </c>
      <c r="B208" s="1835" t="s">
        <v>1069</v>
      </c>
      <c r="C208" s="1836">
        <v>0.15</v>
      </c>
      <c r="D208" s="1836">
        <v>0.15</v>
      </c>
      <c r="E208" s="1836">
        <v>0.15</v>
      </c>
      <c r="F208" s="1837">
        <v>0.15</v>
      </c>
    </row>
    <row r="209" spans="1:6" ht="14.25" thickBot="1">
      <c r="A209" s="1831" t="s">
        <v>1391</v>
      </c>
      <c r="B209" s="1835" t="s">
        <v>1082</v>
      </c>
      <c r="C209" s="1836">
        <v>0.13700000000000001</v>
      </c>
      <c r="D209" s="1836">
        <v>0.13700000000000001</v>
      </c>
      <c r="E209" s="1836">
        <v>0.14000000000000001</v>
      </c>
      <c r="F209" s="1837">
        <v>0.11700000000000001</v>
      </c>
    </row>
    <row r="210" spans="1:6" ht="14.25" thickBot="1">
      <c r="A210" s="1831" t="s">
        <v>1391</v>
      </c>
      <c r="B210" s="1835" t="s">
        <v>2129</v>
      </c>
      <c r="C210" s="1836">
        <v>0.15</v>
      </c>
      <c r="D210" s="1836">
        <v>0.15</v>
      </c>
      <c r="E210" s="1836">
        <v>0.15</v>
      </c>
      <c r="F210" s="1837">
        <v>0.13800000000000001</v>
      </c>
    </row>
    <row r="211" spans="1:6" ht="14.25" thickBot="1">
      <c r="A211" s="1831" t="s">
        <v>1391</v>
      </c>
      <c r="B211" s="1835" t="s">
        <v>2130</v>
      </c>
      <c r="C211" s="1836">
        <v>0.13700000000000001</v>
      </c>
      <c r="D211" s="1836">
        <v>0.13500000000000001</v>
      </c>
      <c r="E211" s="1836">
        <v>0.13600000000000001</v>
      </c>
      <c r="F211" s="1837">
        <v>0.1</v>
      </c>
    </row>
    <row r="212" spans="1:6" ht="14.25" thickBot="1">
      <c r="A212" s="1831" t="s">
        <v>1391</v>
      </c>
      <c r="B212" s="1835" t="s">
        <v>2131</v>
      </c>
      <c r="C212" s="1836">
        <v>0.15</v>
      </c>
      <c r="D212" s="1836">
        <v>0.15</v>
      </c>
      <c r="E212" s="1836">
        <v>0.14799999999999999</v>
      </c>
      <c r="F212" s="1837">
        <v>0.13600000000000001</v>
      </c>
    </row>
    <row r="213" spans="1:6" ht="14.25" thickBot="1">
      <c r="A213" s="1831" t="s">
        <v>1391</v>
      </c>
      <c r="B213" s="1835" t="s">
        <v>1129</v>
      </c>
      <c r="C213" s="1836">
        <v>0.15</v>
      </c>
      <c r="D213" s="1836">
        <v>0.15</v>
      </c>
      <c r="E213" s="1836">
        <v>0.15</v>
      </c>
      <c r="F213" s="1837">
        <v>0.13800000000000001</v>
      </c>
    </row>
    <row r="214" spans="1:6" ht="14.25" thickBot="1">
      <c r="A214" s="1831" t="s">
        <v>1391</v>
      </c>
      <c r="B214" s="1835" t="s">
        <v>1141</v>
      </c>
      <c r="C214" s="1836">
        <v>9.0999999999999998E-2</v>
      </c>
      <c r="D214" s="1836">
        <v>0.09</v>
      </c>
      <c r="E214" s="1836">
        <v>9.1999999999999998E-2</v>
      </c>
      <c r="F214" s="1844"/>
    </row>
    <row r="215" spans="1:6" ht="14.25" thickBot="1">
      <c r="A215" s="1831" t="s">
        <v>1391</v>
      </c>
      <c r="B215" s="1835" t="s">
        <v>2132</v>
      </c>
      <c r="C215" s="1836">
        <v>0.15</v>
      </c>
      <c r="D215" s="1836">
        <v>0.15</v>
      </c>
      <c r="E215" s="1836">
        <v>0.15</v>
      </c>
      <c r="F215" s="1837">
        <v>0.15</v>
      </c>
    </row>
    <row r="216" spans="1:6" ht="14.25" thickBot="1">
      <c r="A216" s="1831" t="s">
        <v>1391</v>
      </c>
      <c r="B216" s="1835" t="s">
        <v>1161</v>
      </c>
      <c r="C216" s="1836">
        <v>0.14699999999999999</v>
      </c>
      <c r="D216" s="1836">
        <v>0.14699999999999999</v>
      </c>
      <c r="E216" s="1836">
        <v>0.15</v>
      </c>
      <c r="F216" s="1837">
        <v>0.14000000000000001</v>
      </c>
    </row>
    <row r="217" spans="1:6" ht="14.25" thickBot="1">
      <c r="A217" s="1831" t="s">
        <v>1391</v>
      </c>
      <c r="B217" s="1835" t="s">
        <v>1171</v>
      </c>
      <c r="C217" s="1836">
        <v>0.15</v>
      </c>
      <c r="D217" s="1836">
        <v>0.15</v>
      </c>
      <c r="E217" s="1836">
        <v>0.15</v>
      </c>
      <c r="F217" s="1837">
        <v>0.15</v>
      </c>
    </row>
    <row r="218" spans="1:6" ht="14.25" thickBot="1">
      <c r="A218" s="1831" t="s">
        <v>1391</v>
      </c>
      <c r="B218" s="1835" t="s">
        <v>2133</v>
      </c>
      <c r="C218" s="1836">
        <v>0.15</v>
      </c>
      <c r="D218" s="1836">
        <v>0.15</v>
      </c>
      <c r="E218" s="1836">
        <v>0.15</v>
      </c>
      <c r="F218" s="1837">
        <v>0.15</v>
      </c>
    </row>
    <row r="219" spans="1:6" ht="14.25" thickBot="1">
      <c r="A219" s="1831" t="s">
        <v>1391</v>
      </c>
      <c r="B219" s="1835" t="s">
        <v>1191</v>
      </c>
      <c r="C219" s="1836">
        <v>0.15</v>
      </c>
      <c r="D219" s="1836">
        <v>0.15</v>
      </c>
      <c r="E219" s="1836">
        <v>0.15</v>
      </c>
      <c r="F219" s="1837">
        <v>0.14799999999999999</v>
      </c>
    </row>
    <row r="220" spans="1:6" ht="14.25" thickBot="1">
      <c r="A220" s="1831" t="s">
        <v>1391</v>
      </c>
      <c r="B220" s="1835" t="s">
        <v>2134</v>
      </c>
      <c r="C220" s="1836">
        <v>0.15</v>
      </c>
      <c r="D220" s="1836">
        <v>0.15</v>
      </c>
      <c r="E220" s="1836">
        <v>0.15</v>
      </c>
      <c r="F220" s="1837">
        <v>0.15</v>
      </c>
    </row>
    <row r="221" spans="1:6" ht="14.25" thickBot="1">
      <c r="A221" s="1831" t="s">
        <v>1391</v>
      </c>
      <c r="B221" s="1835" t="s">
        <v>1211</v>
      </c>
      <c r="C221" s="1836"/>
      <c r="D221" s="1845"/>
      <c r="E221" s="1845"/>
      <c r="F221" s="1837">
        <v>0.14799999999999999</v>
      </c>
    </row>
    <row r="222" spans="1:6" ht="14.25" thickBot="1">
      <c r="A222" s="1831" t="s">
        <v>1391</v>
      </c>
      <c r="B222" s="1835" t="s">
        <v>1221</v>
      </c>
      <c r="C222" s="1836"/>
      <c r="D222" s="1845"/>
      <c r="E222" s="1845"/>
      <c r="F222" s="1837">
        <v>0.1</v>
      </c>
    </row>
    <row r="223" spans="1:6" ht="14.25" thickBot="1">
      <c r="A223" s="1831" t="s">
        <v>1391</v>
      </c>
      <c r="B223" s="1835" t="s">
        <v>1231</v>
      </c>
      <c r="C223" s="1836"/>
      <c r="D223" s="1845"/>
      <c r="E223" s="1845"/>
      <c r="F223" s="1837">
        <v>0.15</v>
      </c>
    </row>
    <row r="224" spans="1:6" ht="14.25" thickBot="1">
      <c r="A224" s="1831" t="s">
        <v>1391</v>
      </c>
      <c r="B224" s="1835" t="s">
        <v>1241</v>
      </c>
      <c r="C224" s="1836"/>
      <c r="D224" s="1845"/>
      <c r="E224" s="1845"/>
      <c r="F224" s="1837">
        <v>0.15</v>
      </c>
    </row>
    <row r="225" spans="1:6" ht="14.25" thickBot="1">
      <c r="A225" s="1831" t="s">
        <v>1391</v>
      </c>
      <c r="B225" s="1835" t="s">
        <v>2135</v>
      </c>
      <c r="C225" s="1836">
        <v>0.15</v>
      </c>
      <c r="D225" s="1836">
        <v>0.15</v>
      </c>
      <c r="E225" s="1836">
        <v>0.15</v>
      </c>
      <c r="F225" s="1837">
        <v>0.15</v>
      </c>
    </row>
    <row r="226" spans="1:6" ht="14.25" thickBot="1">
      <c r="A226" s="1831" t="s">
        <v>1391</v>
      </c>
      <c r="B226" s="1835" t="s">
        <v>1259</v>
      </c>
      <c r="C226" s="1836">
        <v>0.15</v>
      </c>
      <c r="D226" s="1836">
        <v>0.15</v>
      </c>
      <c r="E226" s="1836">
        <v>0.15</v>
      </c>
      <c r="F226" s="1837">
        <v>0.14799999999999999</v>
      </c>
    </row>
    <row r="227" spans="1:6" ht="14.25" thickBot="1">
      <c r="A227" s="1831" t="s">
        <v>1391</v>
      </c>
      <c r="B227" s="1835" t="s">
        <v>2136</v>
      </c>
      <c r="C227" s="1836">
        <v>0.15</v>
      </c>
      <c r="D227" s="1836">
        <v>0.15</v>
      </c>
      <c r="E227" s="1836">
        <v>0.15</v>
      </c>
      <c r="F227" s="1837">
        <v>0.15</v>
      </c>
    </row>
    <row r="228" spans="1:6" ht="14.25" thickBot="1">
      <c r="A228" s="1831" t="s">
        <v>1391</v>
      </c>
      <c r="B228" s="1835" t="s">
        <v>1274</v>
      </c>
      <c r="C228" s="1836">
        <v>0.15</v>
      </c>
      <c r="D228" s="1836">
        <v>0.15</v>
      </c>
      <c r="E228" s="1836">
        <v>0.15</v>
      </c>
      <c r="F228" s="1837">
        <v>0.15</v>
      </c>
    </row>
    <row r="229" spans="1:6" ht="14.25" thickBot="1">
      <c r="A229" s="1831" t="s">
        <v>1391</v>
      </c>
      <c r="B229" s="1835" t="s">
        <v>1281</v>
      </c>
      <c r="C229" s="1836">
        <v>0.15</v>
      </c>
      <c r="D229" s="1836">
        <v>0.15</v>
      </c>
      <c r="E229" s="1836">
        <v>0.15</v>
      </c>
      <c r="F229" s="1844"/>
    </row>
    <row r="230" spans="1:6" ht="14.25" thickBot="1">
      <c r="A230" s="1831" t="s">
        <v>1391</v>
      </c>
      <c r="B230" s="1835" t="s">
        <v>1288</v>
      </c>
      <c r="C230" s="1836">
        <v>0.14499999999999999</v>
      </c>
      <c r="D230" s="1836">
        <v>0.14499999999999999</v>
      </c>
      <c r="E230" s="1836">
        <v>0.14399999999999999</v>
      </c>
      <c r="F230" s="1844"/>
    </row>
    <row r="231" spans="1:6" ht="14.25" thickBot="1">
      <c r="A231" s="1831" t="s">
        <v>1391</v>
      </c>
      <c r="B231" s="1835" t="s">
        <v>2137</v>
      </c>
      <c r="C231" s="1836">
        <v>0.128</v>
      </c>
      <c r="D231" s="1836">
        <v>0.125</v>
      </c>
      <c r="E231" s="1836">
        <v>0.13200000000000001</v>
      </c>
      <c r="F231" s="1844"/>
    </row>
    <row r="232" spans="1:6" ht="14.25" thickBot="1">
      <c r="A232" s="1831" t="s">
        <v>1391</v>
      </c>
      <c r="B232" s="1835" t="s">
        <v>2138</v>
      </c>
      <c r="C232" s="1836">
        <v>0.14499999999999999</v>
      </c>
      <c r="D232" s="1836">
        <v>0.14399999999999999</v>
      </c>
      <c r="E232" s="1836">
        <v>0.14599999999999999</v>
      </c>
      <c r="F232" s="1837">
        <v>0.13800000000000001</v>
      </c>
    </row>
    <row r="233" spans="1:6" ht="14.25" thickBot="1">
      <c r="A233" s="1831" t="s">
        <v>1391</v>
      </c>
      <c r="B233" s="1835" t="s">
        <v>2139</v>
      </c>
      <c r="C233" s="1836">
        <v>0.14499999999999999</v>
      </c>
      <c r="D233" s="1836">
        <v>0.14299999999999999</v>
      </c>
      <c r="E233" s="1836">
        <v>0.14199999999999999</v>
      </c>
      <c r="F233" s="1844"/>
    </row>
    <row r="234" spans="1:6" ht="14.25" thickBot="1">
      <c r="A234" s="1831" t="s">
        <v>1391</v>
      </c>
      <c r="B234" s="1835" t="s">
        <v>2140</v>
      </c>
      <c r="C234" s="1836">
        <v>0.14000000000000001</v>
      </c>
      <c r="D234" s="1836">
        <v>0.14000000000000001</v>
      </c>
      <c r="E234" s="1836">
        <v>0.14399999999999999</v>
      </c>
      <c r="F234" s="1844"/>
    </row>
    <row r="235" spans="1:6" ht="14.25" thickBot="1">
      <c r="A235" s="1831" t="s">
        <v>1391</v>
      </c>
      <c r="B235" s="1835" t="s">
        <v>2141</v>
      </c>
      <c r="C235" s="1836">
        <v>0.14099999999999999</v>
      </c>
      <c r="D235" s="1836">
        <v>0.14199999999999999</v>
      </c>
      <c r="E235" s="1836">
        <v>0.14499999999999999</v>
      </c>
      <c r="F235" s="1837">
        <v>0.15</v>
      </c>
    </row>
    <row r="236" spans="1:6" ht="14.25" thickBot="1">
      <c r="A236" s="1831" t="s">
        <v>1391</v>
      </c>
      <c r="B236" s="1835" t="s">
        <v>1323</v>
      </c>
      <c r="C236" s="1845"/>
      <c r="D236" s="1845"/>
      <c r="E236" s="1845"/>
      <c r="F236" s="1837">
        <v>0.14299999999999999</v>
      </c>
    </row>
    <row r="237" spans="1:6" ht="24.75" thickBot="1">
      <c r="A237" s="1831" t="s">
        <v>1391</v>
      </c>
      <c r="B237" s="1835" t="s">
        <v>2142</v>
      </c>
      <c r="C237" s="1845"/>
      <c r="D237" s="1845"/>
      <c r="E237" s="1845"/>
      <c r="F237" s="1837">
        <v>0.05</v>
      </c>
    </row>
    <row r="238" spans="1:6" ht="24.75" thickBot="1">
      <c r="A238" s="1831" t="s">
        <v>1391</v>
      </c>
      <c r="B238" s="1835" t="s">
        <v>2143</v>
      </c>
      <c r="C238" s="1845"/>
      <c r="D238" s="1845"/>
      <c r="E238" s="1845"/>
      <c r="F238" s="1837">
        <v>0.05</v>
      </c>
    </row>
    <row r="239" spans="1:6" ht="24.75" thickBot="1">
      <c r="A239" s="1831" t="s">
        <v>1391</v>
      </c>
      <c r="B239" s="1835" t="s">
        <v>2144</v>
      </c>
      <c r="C239" s="1845"/>
      <c r="D239" s="1845"/>
      <c r="E239" s="1845"/>
      <c r="F239" s="1837">
        <v>0.05</v>
      </c>
    </row>
    <row r="240" spans="1:6" ht="24.75" thickBot="1">
      <c r="A240" s="1831" t="s">
        <v>1391</v>
      </c>
      <c r="B240" s="1835" t="s">
        <v>2145</v>
      </c>
      <c r="C240" s="1845"/>
      <c r="D240" s="1845"/>
      <c r="E240" s="1845"/>
      <c r="F240" s="1837">
        <v>0.05</v>
      </c>
    </row>
    <row r="241" spans="1:6" ht="24.75" thickBot="1">
      <c r="A241" s="1831" t="s">
        <v>1391</v>
      </c>
      <c r="B241" s="1835" t="s">
        <v>2146</v>
      </c>
      <c r="C241" s="1845"/>
      <c r="D241" s="1845"/>
      <c r="E241" s="1845"/>
      <c r="F241" s="1837">
        <v>0.05</v>
      </c>
    </row>
    <row r="242" spans="1:6" ht="24.75" thickBot="1">
      <c r="A242" s="1831" t="s">
        <v>1391</v>
      </c>
      <c r="B242" s="1835" t="s">
        <v>2147</v>
      </c>
      <c r="C242" s="1845"/>
      <c r="D242" s="1845"/>
      <c r="E242" s="1845"/>
      <c r="F242" s="1837">
        <v>0.05</v>
      </c>
    </row>
    <row r="243" spans="1:6" ht="24.75" thickBot="1">
      <c r="A243" s="1831" t="s">
        <v>1391</v>
      </c>
      <c r="B243" s="1835" t="s">
        <v>2148</v>
      </c>
      <c r="C243" s="1845"/>
      <c r="D243" s="1845"/>
      <c r="E243" s="1845"/>
      <c r="F243" s="1837">
        <v>0.05</v>
      </c>
    </row>
    <row r="244" spans="1:6" ht="24.75" thickBot="1">
      <c r="A244" s="1839" t="s">
        <v>1391</v>
      </c>
      <c r="B244" s="1846" t="s">
        <v>2149</v>
      </c>
      <c r="C244" s="1842"/>
      <c r="D244" s="1842"/>
      <c r="E244" s="1842"/>
      <c r="F244" s="1847">
        <v>0.05</v>
      </c>
    </row>
    <row r="245" spans="1:6" ht="14.25" thickBot="1">
      <c r="A245" s="1831" t="s">
        <v>1393</v>
      </c>
      <c r="B245" s="1832" t="s">
        <v>2150</v>
      </c>
      <c r="C245" s="1833">
        <v>0.15</v>
      </c>
      <c r="D245" s="1833">
        <v>0.15</v>
      </c>
      <c r="E245" s="1833">
        <v>0.15</v>
      </c>
      <c r="F245" s="1834">
        <v>0.14299999999999999</v>
      </c>
    </row>
    <row r="246" spans="1:6" ht="14.25" thickBot="1">
      <c r="A246" s="1831" t="s">
        <v>1393</v>
      </c>
      <c r="B246" s="1835" t="s">
        <v>1056</v>
      </c>
      <c r="C246" s="1836">
        <v>0.15</v>
      </c>
      <c r="D246" s="1836">
        <v>0.15</v>
      </c>
      <c r="E246" s="1836">
        <v>0.15</v>
      </c>
      <c r="F246" s="1837">
        <v>0.114</v>
      </c>
    </row>
    <row r="247" spans="1:6" ht="14.25" thickBot="1">
      <c r="A247" s="1831" t="s">
        <v>1393</v>
      </c>
      <c r="B247" s="1835" t="s">
        <v>2151</v>
      </c>
      <c r="C247" s="1836">
        <v>0.15</v>
      </c>
      <c r="D247" s="1836">
        <v>0.15</v>
      </c>
      <c r="E247" s="1836">
        <v>0.15</v>
      </c>
      <c r="F247" s="1837">
        <v>0.15</v>
      </c>
    </row>
    <row r="248" spans="1:6" ht="14.25" thickBot="1">
      <c r="A248" s="1831" t="s">
        <v>1393</v>
      </c>
      <c r="B248" s="1835" t="s">
        <v>2152</v>
      </c>
      <c r="C248" s="1836">
        <v>0.15</v>
      </c>
      <c r="D248" s="1836">
        <v>0.15</v>
      </c>
      <c r="E248" s="1836">
        <v>0.15</v>
      </c>
      <c r="F248" s="1837">
        <v>0.14000000000000001</v>
      </c>
    </row>
    <row r="249" spans="1:6" ht="14.25" thickBot="1">
      <c r="A249" s="1831" t="s">
        <v>1393</v>
      </c>
      <c r="B249" s="1835" t="s">
        <v>2153</v>
      </c>
      <c r="C249" s="1836">
        <v>0.15</v>
      </c>
      <c r="D249" s="1836">
        <v>0.14899999999999999</v>
      </c>
      <c r="E249" s="1836">
        <v>0.15</v>
      </c>
      <c r="F249" s="1837">
        <v>0.1</v>
      </c>
    </row>
    <row r="250" spans="1:6" ht="14.25" thickBot="1">
      <c r="A250" s="1831" t="s">
        <v>1393</v>
      </c>
      <c r="B250" s="1835" t="s">
        <v>2154</v>
      </c>
      <c r="C250" s="1836">
        <v>0.15</v>
      </c>
      <c r="D250" s="1836">
        <v>0.15</v>
      </c>
      <c r="E250" s="1836">
        <v>0.15</v>
      </c>
      <c r="F250" s="1837">
        <v>0.14399999999999999</v>
      </c>
    </row>
    <row r="251" spans="1:6" ht="14.25" thickBot="1">
      <c r="A251" s="1831" t="s">
        <v>1393</v>
      </c>
      <c r="B251" s="1835" t="s">
        <v>1119</v>
      </c>
      <c r="C251" s="1836">
        <v>0.15</v>
      </c>
      <c r="D251" s="1836">
        <v>0.15</v>
      </c>
      <c r="E251" s="1836">
        <v>0.15</v>
      </c>
      <c r="F251" s="1837">
        <v>0.14299999999999999</v>
      </c>
    </row>
    <row r="252" spans="1:6" ht="14.25" thickBot="1">
      <c r="A252" s="1831" t="s">
        <v>1393</v>
      </c>
      <c r="B252" s="1835" t="s">
        <v>1130</v>
      </c>
      <c r="C252" s="1836">
        <v>0.15</v>
      </c>
      <c r="D252" s="1836">
        <v>0.15</v>
      </c>
      <c r="E252" s="1836">
        <v>0.15</v>
      </c>
      <c r="F252" s="1837">
        <v>0.1</v>
      </c>
    </row>
    <row r="253" spans="1:6" ht="14.25" thickBot="1">
      <c r="A253" s="1831" t="s">
        <v>1393</v>
      </c>
      <c r="B253" s="1835" t="s">
        <v>1142</v>
      </c>
      <c r="C253" s="1836">
        <v>0.15</v>
      </c>
      <c r="D253" s="1836">
        <v>0.15</v>
      </c>
      <c r="E253" s="1836">
        <v>0.15</v>
      </c>
      <c r="F253" s="1837">
        <v>0.1</v>
      </c>
    </row>
    <row r="254" spans="1:6" ht="14.25" thickBot="1">
      <c r="A254" s="1831" t="s">
        <v>1393</v>
      </c>
      <c r="B254" s="1835" t="s">
        <v>1152</v>
      </c>
      <c r="C254" s="1845"/>
      <c r="D254" s="1845"/>
      <c r="E254" s="1845"/>
      <c r="F254" s="1837">
        <v>0.15</v>
      </c>
    </row>
    <row r="255" spans="1:6" ht="14.25" thickBot="1">
      <c r="A255" s="1831" t="s">
        <v>1393</v>
      </c>
      <c r="B255" s="1835" t="s">
        <v>1162</v>
      </c>
      <c r="C255" s="1845"/>
      <c r="D255" s="1845"/>
      <c r="E255" s="1845"/>
      <c r="F255" s="1837">
        <v>0.14299999999999999</v>
      </c>
    </row>
    <row r="256" spans="1:6" ht="14.25" thickBot="1">
      <c r="A256" s="1831" t="s">
        <v>1393</v>
      </c>
      <c r="B256" s="1835" t="s">
        <v>2155</v>
      </c>
      <c r="C256" s="1836">
        <v>0.14599999999999999</v>
      </c>
      <c r="D256" s="1836">
        <v>0.14699999999999999</v>
      </c>
      <c r="E256" s="1836">
        <v>0.15</v>
      </c>
      <c r="F256" s="1837">
        <v>0.13200000000000001</v>
      </c>
    </row>
    <row r="257" spans="1:6" ht="14.25" thickBot="1">
      <c r="A257" s="1831" t="s">
        <v>1393</v>
      </c>
      <c r="B257" s="1835" t="s">
        <v>1182</v>
      </c>
      <c r="C257" s="1836">
        <v>0.15</v>
      </c>
      <c r="D257" s="1836">
        <v>0.15</v>
      </c>
      <c r="E257" s="1836">
        <v>0.15</v>
      </c>
      <c r="F257" s="1837">
        <v>0.13900000000000001</v>
      </c>
    </row>
    <row r="258" spans="1:6" ht="14.25" thickBot="1">
      <c r="A258" s="1831" t="s">
        <v>1393</v>
      </c>
      <c r="B258" s="1835" t="s">
        <v>1192</v>
      </c>
      <c r="C258" s="1836">
        <v>0.15</v>
      </c>
      <c r="D258" s="1836">
        <v>0.15</v>
      </c>
      <c r="E258" s="1836">
        <v>0.15</v>
      </c>
      <c r="F258" s="1837">
        <v>0.13</v>
      </c>
    </row>
    <row r="259" spans="1:6" ht="14.25" thickBot="1">
      <c r="A259" s="1831" t="s">
        <v>1393</v>
      </c>
      <c r="B259" s="1835" t="s">
        <v>2156</v>
      </c>
      <c r="C259" s="1836">
        <v>0.14799999999999999</v>
      </c>
      <c r="D259" s="1836">
        <v>0.14899999999999999</v>
      </c>
      <c r="E259" s="1836">
        <v>0.15</v>
      </c>
      <c r="F259" s="1837">
        <v>0.13700000000000001</v>
      </c>
    </row>
    <row r="260" spans="1:6" ht="14.25" thickBot="1">
      <c r="A260" s="1831" t="s">
        <v>1393</v>
      </c>
      <c r="B260" s="1835" t="s">
        <v>1212</v>
      </c>
      <c r="C260" s="1836">
        <v>0.15</v>
      </c>
      <c r="D260" s="1836">
        <v>0.15</v>
      </c>
      <c r="E260" s="1836">
        <v>0.15</v>
      </c>
      <c r="F260" s="1837">
        <v>0.14199999999999999</v>
      </c>
    </row>
    <row r="261" spans="1:6" ht="14.25" thickBot="1">
      <c r="A261" s="1831" t="s">
        <v>1393</v>
      </c>
      <c r="B261" s="1835" t="s">
        <v>1222</v>
      </c>
      <c r="C261" s="1836">
        <v>0.15</v>
      </c>
      <c r="D261" s="1836">
        <v>0.15</v>
      </c>
      <c r="E261" s="1836">
        <v>0.14899999999999999</v>
      </c>
      <c r="F261" s="1837">
        <v>0.14799999999999999</v>
      </c>
    </row>
    <row r="262" spans="1:6" ht="14.25" thickBot="1">
      <c r="A262" s="1831" t="s">
        <v>1393</v>
      </c>
      <c r="B262" s="1835" t="s">
        <v>1232</v>
      </c>
      <c r="C262" s="1836">
        <v>0.15</v>
      </c>
      <c r="D262" s="1836">
        <v>0.15</v>
      </c>
      <c r="E262" s="1836">
        <v>0.15</v>
      </c>
      <c r="F262" s="1844"/>
    </row>
    <row r="263" spans="1:6" ht="14.25" thickBot="1">
      <c r="A263" s="1831" t="s">
        <v>1393</v>
      </c>
      <c r="B263" s="1835" t="s">
        <v>2157</v>
      </c>
      <c r="C263" s="1836">
        <v>0.14899999999999999</v>
      </c>
      <c r="D263" s="1836">
        <v>0.14899999999999999</v>
      </c>
      <c r="E263" s="1836">
        <v>0.15</v>
      </c>
      <c r="F263" s="1837">
        <v>0.13</v>
      </c>
    </row>
    <row r="264" spans="1:6" ht="14.25" thickBot="1">
      <c r="A264" s="1831" t="s">
        <v>1393</v>
      </c>
      <c r="B264" s="1835" t="s">
        <v>1251</v>
      </c>
      <c r="C264" s="1836">
        <v>0.14799999999999999</v>
      </c>
      <c r="D264" s="1836">
        <v>0.14699999999999999</v>
      </c>
      <c r="E264" s="1836">
        <v>0.15</v>
      </c>
      <c r="F264" s="1837">
        <v>7.8E-2</v>
      </c>
    </row>
    <row r="265" spans="1:6" ht="14.25" thickBot="1">
      <c r="A265" s="1831" t="s">
        <v>1393</v>
      </c>
      <c r="B265" s="1835" t="s">
        <v>1260</v>
      </c>
      <c r="C265" s="1836">
        <v>0.15</v>
      </c>
      <c r="D265" s="1836">
        <v>0.15</v>
      </c>
      <c r="E265" s="1836">
        <v>0.15</v>
      </c>
      <c r="F265" s="1837">
        <v>7.3999999999999996E-2</v>
      </c>
    </row>
    <row r="266" spans="1:6" ht="14.25" thickBot="1">
      <c r="A266" s="1831" t="s">
        <v>1393</v>
      </c>
      <c r="B266" s="1835" t="s">
        <v>1268</v>
      </c>
      <c r="C266" s="1836">
        <v>0.14699999999999999</v>
      </c>
      <c r="D266" s="1836">
        <v>0.14699999999999999</v>
      </c>
      <c r="E266" s="1836">
        <v>0.15</v>
      </c>
      <c r="F266" s="1837">
        <v>0.14299999999999999</v>
      </c>
    </row>
    <row r="267" spans="1:6" ht="14.25" thickBot="1">
      <c r="A267" s="1831" t="s">
        <v>1393</v>
      </c>
      <c r="B267" s="1835" t="s">
        <v>1275</v>
      </c>
      <c r="C267" s="1836">
        <v>0.14199999999999999</v>
      </c>
      <c r="D267" s="1836">
        <v>0.14299999999999999</v>
      </c>
      <c r="E267" s="1836">
        <v>0.15</v>
      </c>
      <c r="F267" s="1844"/>
    </row>
    <row r="268" spans="1:6" ht="14.25" thickBot="1">
      <c r="A268" s="1831" t="s">
        <v>1393</v>
      </c>
      <c r="B268" s="1835" t="s">
        <v>2158</v>
      </c>
      <c r="C268" s="1836">
        <v>0.15</v>
      </c>
      <c r="D268" s="1836">
        <v>0.15</v>
      </c>
      <c r="E268" s="1836">
        <v>0.15</v>
      </c>
      <c r="F268" s="1837">
        <v>0.13</v>
      </c>
    </row>
    <row r="269" spans="1:6" ht="14.25" thickBot="1">
      <c r="A269" s="1831" t="s">
        <v>1393</v>
      </c>
      <c r="B269" s="1835" t="s">
        <v>1289</v>
      </c>
      <c r="C269" s="1836">
        <v>0.15</v>
      </c>
      <c r="D269" s="1836">
        <v>0.15</v>
      </c>
      <c r="E269" s="1836">
        <v>0.15</v>
      </c>
      <c r="F269" s="1837">
        <v>0.14299999999999999</v>
      </c>
    </row>
    <row r="270" spans="1:6" ht="14.25" thickBot="1">
      <c r="A270" s="1831" t="s">
        <v>1393</v>
      </c>
      <c r="B270" s="1835" t="s">
        <v>1296</v>
      </c>
      <c r="C270" s="1836">
        <v>0.14499999999999999</v>
      </c>
      <c r="D270" s="1836">
        <v>0.14499999999999999</v>
      </c>
      <c r="E270" s="1836">
        <v>0.15</v>
      </c>
      <c r="F270" s="1837">
        <v>0.14699999999999999</v>
      </c>
    </row>
    <row r="271" spans="1:6" ht="14.25" thickBot="1">
      <c r="A271" s="1831" t="s">
        <v>1393</v>
      </c>
      <c r="B271" s="1835" t="s">
        <v>1303</v>
      </c>
      <c r="C271" s="1836">
        <v>0.15</v>
      </c>
      <c r="D271" s="1836">
        <v>0.15</v>
      </c>
      <c r="E271" s="1836">
        <v>0.15</v>
      </c>
      <c r="F271" s="1837">
        <v>0.13800000000000001</v>
      </c>
    </row>
    <row r="272" spans="1:6" ht="14.25" thickBot="1">
      <c r="A272" s="1831" t="s">
        <v>1393</v>
      </c>
      <c r="B272" s="1835" t="s">
        <v>1310</v>
      </c>
      <c r="C272" s="1845"/>
      <c r="D272" s="1845"/>
      <c r="E272" s="1845"/>
      <c r="F272" s="1837">
        <v>0.14000000000000001</v>
      </c>
    </row>
    <row r="273" spans="1:6" ht="14.25" thickBot="1">
      <c r="A273" s="1831" t="s">
        <v>1393</v>
      </c>
      <c r="B273" s="1835" t="s">
        <v>2159</v>
      </c>
      <c r="C273" s="1836">
        <v>0.14199999999999999</v>
      </c>
      <c r="D273" s="1836">
        <v>0.14299999999999999</v>
      </c>
      <c r="E273" s="1836">
        <v>0.15</v>
      </c>
      <c r="F273" s="1837">
        <v>0.1</v>
      </c>
    </row>
    <row r="274" spans="1:6" ht="14.25" thickBot="1">
      <c r="A274" s="1831" t="s">
        <v>1393</v>
      </c>
      <c r="B274" s="1835" t="s">
        <v>2160</v>
      </c>
      <c r="C274" s="1836">
        <v>0.14799999999999999</v>
      </c>
      <c r="D274" s="1836">
        <v>0.14799999999999999</v>
      </c>
      <c r="E274" s="1836">
        <v>0.15</v>
      </c>
      <c r="F274" s="1837">
        <v>6.7000000000000004E-2</v>
      </c>
    </row>
    <row r="275" spans="1:6" ht="14.25" thickBot="1">
      <c r="A275" s="1831" t="s">
        <v>1393</v>
      </c>
      <c r="B275" s="1835" t="s">
        <v>2161</v>
      </c>
      <c r="C275" s="1836">
        <v>0.15</v>
      </c>
      <c r="D275" s="1836">
        <v>0.15</v>
      </c>
      <c r="E275" s="1836">
        <v>0.15</v>
      </c>
      <c r="F275" s="1837">
        <v>0.15</v>
      </c>
    </row>
    <row r="276" spans="1:6" ht="14.25" thickBot="1">
      <c r="A276" s="1831" t="s">
        <v>1393</v>
      </c>
      <c r="B276" s="1835" t="s">
        <v>2162</v>
      </c>
      <c r="C276" s="1836">
        <v>0.14499999999999999</v>
      </c>
      <c r="D276" s="1836">
        <v>0.14299999999999999</v>
      </c>
      <c r="E276" s="1836">
        <v>0.15</v>
      </c>
      <c r="F276" s="1837">
        <v>5.8999999999999997E-2</v>
      </c>
    </row>
    <row r="277" spans="1:6" ht="14.25" thickBot="1">
      <c r="A277" s="1831" t="s">
        <v>1393</v>
      </c>
      <c r="B277" s="1835" t="s">
        <v>2163</v>
      </c>
      <c r="C277" s="1836">
        <v>0.15</v>
      </c>
      <c r="D277" s="1836">
        <v>0.15</v>
      </c>
      <c r="E277" s="1836">
        <v>0.15</v>
      </c>
      <c r="F277" s="1837">
        <v>0.121</v>
      </c>
    </row>
    <row r="278" spans="1:6" ht="14.25" thickBot="1">
      <c r="A278" s="1831" t="s">
        <v>1393</v>
      </c>
      <c r="B278" s="1835" t="s">
        <v>2164</v>
      </c>
      <c r="C278" s="1836">
        <v>0.15</v>
      </c>
      <c r="D278" s="1836">
        <v>0.15</v>
      </c>
      <c r="E278" s="1836">
        <v>0.15</v>
      </c>
      <c r="F278" s="1837">
        <v>0.13800000000000001</v>
      </c>
    </row>
    <row r="279" spans="1:6" ht="24.75" thickBot="1">
      <c r="A279" s="1831" t="s">
        <v>1393</v>
      </c>
      <c r="B279" s="1835" t="s">
        <v>2165</v>
      </c>
      <c r="C279" s="1845"/>
      <c r="D279" s="1845"/>
      <c r="E279" s="1845"/>
      <c r="F279" s="1837">
        <v>0.05</v>
      </c>
    </row>
    <row r="280" spans="1:6" ht="24.75" thickBot="1">
      <c r="A280" s="1831" t="s">
        <v>1393</v>
      </c>
      <c r="B280" s="1835" t="s">
        <v>2166</v>
      </c>
      <c r="C280" s="1845"/>
      <c r="D280" s="1845"/>
      <c r="E280" s="1845"/>
      <c r="F280" s="1837">
        <v>0.05</v>
      </c>
    </row>
    <row r="281" spans="1:6" ht="24.75" thickBot="1">
      <c r="A281" s="1831" t="s">
        <v>1393</v>
      </c>
      <c r="B281" s="1835" t="s">
        <v>2167</v>
      </c>
      <c r="C281" s="1845"/>
      <c r="D281" s="1845"/>
      <c r="E281" s="1845"/>
      <c r="F281" s="1837">
        <v>0.05</v>
      </c>
    </row>
    <row r="282" spans="1:6" ht="24.75" thickBot="1">
      <c r="A282" s="1831" t="s">
        <v>1393</v>
      </c>
      <c r="B282" s="1835" t="s">
        <v>2168</v>
      </c>
      <c r="C282" s="1845"/>
      <c r="D282" s="1845"/>
      <c r="E282" s="1845"/>
      <c r="F282" s="1837">
        <v>0.05</v>
      </c>
    </row>
    <row r="283" spans="1:6" ht="24.75" thickBot="1">
      <c r="A283" s="1831" t="s">
        <v>1393</v>
      </c>
      <c r="B283" s="1835" t="s">
        <v>2169</v>
      </c>
      <c r="C283" s="1845"/>
      <c r="D283" s="1845"/>
      <c r="E283" s="1845"/>
      <c r="F283" s="1837">
        <v>0.05</v>
      </c>
    </row>
    <row r="284" spans="1:6" ht="24.75" thickBot="1">
      <c r="A284" s="1831" t="s">
        <v>1393</v>
      </c>
      <c r="B284" s="1835" t="s">
        <v>2170</v>
      </c>
      <c r="C284" s="1845"/>
      <c r="D284" s="1845"/>
      <c r="E284" s="1845"/>
      <c r="F284" s="1837">
        <v>0.05</v>
      </c>
    </row>
    <row r="285" spans="1:6" ht="24.75" thickBot="1">
      <c r="A285" s="1831" t="s">
        <v>1393</v>
      </c>
      <c r="B285" s="1835" t="s">
        <v>2171</v>
      </c>
      <c r="C285" s="1845"/>
      <c r="D285" s="1845"/>
      <c r="E285" s="1845"/>
      <c r="F285" s="1837">
        <v>0.05</v>
      </c>
    </row>
    <row r="286" spans="1:6" ht="24.75" thickBot="1">
      <c r="A286" s="1831" t="s">
        <v>1393</v>
      </c>
      <c r="B286" s="1835" t="s">
        <v>2172</v>
      </c>
      <c r="C286" s="1845"/>
      <c r="D286" s="1845"/>
      <c r="E286" s="1845"/>
      <c r="F286" s="1837">
        <v>0.05</v>
      </c>
    </row>
    <row r="287" spans="1:6" ht="24.75" thickBot="1">
      <c r="A287" s="1831" t="s">
        <v>1393</v>
      </c>
      <c r="B287" s="1835" t="s">
        <v>2173</v>
      </c>
      <c r="C287" s="1845"/>
      <c r="D287" s="1845"/>
      <c r="E287" s="1845"/>
      <c r="F287" s="1837">
        <v>0.05</v>
      </c>
    </row>
    <row r="288" spans="1:6" ht="24.75" thickBot="1">
      <c r="A288" s="1831" t="s">
        <v>1393</v>
      </c>
      <c r="B288" s="1835" t="s">
        <v>2174</v>
      </c>
      <c r="C288" s="1845"/>
      <c r="D288" s="1845"/>
      <c r="E288" s="1845"/>
      <c r="F288" s="1837">
        <v>0.05</v>
      </c>
    </row>
    <row r="289" spans="1:6" ht="24.75" thickBot="1">
      <c r="A289" s="1839" t="s">
        <v>1393</v>
      </c>
      <c r="B289" s="1846" t="s">
        <v>2175</v>
      </c>
      <c r="C289" s="1842"/>
      <c r="D289" s="1842"/>
      <c r="E289" s="1842"/>
      <c r="F289" s="1847">
        <v>0.05</v>
      </c>
    </row>
    <row r="290" spans="1:6" ht="14.25" thickBot="1">
      <c r="A290" s="1831" t="s">
        <v>1397</v>
      </c>
      <c r="B290" s="1832" t="s">
        <v>2176</v>
      </c>
      <c r="C290" s="1833">
        <v>0.15</v>
      </c>
      <c r="D290" s="1833">
        <v>0.15</v>
      </c>
      <c r="E290" s="1833">
        <v>0.15</v>
      </c>
      <c r="F290" s="1855"/>
    </row>
    <row r="291" spans="1:6" ht="14.25" thickBot="1">
      <c r="A291" s="1831" t="s">
        <v>1397</v>
      </c>
      <c r="B291" s="1835" t="s">
        <v>1057</v>
      </c>
      <c r="C291" s="1836">
        <v>0.15</v>
      </c>
      <c r="D291" s="1836">
        <v>0.15</v>
      </c>
      <c r="E291" s="1836">
        <v>0.15</v>
      </c>
      <c r="F291" s="1844"/>
    </row>
    <row r="292" spans="1:6" ht="14.25" thickBot="1">
      <c r="A292" s="1831" t="s">
        <v>1397</v>
      </c>
      <c r="B292" s="1835" t="s">
        <v>2177</v>
      </c>
      <c r="C292" s="1836">
        <v>0.15</v>
      </c>
      <c r="D292" s="1836">
        <v>0.15</v>
      </c>
      <c r="E292" s="1836">
        <v>0.15</v>
      </c>
      <c r="F292" s="1837">
        <v>0.14699999999999999</v>
      </c>
    </row>
    <row r="293" spans="1:6" ht="14.25" thickBot="1">
      <c r="A293" s="1831" t="s">
        <v>1397</v>
      </c>
      <c r="B293" s="1835" t="s">
        <v>2178</v>
      </c>
      <c r="C293" s="1845"/>
      <c r="D293" s="1845"/>
      <c r="E293" s="1845"/>
      <c r="F293" s="1837">
        <v>0.1</v>
      </c>
    </row>
    <row r="294" spans="1:6" ht="14.25" thickBot="1">
      <c r="A294" s="1831" t="s">
        <v>1397</v>
      </c>
      <c r="B294" s="1835" t="s">
        <v>2179</v>
      </c>
      <c r="C294" s="1836">
        <v>0.15</v>
      </c>
      <c r="D294" s="1836">
        <v>0.15</v>
      </c>
      <c r="E294" s="1836">
        <v>0.15</v>
      </c>
      <c r="F294" s="1837">
        <v>0.15</v>
      </c>
    </row>
    <row r="295" spans="1:6" ht="14.25" thickBot="1">
      <c r="A295" s="1831" t="s">
        <v>1397</v>
      </c>
      <c r="B295" s="1835" t="s">
        <v>1098</v>
      </c>
      <c r="C295" s="1836">
        <v>0.15</v>
      </c>
      <c r="D295" s="1836">
        <v>0.15</v>
      </c>
      <c r="E295" s="1836">
        <v>0.15</v>
      </c>
      <c r="F295" s="1837">
        <v>0.15</v>
      </c>
    </row>
    <row r="296" spans="1:6" ht="14.25" thickBot="1">
      <c r="A296" s="1831" t="s">
        <v>1397</v>
      </c>
      <c r="B296" s="1835" t="s">
        <v>2180</v>
      </c>
      <c r="C296" s="1836">
        <v>0.15</v>
      </c>
      <c r="D296" s="1836">
        <v>0.15</v>
      </c>
      <c r="E296" s="1836">
        <v>0.15</v>
      </c>
      <c r="F296" s="1837">
        <v>0.15</v>
      </c>
    </row>
    <row r="297" spans="1:6" ht="14.25" thickBot="1">
      <c r="A297" s="1831" t="s">
        <v>1397</v>
      </c>
      <c r="B297" s="1835" t="s">
        <v>2181</v>
      </c>
      <c r="C297" s="1836">
        <v>0.14799999999999999</v>
      </c>
      <c r="D297" s="1836">
        <v>0.14899999999999999</v>
      </c>
      <c r="E297" s="1836">
        <v>0.15</v>
      </c>
      <c r="F297" s="1837">
        <v>0.13700000000000001</v>
      </c>
    </row>
    <row r="298" spans="1:6" ht="14.25" thickBot="1">
      <c r="A298" s="1831" t="s">
        <v>1397</v>
      </c>
      <c r="B298" s="1835" t="s">
        <v>1131</v>
      </c>
      <c r="C298" s="1836">
        <v>0.13400000000000001</v>
      </c>
      <c r="D298" s="1836">
        <v>0.13400000000000001</v>
      </c>
      <c r="E298" s="1836">
        <v>0.14499999999999999</v>
      </c>
      <c r="F298" s="1837">
        <v>0.14799999999999999</v>
      </c>
    </row>
    <row r="299" spans="1:6" ht="14.25" thickBot="1">
      <c r="A299" s="1831" t="s">
        <v>1397</v>
      </c>
      <c r="B299" s="1835" t="s">
        <v>1143</v>
      </c>
      <c r="C299" s="1836">
        <v>0.15</v>
      </c>
      <c r="D299" s="1836">
        <v>0.15</v>
      </c>
      <c r="E299" s="1836">
        <v>0.15</v>
      </c>
      <c r="F299" s="1844"/>
    </row>
    <row r="300" spans="1:6" ht="14.25" thickBot="1">
      <c r="A300" s="1831" t="s">
        <v>1397</v>
      </c>
      <c r="B300" s="1835" t="s">
        <v>2182</v>
      </c>
      <c r="C300" s="1836">
        <v>0.15</v>
      </c>
      <c r="D300" s="1836">
        <v>0.15</v>
      </c>
      <c r="E300" s="1836">
        <v>0.15</v>
      </c>
      <c r="F300" s="1837">
        <v>0.15</v>
      </c>
    </row>
    <row r="301" spans="1:6" ht="14.25" thickBot="1">
      <c r="A301" s="1831" t="s">
        <v>1397</v>
      </c>
      <c r="B301" s="1835" t="s">
        <v>1163</v>
      </c>
      <c r="C301" s="1836">
        <v>0.15</v>
      </c>
      <c r="D301" s="1836">
        <v>0.15</v>
      </c>
      <c r="E301" s="1836">
        <v>0.15</v>
      </c>
      <c r="F301" s="1844"/>
    </row>
    <row r="302" spans="1:6" ht="14.25" thickBot="1">
      <c r="A302" s="1831" t="s">
        <v>1397</v>
      </c>
      <c r="B302" s="1835" t="s">
        <v>2183</v>
      </c>
      <c r="C302" s="1836">
        <v>0.15</v>
      </c>
      <c r="D302" s="1836">
        <v>0.15</v>
      </c>
      <c r="E302" s="1836">
        <v>0.15</v>
      </c>
      <c r="F302" s="1837">
        <v>0.15</v>
      </c>
    </row>
    <row r="303" spans="1:6" ht="14.25" thickBot="1">
      <c r="A303" s="1831" t="s">
        <v>1397</v>
      </c>
      <c r="B303" s="1835" t="s">
        <v>1183</v>
      </c>
      <c r="C303" s="1836">
        <v>0.15</v>
      </c>
      <c r="D303" s="1836">
        <v>0.15</v>
      </c>
      <c r="E303" s="1836">
        <v>0.15</v>
      </c>
      <c r="F303" s="1837">
        <v>0.15</v>
      </c>
    </row>
    <row r="304" spans="1:6" ht="14.25" thickBot="1">
      <c r="A304" s="1831" t="s">
        <v>1397</v>
      </c>
      <c r="B304" s="1835" t="s">
        <v>1193</v>
      </c>
      <c r="C304" s="1836">
        <v>0.15</v>
      </c>
      <c r="D304" s="1836">
        <v>0.15</v>
      </c>
      <c r="E304" s="1836">
        <v>0.15</v>
      </c>
      <c r="F304" s="1844"/>
    </row>
    <row r="305" spans="1:6" ht="14.25" thickBot="1">
      <c r="A305" s="1831" t="s">
        <v>1397</v>
      </c>
      <c r="B305" s="1835" t="s">
        <v>2184</v>
      </c>
      <c r="C305" s="1836">
        <v>0.15</v>
      </c>
      <c r="D305" s="1836">
        <v>0.15</v>
      </c>
      <c r="E305" s="1836">
        <v>0.15</v>
      </c>
      <c r="F305" s="1837">
        <v>0.14000000000000001</v>
      </c>
    </row>
    <row r="306" spans="1:6" ht="14.25" thickBot="1">
      <c r="A306" s="1831" t="s">
        <v>1397</v>
      </c>
      <c r="B306" s="1835" t="s">
        <v>1213</v>
      </c>
      <c r="C306" s="1836">
        <v>0.15</v>
      </c>
      <c r="D306" s="1836">
        <v>0.15</v>
      </c>
      <c r="E306" s="1836">
        <v>0.15</v>
      </c>
      <c r="F306" s="1844"/>
    </row>
    <row r="307" spans="1:6" ht="14.25" thickBot="1">
      <c r="A307" s="1831" t="s">
        <v>1397</v>
      </c>
      <c r="B307" s="1835" t="s">
        <v>2185</v>
      </c>
      <c r="C307" s="1836">
        <v>0.15</v>
      </c>
      <c r="D307" s="1836">
        <v>0.15</v>
      </c>
      <c r="E307" s="1836">
        <v>0.15</v>
      </c>
      <c r="F307" s="1837">
        <v>0.14299999999999999</v>
      </c>
    </row>
    <row r="308" spans="1:6" ht="14.25" thickBot="1">
      <c r="A308" s="1831" t="s">
        <v>1397</v>
      </c>
      <c r="B308" s="1835" t="s">
        <v>1233</v>
      </c>
      <c r="C308" s="1836">
        <v>0.15</v>
      </c>
      <c r="D308" s="1836">
        <v>0.15</v>
      </c>
      <c r="E308" s="1836">
        <v>0.15</v>
      </c>
      <c r="F308" s="1837">
        <v>0.15</v>
      </c>
    </row>
    <row r="309" spans="1:6" ht="14.25" thickBot="1">
      <c r="A309" s="1831" t="s">
        <v>1397</v>
      </c>
      <c r="B309" s="1835" t="s">
        <v>1243</v>
      </c>
      <c r="C309" s="1836">
        <v>0.15</v>
      </c>
      <c r="D309" s="1836">
        <v>0.15</v>
      </c>
      <c r="E309" s="1836">
        <v>0.15</v>
      </c>
      <c r="F309" s="1844"/>
    </row>
    <row r="310" spans="1:6" ht="14.25" thickBot="1">
      <c r="A310" s="1831" t="s">
        <v>1397</v>
      </c>
      <c r="B310" s="1835" t="s">
        <v>2186</v>
      </c>
      <c r="C310" s="1836">
        <v>0.15</v>
      </c>
      <c r="D310" s="1836">
        <v>0.15</v>
      </c>
      <c r="E310" s="1836">
        <v>0.15</v>
      </c>
      <c r="F310" s="1837">
        <v>0.13700000000000001</v>
      </c>
    </row>
    <row r="311" spans="1:6" ht="14.25" thickBot="1">
      <c r="A311" s="1831" t="s">
        <v>1397</v>
      </c>
      <c r="B311" s="1835" t="s">
        <v>2187</v>
      </c>
      <c r="C311" s="1836">
        <v>0.15</v>
      </c>
      <c r="D311" s="1836">
        <v>0.15</v>
      </c>
      <c r="E311" s="1836">
        <v>0.15</v>
      </c>
      <c r="F311" s="1837">
        <v>0.15</v>
      </c>
    </row>
    <row r="312" spans="1:6" ht="14.25" thickBot="1">
      <c r="A312" s="1831" t="s">
        <v>1397</v>
      </c>
      <c r="B312" s="1835" t="s">
        <v>1269</v>
      </c>
      <c r="C312" s="1836">
        <v>0.15</v>
      </c>
      <c r="D312" s="1836">
        <v>0.15</v>
      </c>
      <c r="E312" s="1836">
        <v>0.15</v>
      </c>
      <c r="F312" s="1837">
        <v>0.1</v>
      </c>
    </row>
    <row r="313" spans="1:6" ht="14.25" thickBot="1">
      <c r="A313" s="1831" t="s">
        <v>1397</v>
      </c>
      <c r="B313" s="1835" t="s">
        <v>2188</v>
      </c>
      <c r="C313" s="1836">
        <v>0.15</v>
      </c>
      <c r="D313" s="1836">
        <v>0.15</v>
      </c>
      <c r="E313" s="1836">
        <v>0.15</v>
      </c>
      <c r="F313" s="1837">
        <v>0.15</v>
      </c>
    </row>
    <row r="314" spans="1:6" ht="24.75" thickBot="1">
      <c r="A314" s="1831" t="s">
        <v>1397</v>
      </c>
      <c r="B314" s="1835" t="s">
        <v>2189</v>
      </c>
      <c r="C314" s="1845"/>
      <c r="D314" s="1845"/>
      <c r="E314" s="1845"/>
      <c r="F314" s="1837">
        <v>0.05</v>
      </c>
    </row>
    <row r="315" spans="1:6" ht="24.75" thickBot="1">
      <c r="A315" s="1831" t="s">
        <v>1397</v>
      </c>
      <c r="B315" s="1835" t="s">
        <v>2190</v>
      </c>
      <c r="C315" s="1845"/>
      <c r="D315" s="1845"/>
      <c r="E315" s="1845"/>
      <c r="F315" s="1837">
        <v>0.05</v>
      </c>
    </row>
    <row r="316" spans="1:6" ht="24.75" thickBot="1">
      <c r="A316" s="1839" t="s">
        <v>1397</v>
      </c>
      <c r="B316" s="1846" t="s">
        <v>2191</v>
      </c>
      <c r="C316" s="1842"/>
      <c r="D316" s="1842"/>
      <c r="E316" s="1842"/>
      <c r="F316" s="1847">
        <v>0.05</v>
      </c>
    </row>
    <row r="317" spans="1:6" ht="14.25" thickBot="1">
      <c r="A317" s="1831" t="s">
        <v>2192</v>
      </c>
      <c r="B317" s="1832" t="s">
        <v>2193</v>
      </c>
      <c r="C317" s="1833">
        <v>0.15</v>
      </c>
      <c r="D317" s="1833">
        <v>0.15</v>
      </c>
      <c r="E317" s="1833">
        <v>0.15</v>
      </c>
      <c r="F317" s="1834">
        <v>0.15</v>
      </c>
    </row>
    <row r="318" spans="1:6" ht="14.25" thickBot="1">
      <c r="A318" s="1831" t="s">
        <v>2192</v>
      </c>
      <c r="B318" s="1835" t="s">
        <v>2194</v>
      </c>
      <c r="C318" s="1836">
        <v>0.107</v>
      </c>
      <c r="D318" s="1836">
        <v>0.11</v>
      </c>
      <c r="E318" s="1836">
        <v>0.112</v>
      </c>
      <c r="F318" s="1844"/>
    </row>
    <row r="319" spans="1:6" ht="14.25" thickBot="1">
      <c r="A319" s="1831" t="s">
        <v>2192</v>
      </c>
      <c r="B319" s="1835" t="s">
        <v>2195</v>
      </c>
      <c r="C319" s="1836">
        <v>0.15</v>
      </c>
      <c r="D319" s="1836">
        <v>0.15</v>
      </c>
      <c r="E319" s="1836">
        <v>0.15</v>
      </c>
      <c r="F319" s="1837">
        <v>0.15</v>
      </c>
    </row>
    <row r="320" spans="1:6" ht="14.25" thickBot="1">
      <c r="A320" s="1831" t="s">
        <v>2192</v>
      </c>
      <c r="B320" s="1835" t="s">
        <v>1085</v>
      </c>
      <c r="C320" s="1836">
        <v>0.15</v>
      </c>
      <c r="D320" s="1836">
        <v>0.15</v>
      </c>
      <c r="E320" s="1836">
        <v>0.15</v>
      </c>
      <c r="F320" s="1844"/>
    </row>
    <row r="321" spans="1:6" ht="14.25" thickBot="1">
      <c r="A321" s="1831" t="s">
        <v>2192</v>
      </c>
      <c r="B321" s="1835" t="s">
        <v>2196</v>
      </c>
      <c r="C321" s="1836">
        <v>0.15</v>
      </c>
      <c r="D321" s="1836">
        <v>0.15</v>
      </c>
      <c r="E321" s="1836">
        <v>0.15</v>
      </c>
      <c r="F321" s="1844"/>
    </row>
    <row r="322" spans="1:6" ht="14.25" thickBot="1">
      <c r="A322" s="1831" t="s">
        <v>2192</v>
      </c>
      <c r="B322" s="1835" t="s">
        <v>2197</v>
      </c>
      <c r="C322" s="1836">
        <v>0.15</v>
      </c>
      <c r="D322" s="1836">
        <v>0.15</v>
      </c>
      <c r="E322" s="1836">
        <v>0.15</v>
      </c>
      <c r="F322" s="1837">
        <v>0.15</v>
      </c>
    </row>
    <row r="323" spans="1:6" ht="14.25" thickBot="1">
      <c r="A323" s="1831" t="s">
        <v>2192</v>
      </c>
      <c r="B323" s="1835" t="s">
        <v>2198</v>
      </c>
      <c r="C323" s="1836">
        <v>0.15</v>
      </c>
      <c r="D323" s="1836">
        <v>0.15</v>
      </c>
      <c r="E323" s="1836">
        <v>0.15</v>
      </c>
      <c r="F323" s="1844"/>
    </row>
    <row r="324" spans="1:6" ht="14.25" thickBot="1">
      <c r="A324" s="1831" t="s">
        <v>2192</v>
      </c>
      <c r="B324" s="1835" t="s">
        <v>2199</v>
      </c>
      <c r="C324" s="1836">
        <v>0.15</v>
      </c>
      <c r="D324" s="1836">
        <v>0.15</v>
      </c>
      <c r="E324" s="1836">
        <v>0.15</v>
      </c>
      <c r="F324" s="1844"/>
    </row>
    <row r="325" spans="1:6" ht="14.25" thickBot="1">
      <c r="A325" s="1831" t="s">
        <v>2192</v>
      </c>
      <c r="B325" s="1835" t="s">
        <v>2200</v>
      </c>
      <c r="C325" s="1836">
        <v>0.15</v>
      </c>
      <c r="D325" s="1836">
        <v>0.15</v>
      </c>
      <c r="E325" s="1836">
        <v>0.15</v>
      </c>
      <c r="F325" s="1837">
        <v>0.14699999999999999</v>
      </c>
    </row>
    <row r="326" spans="1:6" ht="14.25" thickBot="1">
      <c r="A326" s="1831" t="s">
        <v>2192</v>
      </c>
      <c r="B326" s="1835" t="s">
        <v>1154</v>
      </c>
      <c r="C326" s="1836">
        <v>0.15</v>
      </c>
      <c r="D326" s="1836">
        <v>0.15</v>
      </c>
      <c r="E326" s="1836">
        <v>0.15</v>
      </c>
      <c r="F326" s="1844"/>
    </row>
    <row r="327" spans="1:6" ht="14.25" thickBot="1">
      <c r="A327" s="1831" t="s">
        <v>2192</v>
      </c>
      <c r="B327" s="1835" t="s">
        <v>2201</v>
      </c>
      <c r="C327" s="1836">
        <v>0.15</v>
      </c>
      <c r="D327" s="1836">
        <v>0.15</v>
      </c>
      <c r="E327" s="1836">
        <v>0.15</v>
      </c>
      <c r="F327" s="1837">
        <v>0.15</v>
      </c>
    </row>
    <row r="328" spans="1:6" ht="14.25" thickBot="1">
      <c r="A328" s="1831" t="s">
        <v>2192</v>
      </c>
      <c r="B328" s="1835" t="s">
        <v>1174</v>
      </c>
      <c r="C328" s="1836">
        <v>0.15</v>
      </c>
      <c r="D328" s="1836">
        <v>0.15</v>
      </c>
      <c r="E328" s="1836">
        <v>0.15</v>
      </c>
      <c r="F328" s="1837">
        <v>0.14099999999999999</v>
      </c>
    </row>
    <row r="329" spans="1:6" ht="14.25" thickBot="1">
      <c r="A329" s="1831" t="s">
        <v>2192</v>
      </c>
      <c r="B329" s="1835" t="s">
        <v>1184</v>
      </c>
      <c r="C329" s="1836">
        <v>0.15</v>
      </c>
      <c r="D329" s="1836">
        <v>0.15</v>
      </c>
      <c r="E329" s="1836">
        <v>0.15</v>
      </c>
      <c r="F329" s="1837">
        <v>0.15</v>
      </c>
    </row>
    <row r="330" spans="1:6" ht="14.25" thickBot="1">
      <c r="A330" s="1831" t="s">
        <v>2192</v>
      </c>
      <c r="B330" s="1835" t="s">
        <v>1194</v>
      </c>
      <c r="C330" s="1836">
        <v>0.15</v>
      </c>
      <c r="D330" s="1836">
        <v>0.15</v>
      </c>
      <c r="E330" s="1836">
        <v>0.15</v>
      </c>
      <c r="F330" s="1844"/>
    </row>
    <row r="331" spans="1:6" ht="14.25" thickBot="1">
      <c r="A331" s="1831" t="s">
        <v>2192</v>
      </c>
      <c r="B331" s="1835" t="s">
        <v>2202</v>
      </c>
      <c r="C331" s="1836">
        <v>0.15</v>
      </c>
      <c r="D331" s="1836">
        <v>0.15</v>
      </c>
      <c r="E331" s="1836">
        <v>0.15</v>
      </c>
      <c r="F331" s="1837">
        <v>0.15</v>
      </c>
    </row>
    <row r="332" spans="1:6" ht="14.25" thickBot="1">
      <c r="A332" s="1831" t="s">
        <v>2192</v>
      </c>
      <c r="B332" s="1835" t="s">
        <v>1214</v>
      </c>
      <c r="C332" s="1836">
        <v>0.15</v>
      </c>
      <c r="D332" s="1836">
        <v>0.15</v>
      </c>
      <c r="E332" s="1836">
        <v>0.15</v>
      </c>
      <c r="F332" s="1837">
        <v>0.15</v>
      </c>
    </row>
    <row r="333" spans="1:6" ht="14.25" thickBot="1">
      <c r="A333" s="1831" t="s">
        <v>2192</v>
      </c>
      <c r="B333" s="1835" t="s">
        <v>2203</v>
      </c>
      <c r="C333" s="1836">
        <v>0.15</v>
      </c>
      <c r="D333" s="1836">
        <v>0.15</v>
      </c>
      <c r="E333" s="1836">
        <v>0.15</v>
      </c>
      <c r="F333" s="1837">
        <v>0.14099999999999999</v>
      </c>
    </row>
    <row r="334" spans="1:6" ht="14.25" thickBot="1">
      <c r="A334" s="1831" t="s">
        <v>2192</v>
      </c>
      <c r="B334" s="1835" t="s">
        <v>1234</v>
      </c>
      <c r="C334" s="1836">
        <v>0.15</v>
      </c>
      <c r="D334" s="1836">
        <v>0.15</v>
      </c>
      <c r="E334" s="1836">
        <v>0.15</v>
      </c>
      <c r="F334" s="1837">
        <v>0.15</v>
      </c>
    </row>
    <row r="335" spans="1:6" ht="14.25" thickBot="1">
      <c r="A335" s="1831" t="s">
        <v>2192</v>
      </c>
      <c r="B335" s="1835" t="s">
        <v>1244</v>
      </c>
      <c r="C335" s="1836">
        <v>0.15</v>
      </c>
      <c r="D335" s="1836">
        <v>0.15</v>
      </c>
      <c r="E335" s="1836">
        <v>0.15</v>
      </c>
      <c r="F335" s="1844"/>
    </row>
    <row r="336" spans="1:6" ht="14.25" thickBot="1">
      <c r="A336" s="1831" t="s">
        <v>2192</v>
      </c>
      <c r="B336" s="1835" t="s">
        <v>2204</v>
      </c>
      <c r="C336" s="1836">
        <v>0.15</v>
      </c>
      <c r="D336" s="1836">
        <v>0.15</v>
      </c>
      <c r="E336" s="1836">
        <v>0.15</v>
      </c>
      <c r="F336" s="1837">
        <v>0.11799999999999999</v>
      </c>
    </row>
    <row r="337" spans="1:6" ht="14.25" thickBot="1">
      <c r="A337" s="1839" t="s">
        <v>2192</v>
      </c>
      <c r="B337" s="1846" t="s">
        <v>1262</v>
      </c>
      <c r="C337" s="1842"/>
      <c r="D337" s="1842"/>
      <c r="E337" s="1842"/>
      <c r="F337" s="1847">
        <v>0.14299999999999999</v>
      </c>
    </row>
    <row r="338" spans="1:6" ht="14.25" thickBot="1">
      <c r="A338" s="1831" t="s">
        <v>2205</v>
      </c>
      <c r="B338" s="1832" t="s">
        <v>2206</v>
      </c>
      <c r="C338" s="1833">
        <v>0.15</v>
      </c>
      <c r="D338" s="1833">
        <v>0.15</v>
      </c>
      <c r="E338" s="1833">
        <v>0.15</v>
      </c>
      <c r="F338" s="1855"/>
    </row>
    <row r="339" spans="1:6" ht="14.25" thickBot="1">
      <c r="A339" s="1831" t="s">
        <v>2205</v>
      </c>
      <c r="B339" s="1835" t="s">
        <v>2207</v>
      </c>
      <c r="C339" s="1836">
        <v>0.15</v>
      </c>
      <c r="D339" s="1836">
        <v>0.15</v>
      </c>
      <c r="E339" s="1836">
        <v>0.15</v>
      </c>
      <c r="F339" s="1844"/>
    </row>
    <row r="340" spans="1:6" ht="14.25" thickBot="1">
      <c r="A340" s="1831" t="s">
        <v>2205</v>
      </c>
      <c r="B340" s="1835" t="s">
        <v>2208</v>
      </c>
      <c r="C340" s="1836">
        <v>0.15</v>
      </c>
      <c r="D340" s="1836">
        <v>0.15</v>
      </c>
      <c r="E340" s="1836">
        <v>0.15</v>
      </c>
      <c r="F340" s="1844"/>
    </row>
    <row r="341" spans="1:6" ht="14.25" thickBot="1">
      <c r="A341" s="1831" t="s">
        <v>2209</v>
      </c>
      <c r="B341" s="1835" t="s">
        <v>2210</v>
      </c>
      <c r="C341" s="1836">
        <v>0.15</v>
      </c>
      <c r="D341" s="1836">
        <v>0.15</v>
      </c>
      <c r="E341" s="1836">
        <v>0.15</v>
      </c>
      <c r="F341" s="1837">
        <v>0.15</v>
      </c>
    </row>
    <row r="342" spans="1:6" ht="14.25" thickBot="1">
      <c r="A342" s="1831" t="s">
        <v>2205</v>
      </c>
      <c r="B342" s="1835" t="s">
        <v>2211</v>
      </c>
      <c r="C342" s="1836">
        <v>0.15</v>
      </c>
      <c r="D342" s="1836">
        <v>0.15</v>
      </c>
      <c r="E342" s="1836">
        <v>0.15</v>
      </c>
      <c r="F342" s="1837">
        <v>0.15</v>
      </c>
    </row>
    <row r="343" spans="1:6" ht="14.25" thickBot="1">
      <c r="A343" s="1831" t="s">
        <v>2205</v>
      </c>
      <c r="B343" s="1835" t="s">
        <v>2212</v>
      </c>
      <c r="C343" s="1836">
        <v>0.15</v>
      </c>
      <c r="D343" s="1836">
        <v>0.15</v>
      </c>
      <c r="E343" s="1836">
        <v>0.15</v>
      </c>
      <c r="F343" s="1837">
        <v>0.15</v>
      </c>
    </row>
    <row r="344" spans="1:6" ht="14.25" thickBot="1">
      <c r="A344" s="1839" t="s">
        <v>2205</v>
      </c>
      <c r="B344" s="1846" t="s">
        <v>2213</v>
      </c>
      <c r="C344" s="1841">
        <v>0.15</v>
      </c>
      <c r="D344" s="1841">
        <v>0.15</v>
      </c>
      <c r="E344" s="1841">
        <v>0.15</v>
      </c>
      <c r="F344" s="1847">
        <v>0.15</v>
      </c>
    </row>
  </sheetData>
  <sheetProtection password="C66D" sheet="1" objects="1" scenarios="1"/>
  <mergeCells count="1">
    <mergeCell ref="A1:B1"/>
  </mergeCells>
  <phoneticPr fontId="14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H19" sqref="H19"/>
    </sheetView>
  </sheetViews>
  <sheetFormatPr defaultColWidth="9" defaultRowHeight="12.75"/>
  <cols>
    <col min="1" max="1" width="9" style="2601"/>
    <col min="2" max="6" width="9" style="2601" customWidth="1"/>
    <col min="7" max="7" width="9" style="2617" customWidth="1"/>
    <col min="8" max="12" width="9" style="2601" customWidth="1"/>
    <col min="13" max="13" width="2.125" style="2601" customWidth="1"/>
    <col min="14" max="14" width="9" style="2617" customWidth="1"/>
    <col min="15" max="17" width="9" style="2601" customWidth="1"/>
    <col min="18" max="18" width="2.375" style="2601" customWidth="1"/>
    <col min="19" max="19" width="7.125" style="2617" customWidth="1"/>
    <col min="20" max="22" width="7.125" style="2601" customWidth="1"/>
    <col min="23" max="23" width="24" style="2601" customWidth="1"/>
    <col min="24" max="25" width="9" style="2601"/>
    <col min="26" max="27" width="11.625" style="2601" customWidth="1"/>
    <col min="28" max="28" width="9" style="2601"/>
    <col min="29" max="29" width="2" style="2601" customWidth="1"/>
    <col min="30" max="16384" width="9" style="2601"/>
  </cols>
  <sheetData>
    <row r="1" spans="1:34" s="2592" customFormat="1">
      <c r="B1" s="3853" t="s">
        <v>2550</v>
      </c>
      <c r="C1" s="3853"/>
      <c r="D1" s="3853"/>
      <c r="E1" s="3853"/>
      <c r="F1" s="3853"/>
      <c r="G1" s="3852" t="s">
        <v>2551</v>
      </c>
      <c r="H1" s="3852"/>
      <c r="I1" s="3852"/>
      <c r="J1" s="3852"/>
      <c r="K1" s="3852"/>
      <c r="L1" s="3852"/>
      <c r="N1" s="3852" t="s">
        <v>2552</v>
      </c>
      <c r="O1" s="3852"/>
      <c r="P1" s="3852"/>
      <c r="Q1" s="3852"/>
      <c r="R1" s="2593"/>
      <c r="S1" s="3852" t="s">
        <v>2553</v>
      </c>
      <c r="T1" s="3852"/>
      <c r="U1" s="3852"/>
      <c r="V1" s="3852"/>
      <c r="X1" s="3851" t="s">
        <v>2613</v>
      </c>
      <c r="Y1" s="3852"/>
      <c r="Z1" s="3852"/>
      <c r="AA1" s="3852"/>
      <c r="AB1" s="3852"/>
      <c r="AD1" s="3851" t="s">
        <v>2617</v>
      </c>
      <c r="AE1" s="3852"/>
      <c r="AF1" s="3852"/>
      <c r="AG1" s="3852"/>
      <c r="AH1" s="3852"/>
    </row>
    <row r="2" spans="1:34" s="2694" customFormat="1" ht="14.25" thickBot="1">
      <c r="B2" s="2702" t="s">
        <v>2554</v>
      </c>
      <c r="C2" s="2702" t="s">
        <v>2615</v>
      </c>
      <c r="D2" s="2695" t="s">
        <v>1622</v>
      </c>
      <c r="E2" s="2695" t="s">
        <v>1925</v>
      </c>
      <c r="F2" s="2702" t="s">
        <v>2616</v>
      </c>
      <c r="G2" s="2698"/>
      <c r="H2" s="2697"/>
      <c r="I2" s="2702" t="s">
        <v>2931</v>
      </c>
      <c r="J2" s="2695" t="s">
        <v>2933</v>
      </c>
      <c r="K2" s="2695" t="s">
        <v>2934</v>
      </c>
      <c r="L2" s="2702" t="s">
        <v>2935</v>
      </c>
      <c r="N2" s="2702" t="s">
        <v>2554</v>
      </c>
      <c r="O2" s="2695" t="s">
        <v>2932</v>
      </c>
      <c r="P2" s="2695" t="s">
        <v>1925</v>
      </c>
      <c r="Q2" s="2702" t="s">
        <v>2616</v>
      </c>
      <c r="R2" s="2696"/>
      <c r="S2" s="2702" t="s">
        <v>2554</v>
      </c>
      <c r="T2" s="2695" t="s">
        <v>2932</v>
      </c>
      <c r="U2" s="2695" t="s">
        <v>1925</v>
      </c>
      <c r="V2" s="2702" t="s">
        <v>2616</v>
      </c>
      <c r="X2" s="2702" t="s">
        <v>2554</v>
      </c>
      <c r="Y2" s="2702" t="s">
        <v>2615</v>
      </c>
      <c r="Z2" s="2695" t="s">
        <v>1622</v>
      </c>
      <c r="AA2" s="2695" t="s">
        <v>1925</v>
      </c>
      <c r="AB2" s="2702" t="s">
        <v>2616</v>
      </c>
      <c r="AD2" s="2702" t="s">
        <v>2554</v>
      </c>
      <c r="AE2" s="2702" t="s">
        <v>2615</v>
      </c>
      <c r="AF2" s="2695" t="s">
        <v>1622</v>
      </c>
      <c r="AG2" s="2695" t="s">
        <v>1925</v>
      </c>
      <c r="AH2" s="2702" t="s">
        <v>2616</v>
      </c>
    </row>
    <row r="3" spans="1:34" s="3058" customFormat="1" ht="14.25">
      <c r="A3" s="3070" t="s">
        <v>2944</v>
      </c>
      <c r="B3" s="3059"/>
      <c r="C3" s="3059"/>
      <c r="D3" s="3060"/>
      <c r="E3" s="3060"/>
      <c r="F3" s="3059"/>
      <c r="G3" s="3061"/>
      <c r="H3" s="3062"/>
      <c r="I3" s="3069">
        <f>ROUND(AVERAGE($I4:$I30),2)</f>
        <v>1.85</v>
      </c>
      <c r="J3" s="3069">
        <f>ROUND(AVERAGE($J4:$J30),2)</f>
        <v>1.28</v>
      </c>
      <c r="K3" s="3069">
        <f>ROUND(AVERAGE($K4:$K30),2)</f>
        <v>2.0299999999999998</v>
      </c>
      <c r="L3" s="3069">
        <f>ROUND(AVERAGE($L4:$L30),2)</f>
        <v>1.31</v>
      </c>
      <c r="N3" s="3061"/>
      <c r="O3" s="3063"/>
      <c r="P3" s="3063"/>
      <c r="Q3" s="3063"/>
      <c r="R3" s="3063"/>
      <c r="S3" s="3061"/>
      <c r="T3" s="3063"/>
      <c r="U3" s="3063"/>
      <c r="V3" s="3063"/>
      <c r="W3" s="3066"/>
      <c r="X3" s="3064">
        <f>ROUND(SUMPRODUCT(PRODUCT(1+N3:N$29)),4)</f>
        <v>1.5605</v>
      </c>
      <c r="Y3" s="3064">
        <f>ROUND(SUMPRODUCT(PRODUCT(1+O3:O$29)),4)</f>
        <v>1.3577999999999999</v>
      </c>
      <c r="Z3" s="3064">
        <f t="shared" ref="Z3" si="0">Y3</f>
        <v>1.3577999999999999</v>
      </c>
      <c r="AA3" s="3064">
        <f>ROUND(SUMPRODUCT(PRODUCT(1+P3:P$29)),4)</f>
        <v>1.6254999999999999</v>
      </c>
      <c r="AB3" s="3064">
        <f>ROUND(SUMPRODUCT(PRODUCT(1+Q3:Q$29)),4)</f>
        <v>1.3815999999999999</v>
      </c>
      <c r="AD3" s="3065">
        <f>ROUND(AVERAGE(I3:I$30)/100,4)</f>
        <v>1.8499999999999999E-2</v>
      </c>
      <c r="AE3" s="3065">
        <f>ROUND(AVERAGE(J3:J$30)/100,4)</f>
        <v>1.2800000000000001E-2</v>
      </c>
      <c r="AF3" s="3065">
        <f t="shared" ref="AF3:AF28" si="1">AE3</f>
        <v>1.2800000000000001E-2</v>
      </c>
      <c r="AG3" s="3065">
        <f>ROUND(AVERAGE(K3:K$30)/100,4)</f>
        <v>2.0299999999999999E-2</v>
      </c>
      <c r="AH3" s="3065">
        <f>ROUND(AVERAGE(L3:L$30)/100,4)</f>
        <v>1.3100000000000001E-2</v>
      </c>
    </row>
    <row r="4" spans="1:34" s="2687" customFormat="1" ht="14.25">
      <c r="B4" s="2688"/>
      <c r="C4" s="2688"/>
      <c r="D4" s="2689"/>
      <c r="E4" s="2689"/>
      <c r="F4" s="2688"/>
      <c r="G4" s="2693"/>
      <c r="H4" s="2690"/>
      <c r="I4" s="3054"/>
      <c r="J4" s="3054"/>
      <c r="K4" s="3054"/>
      <c r="L4" s="3054"/>
      <c r="N4" s="2693"/>
      <c r="O4" s="2691"/>
      <c r="P4" s="2691"/>
      <c r="Q4" s="2691"/>
      <c r="R4" s="2691"/>
      <c r="S4" s="2693"/>
      <c r="T4" s="2691"/>
      <c r="U4" s="2691"/>
      <c r="V4" s="2691"/>
      <c r="W4" s="3067"/>
      <c r="X4" s="2692"/>
      <c r="Y4" s="2692"/>
      <c r="Z4" s="2692"/>
      <c r="AA4" s="2692"/>
      <c r="AB4" s="2692"/>
      <c r="AD4" s="2612"/>
      <c r="AE4" s="2612"/>
      <c r="AF4" s="2612"/>
      <c r="AG4" s="2612"/>
      <c r="AH4" s="2612"/>
    </row>
    <row r="5" spans="1:34" s="3042" customFormat="1">
      <c r="A5" s="3040" t="s">
        <v>2974</v>
      </c>
      <c r="B5" s="2726">
        <f t="shared" ref="B5" si="2">B6*(1+N5)</f>
        <v>479.92259063878413</v>
      </c>
      <c r="C5" s="2726">
        <f t="shared" ref="C5" si="3">C6*(1+O5)</f>
        <v>350.02082268341775</v>
      </c>
      <c r="D5" s="2726">
        <f t="shared" ref="D5" si="4">C5</f>
        <v>350.02082268341775</v>
      </c>
      <c r="E5" s="2726">
        <f t="shared" ref="E5" si="5">E6*(1+P5)</f>
        <v>687.42265944181099</v>
      </c>
      <c r="F5" s="2726">
        <f t="shared" ref="F5" si="6">F6*(1+Q5)</f>
        <v>317.63846657708956</v>
      </c>
      <c r="G5" s="2693">
        <v>2020</v>
      </c>
      <c r="H5" s="3041">
        <v>2</v>
      </c>
      <c r="I5" s="3055">
        <v>0</v>
      </c>
      <c r="J5" s="3055">
        <v>0</v>
      </c>
      <c r="K5" s="3055">
        <v>0</v>
      </c>
      <c r="L5" s="3055">
        <v>0</v>
      </c>
      <c r="N5" s="2700">
        <f t="shared" ref="N5" si="7">I5/100</f>
        <v>0</v>
      </c>
      <c r="O5" s="2700">
        <f t="shared" ref="O5" si="8">J5/100</f>
        <v>0</v>
      </c>
      <c r="P5" s="2700">
        <f t="shared" ref="P5" si="9">K5/100</f>
        <v>0</v>
      </c>
      <c r="Q5" s="2700">
        <f t="shared" ref="Q5" si="10">L5/100</f>
        <v>0</v>
      </c>
      <c r="R5" s="3043"/>
      <c r="S5" s="3044"/>
      <c r="T5" s="3043"/>
      <c r="U5" s="3043"/>
      <c r="V5" s="3043"/>
      <c r="W5" s="3068" t="s">
        <v>2945</v>
      </c>
      <c r="X5" s="3045">
        <f>ROUND(SUMPRODUCT(PRODUCT(1+N5:N$30)),4)</f>
        <v>1.6068</v>
      </c>
      <c r="Y5" s="3045">
        <f>ROUND(SUMPRODUCT(PRODUCT(1+O5:O$30)),4)</f>
        <v>1.3895999999999999</v>
      </c>
      <c r="Z5" s="3045">
        <f t="shared" ref="Z5" si="11">Y5</f>
        <v>1.3895999999999999</v>
      </c>
      <c r="AA5" s="3045">
        <f>ROUND(SUMPRODUCT(PRODUCT(1+P5:P$30)),4)</f>
        <v>1.6788000000000001</v>
      </c>
      <c r="AB5" s="3045">
        <f>ROUND(SUMPRODUCT(PRODUCT(1+Q5:Q$30)),4)</f>
        <v>1.4004000000000001</v>
      </c>
      <c r="AD5" s="3046">
        <f>ROUND(AVERAGE(I5:I$30)/100,4)</f>
        <v>1.8499999999999999E-2</v>
      </c>
      <c r="AE5" s="3046">
        <f>ROUND(AVERAGE(J5:J$30)/100,4)</f>
        <v>1.2800000000000001E-2</v>
      </c>
      <c r="AF5" s="3046">
        <f t="shared" ref="AF5" si="12">AE5</f>
        <v>1.2800000000000001E-2</v>
      </c>
      <c r="AG5" s="3046">
        <f>ROUND(AVERAGE(K5:K$30)/100,4)</f>
        <v>2.0299999999999999E-2</v>
      </c>
      <c r="AH5" s="3046">
        <f>ROUND(AVERAGE(L5:L$30)/100,4)</f>
        <v>1.3100000000000001E-2</v>
      </c>
    </row>
    <row r="6" spans="1:34" s="2699" customFormat="1">
      <c r="A6" s="2594" t="s">
        <v>2973</v>
      </c>
      <c r="B6" s="2607">
        <f t="shared" ref="B6" si="13">B7*(1+N6)</f>
        <v>479.92259063878413</v>
      </c>
      <c r="C6" s="2607">
        <f t="shared" ref="C6" si="14">C7*(1+O6)</f>
        <v>350.02082268341775</v>
      </c>
      <c r="D6" s="2607">
        <f t="shared" ref="D6" si="15">C6</f>
        <v>350.02082268341775</v>
      </c>
      <c r="E6" s="2607">
        <f t="shared" ref="E6" si="16">E7*(1+P6)</f>
        <v>687.42265944181099</v>
      </c>
      <c r="F6" s="2607">
        <f t="shared" ref="F6" si="17">F7*(1+Q6)</f>
        <v>317.63846657708956</v>
      </c>
      <c r="G6" s="2693">
        <v>2020</v>
      </c>
      <c r="H6" s="2597">
        <v>1</v>
      </c>
      <c r="I6" s="3166">
        <v>0.12</v>
      </c>
      <c r="J6" s="3166">
        <v>-0.4</v>
      </c>
      <c r="K6" s="3166">
        <v>0.21</v>
      </c>
      <c r="L6" s="3167">
        <v>0.27</v>
      </c>
      <c r="M6" s="2601"/>
      <c r="N6" s="2602">
        <f t="shared" ref="N6" si="18">I6/100</f>
        <v>1.1999999999999999E-3</v>
      </c>
      <c r="O6" s="2603">
        <f t="shared" ref="O6" si="19">J6/100</f>
        <v>-4.0000000000000001E-3</v>
      </c>
      <c r="P6" s="2603">
        <f t="shared" ref="P6" si="20">K6/100</f>
        <v>2.0999999999999999E-3</v>
      </c>
      <c r="Q6" s="2603">
        <f t="shared" ref="Q6" si="21">L6/100</f>
        <v>2.7000000000000001E-3</v>
      </c>
      <c r="R6" s="2604"/>
      <c r="S6" s="2610">
        <f>B6/B7-1</f>
        <v>1.2000000000000899E-3</v>
      </c>
      <c r="T6" s="2611">
        <f>C6/C7-1</f>
        <v>-4.0000000000000036E-3</v>
      </c>
      <c r="U6" s="2611">
        <f>E6/E7-1</f>
        <v>2.0999999999999908E-3</v>
      </c>
      <c r="V6" s="2611">
        <f>F6/F7-1</f>
        <v>2.6999999999999247E-3</v>
      </c>
      <c r="W6" s="2601"/>
      <c r="X6" s="2692">
        <f>ROUND(SUMPRODUCT(PRODUCT(1+N6:N$30)),4)</f>
        <v>1.6068</v>
      </c>
      <c r="Y6" s="2692">
        <f>ROUND(SUMPRODUCT(PRODUCT(1+O6:O$30)),4)</f>
        <v>1.3895999999999999</v>
      </c>
      <c r="Z6" s="2692">
        <f t="shared" ref="Z6" si="22">Y6</f>
        <v>1.3895999999999999</v>
      </c>
      <c r="AA6" s="2692">
        <f>ROUND(SUMPRODUCT(PRODUCT(1+P6:P$30)),4)</f>
        <v>1.6788000000000001</v>
      </c>
      <c r="AB6" s="2692">
        <f>ROUND(SUMPRODUCT(PRODUCT(1+Q6:Q$30)),4)</f>
        <v>1.4004000000000001</v>
      </c>
      <c r="AC6" s="2601"/>
      <c r="AD6" s="2612">
        <f>ROUND(AVERAGE(I6:I$30)/100,4)</f>
        <v>1.9199999999999998E-2</v>
      </c>
      <c r="AE6" s="2612">
        <f>ROUND(AVERAGE(J6:J$30)/100,4)</f>
        <v>1.3299999999999999E-2</v>
      </c>
      <c r="AF6" s="2612">
        <f t="shared" ref="AF6" si="23">AE6</f>
        <v>1.3299999999999999E-2</v>
      </c>
      <c r="AG6" s="2612">
        <f>ROUND(AVERAGE(K6:K$30)/100,4)</f>
        <v>2.1100000000000001E-2</v>
      </c>
      <c r="AH6" s="2612">
        <f>ROUND(AVERAGE(L6:L$30)/100,4)</f>
        <v>1.3599999999999999E-2</v>
      </c>
    </row>
    <row r="7" spans="1:34" s="2699" customFormat="1">
      <c r="A7" s="2594" t="s">
        <v>2972</v>
      </c>
      <c r="B7" s="2607">
        <f t="shared" ref="B7" si="24">B8*(1+N7)</f>
        <v>479.34737379023579</v>
      </c>
      <c r="C7" s="2607">
        <f t="shared" ref="C7" si="25">C8*(1+O7)</f>
        <v>351.4265287986122</v>
      </c>
      <c r="D7" s="2607">
        <f t="shared" ref="D7" si="26">C7</f>
        <v>351.4265287986122</v>
      </c>
      <c r="E7" s="2607">
        <f t="shared" ref="E7" si="27">E8*(1+P7)</f>
        <v>685.98209703803116</v>
      </c>
      <c r="F7" s="2607">
        <f t="shared" ref="F7" si="28">F8*(1+Q7)</f>
        <v>316.78315206651001</v>
      </c>
      <c r="G7" s="2693">
        <v>2019</v>
      </c>
      <c r="H7" s="2597">
        <v>4</v>
      </c>
      <c r="I7" s="2597">
        <v>0.45</v>
      </c>
      <c r="J7" s="2597">
        <v>-0.12</v>
      </c>
      <c r="K7" s="2597">
        <v>0.54</v>
      </c>
      <c r="L7" s="2608">
        <v>0.48</v>
      </c>
      <c r="M7" s="2601"/>
      <c r="N7" s="2602">
        <f t="shared" ref="N7" si="29">I7/100</f>
        <v>4.5000000000000005E-3</v>
      </c>
      <c r="O7" s="2603">
        <f t="shared" ref="O7" si="30">J7/100</f>
        <v>-1.1999999999999999E-3</v>
      </c>
      <c r="P7" s="2603">
        <f t="shared" ref="P7" si="31">K7/100</f>
        <v>5.4000000000000003E-3</v>
      </c>
      <c r="Q7" s="2603">
        <f t="shared" ref="Q7" si="32">L7/100</f>
        <v>4.7999999999999996E-3</v>
      </c>
      <c r="R7" s="2604"/>
      <c r="S7" s="2610"/>
      <c r="T7" s="2611"/>
      <c r="U7" s="2611"/>
      <c r="V7" s="2611"/>
      <c r="W7" s="2601"/>
      <c r="X7" s="2692">
        <f>ROUND(SUMPRODUCT(PRODUCT(1+N7:N$30)),4)</f>
        <v>1.6049</v>
      </c>
      <c r="Y7" s="2692">
        <f>ROUND(SUMPRODUCT(PRODUCT(1+O7:O$30)),4)</f>
        <v>1.3952</v>
      </c>
      <c r="Z7" s="2692">
        <f t="shared" ref="Z7:Z10" si="33">Y7</f>
        <v>1.3952</v>
      </c>
      <c r="AA7" s="2692">
        <f>ROUND(SUMPRODUCT(PRODUCT(1+P7:P$30)),4)</f>
        <v>1.6753</v>
      </c>
      <c r="AB7" s="2692">
        <f>ROUND(SUMPRODUCT(PRODUCT(1+Q7:Q$30)),4)</f>
        <v>1.3966000000000001</v>
      </c>
      <c r="AC7" s="2601"/>
      <c r="AD7" s="2612">
        <f>ROUND(AVERAGE(I7:I$30)/100,4)</f>
        <v>0.02</v>
      </c>
      <c r="AE7" s="2612">
        <f>ROUND(AVERAGE(J7:J$30)/100,4)</f>
        <v>1.4E-2</v>
      </c>
      <c r="AF7" s="2612">
        <f t="shared" ref="AF7" si="34">AE7</f>
        <v>1.4E-2</v>
      </c>
      <c r="AG7" s="2612">
        <f>ROUND(AVERAGE(K7:K$30)/100,4)</f>
        <v>2.1899999999999999E-2</v>
      </c>
      <c r="AH7" s="2612">
        <f>ROUND(AVERAGE(L7:L$30)/100,4)</f>
        <v>1.4E-2</v>
      </c>
    </row>
    <row r="8" spans="1:34" s="2699" customFormat="1" ht="13.5" thickBot="1">
      <c r="A8" s="2594" t="s">
        <v>2968</v>
      </c>
      <c r="B8" s="2607">
        <f t="shared" ref="B8" si="35">B9*(1+N8)</f>
        <v>477.19997390765138</v>
      </c>
      <c r="C8" s="2607">
        <f t="shared" ref="C8" si="36">C9*(1+O8)</f>
        <v>351.84874729536665</v>
      </c>
      <c r="D8" s="2607">
        <f t="shared" ref="D8" si="37">C8</f>
        <v>351.84874729536665</v>
      </c>
      <c r="E8" s="2607">
        <f t="shared" ref="E8" si="38">E9*(1+P8)</f>
        <v>682.29768951465201</v>
      </c>
      <c r="F8" s="2607">
        <f t="shared" ref="F8" si="39">F9*(1+Q8)</f>
        <v>315.26985675409043</v>
      </c>
      <c r="G8" s="2693">
        <v>2019</v>
      </c>
      <c r="H8" s="2597">
        <v>3</v>
      </c>
      <c r="I8" s="2597">
        <v>0.61</v>
      </c>
      <c r="J8" s="2597">
        <v>0.67</v>
      </c>
      <c r="K8" s="2597">
        <v>0.6</v>
      </c>
      <c r="L8" s="2608">
        <v>1.03</v>
      </c>
      <c r="M8" s="2601"/>
      <c r="N8" s="2602">
        <f t="shared" ref="N8" si="40">I8/100</f>
        <v>6.0999999999999995E-3</v>
      </c>
      <c r="O8" s="2603">
        <f t="shared" ref="O8" si="41">J8/100</f>
        <v>6.7000000000000002E-3</v>
      </c>
      <c r="P8" s="2603">
        <f t="shared" ref="P8" si="42">K8/100</f>
        <v>6.0000000000000001E-3</v>
      </c>
      <c r="Q8" s="2603">
        <f t="shared" ref="Q8" si="43">L8/100</f>
        <v>1.03E-2</v>
      </c>
      <c r="R8" s="2604"/>
      <c r="S8" s="2610"/>
      <c r="T8" s="2611"/>
      <c r="U8" s="2611"/>
      <c r="V8" s="2611"/>
      <c r="W8" s="2601"/>
      <c r="X8" s="2692">
        <f>ROUND(SUMPRODUCT(PRODUCT(1+N8:N$30)),4)</f>
        <v>1.5976999999999999</v>
      </c>
      <c r="Y8" s="2692">
        <f>ROUND(SUMPRODUCT(PRODUCT(1+O8:O$30)),4)</f>
        <v>1.3969</v>
      </c>
      <c r="Z8" s="2692">
        <f t="shared" si="33"/>
        <v>1.3969</v>
      </c>
      <c r="AA8" s="2692">
        <f>ROUND(SUMPRODUCT(PRODUCT(1+P8:P$30)),4)</f>
        <v>1.6662999999999999</v>
      </c>
      <c r="AB8" s="2692">
        <f>ROUND(SUMPRODUCT(PRODUCT(1+Q8:Q$30)),4)</f>
        <v>1.3898999999999999</v>
      </c>
      <c r="AC8" s="2601"/>
      <c r="AD8" s="2612">
        <f>ROUND(AVERAGE(I8:I$30)/100,4)</f>
        <v>2.07E-2</v>
      </c>
      <c r="AE8" s="2612">
        <f>ROUND(AVERAGE(J8:J$30)/100,4)</f>
        <v>1.47E-2</v>
      </c>
      <c r="AF8" s="2612">
        <f t="shared" ref="AF8" si="44">AE8</f>
        <v>1.47E-2</v>
      </c>
      <c r="AG8" s="2612">
        <f>ROUND(AVERAGE(K8:K$30)/100,4)</f>
        <v>2.2599999999999999E-2</v>
      </c>
      <c r="AH8" s="2612">
        <f>ROUND(AVERAGE(L8:L$30)/100,4)</f>
        <v>1.44E-2</v>
      </c>
    </row>
    <row r="9" spans="1:34" s="2699" customFormat="1">
      <c r="A9" s="2594" t="s">
        <v>2965</v>
      </c>
      <c r="B9" s="2607">
        <f t="shared" ref="B9:B14" si="45">B10*(1+N9)</f>
        <v>474.30670301923408</v>
      </c>
      <c r="C9" s="2607">
        <f t="shared" ref="C9" si="46">C10*(1+O9)</f>
        <v>349.50705005996491</v>
      </c>
      <c r="D9" s="2607">
        <f t="shared" ref="D9" si="47">C9</f>
        <v>349.50705005996491</v>
      </c>
      <c r="E9" s="2607">
        <f t="shared" ref="E9" si="48">E10*(1+P9)</f>
        <v>678.22831959706957</v>
      </c>
      <c r="F9" s="2607">
        <f t="shared" ref="F9" si="49">F10*(1+Q9)</f>
        <v>312.0556832169558</v>
      </c>
      <c r="G9" s="2693">
        <v>2019</v>
      </c>
      <c r="H9" s="2595">
        <v>2</v>
      </c>
      <c r="I9" s="2595">
        <v>1.53</v>
      </c>
      <c r="J9" s="2595">
        <v>1.01</v>
      </c>
      <c r="K9" s="2595">
        <v>1.62</v>
      </c>
      <c r="L9" s="2596">
        <v>1.25</v>
      </c>
      <c r="M9" s="2601"/>
      <c r="N9" s="2602">
        <f t="shared" ref="N9" si="50">I9/100</f>
        <v>1.5300000000000001E-2</v>
      </c>
      <c r="O9" s="2603">
        <f t="shared" ref="O9" si="51">J9/100</f>
        <v>1.01E-2</v>
      </c>
      <c r="P9" s="2603">
        <f t="shared" ref="P9" si="52">K9/100</f>
        <v>1.6200000000000003E-2</v>
      </c>
      <c r="Q9" s="2603">
        <f t="shared" ref="Q9" si="53">L9/100</f>
        <v>1.2500000000000001E-2</v>
      </c>
      <c r="R9" s="2604"/>
      <c r="S9" s="2610"/>
      <c r="T9" s="2611"/>
      <c r="U9" s="2611"/>
      <c r="V9" s="2611"/>
      <c r="W9" s="2601"/>
      <c r="X9" s="2692">
        <f>ROUND(SUMPRODUCT(PRODUCT(1+N9:N$30)),4)</f>
        <v>1.5880000000000001</v>
      </c>
      <c r="Y9" s="2692">
        <f>ROUND(SUMPRODUCT(PRODUCT(1+O9:O$30)),4)</f>
        <v>1.3875999999999999</v>
      </c>
      <c r="Z9" s="2692">
        <f t="shared" si="33"/>
        <v>1.3875999999999999</v>
      </c>
      <c r="AA9" s="2692">
        <f>ROUND(SUMPRODUCT(PRODUCT(1+P9:P$30)),4)</f>
        <v>1.6563000000000001</v>
      </c>
      <c r="AB9" s="2692">
        <f>ROUND(SUMPRODUCT(PRODUCT(1+Q9:Q$30)),4)</f>
        <v>1.3756999999999999</v>
      </c>
      <c r="AC9" s="2601"/>
      <c r="AD9" s="2612">
        <f>ROUND(AVERAGE(I9:I$30)/100,4)</f>
        <v>2.1299999999999999E-2</v>
      </c>
      <c r="AE9" s="2612">
        <f>ROUND(AVERAGE(J9:J$30)/100,4)</f>
        <v>1.4999999999999999E-2</v>
      </c>
      <c r="AF9" s="2612">
        <f t="shared" ref="AF9" si="54">AE9</f>
        <v>1.4999999999999999E-2</v>
      </c>
      <c r="AG9" s="2612">
        <f>ROUND(AVERAGE(K9:K$30)/100,4)</f>
        <v>2.3300000000000001E-2</v>
      </c>
      <c r="AH9" s="2612">
        <f>ROUND(AVERAGE(L9:L$30)/100,4)</f>
        <v>1.46E-2</v>
      </c>
    </row>
    <row r="10" spans="1:34" s="2699" customFormat="1" ht="13.5" thickBot="1">
      <c r="A10" s="2594" t="s">
        <v>2964</v>
      </c>
      <c r="B10" s="2607">
        <f t="shared" si="45"/>
        <v>467.15916775261894</v>
      </c>
      <c r="C10" s="2607">
        <f t="shared" ref="C10" si="55">C11*(1+O10)</f>
        <v>346.01232557169084</v>
      </c>
      <c r="D10" s="2607">
        <f t="shared" ref="D10" si="56">C10</f>
        <v>346.01232557169084</v>
      </c>
      <c r="E10" s="2607">
        <f t="shared" ref="E10" si="57">E11*(1+P10)</f>
        <v>667.41617752122568</v>
      </c>
      <c r="F10" s="2607">
        <f t="shared" ref="F10" si="58">F11*(1+Q10)</f>
        <v>308.20314391798104</v>
      </c>
      <c r="G10" s="2693">
        <v>2019</v>
      </c>
      <c r="H10" s="2597">
        <v>1</v>
      </c>
      <c r="I10" s="2597">
        <v>0.6</v>
      </c>
      <c r="J10" s="2597">
        <v>0.37</v>
      </c>
      <c r="K10" s="2597">
        <v>0.63</v>
      </c>
      <c r="L10" s="2608">
        <v>1.1299999999999999</v>
      </c>
      <c r="M10" s="2601"/>
      <c r="N10" s="2602">
        <f t="shared" ref="N10" si="59">I10/100</f>
        <v>6.0000000000000001E-3</v>
      </c>
      <c r="O10" s="2603">
        <f t="shared" ref="O10" si="60">J10/100</f>
        <v>3.7000000000000002E-3</v>
      </c>
      <c r="P10" s="2603">
        <f t="shared" ref="P10" si="61">K10/100</f>
        <v>6.3E-3</v>
      </c>
      <c r="Q10" s="2603">
        <f t="shared" ref="Q10" si="62">L10/100</f>
        <v>1.1299999999999999E-2</v>
      </c>
      <c r="R10" s="2604"/>
      <c r="S10" s="2610">
        <f>B10/B11-1</f>
        <v>6.0000000000000053E-3</v>
      </c>
      <c r="T10" s="2611">
        <f>C10/C11-1</f>
        <v>3.7000000000000366E-3</v>
      </c>
      <c r="U10" s="2611">
        <f>E10/E11-1</f>
        <v>6.2999999999999723E-3</v>
      </c>
      <c r="V10" s="2611">
        <f>F10/F11-1</f>
        <v>1.1300000000000088E-2</v>
      </c>
      <c r="W10" s="2601"/>
      <c r="X10" s="3158">
        <f>ROUND(SUMPRODUCT(PRODUCT(1+N10:N$30)),4)</f>
        <v>1.5641</v>
      </c>
      <c r="Y10" s="3158">
        <f>ROUND(SUMPRODUCT(PRODUCT(1+O10:O$30)),4)</f>
        <v>1.3736999999999999</v>
      </c>
      <c r="Z10" s="3158">
        <f t="shared" si="33"/>
        <v>1.3736999999999999</v>
      </c>
      <c r="AA10" s="3158">
        <f>ROUND(SUMPRODUCT(PRODUCT(1+P10:P$30)),4)</f>
        <v>1.6298999999999999</v>
      </c>
      <c r="AB10" s="3158">
        <f>ROUND(SUMPRODUCT(PRODUCT(1+Q10:Q$30)),4)</f>
        <v>1.3588</v>
      </c>
      <c r="AC10" s="2601"/>
      <c r="AD10" s="2612">
        <f>ROUND(AVERAGE(I10:I$30)/100,4)</f>
        <v>2.1600000000000001E-2</v>
      </c>
      <c r="AE10" s="2612">
        <f>ROUND(AVERAGE(J10:J$30)/100,4)</f>
        <v>1.5299999999999999E-2</v>
      </c>
      <c r="AF10" s="2612">
        <f t="shared" ref="AF10" si="63">AE10</f>
        <v>1.5299999999999999E-2</v>
      </c>
      <c r="AG10" s="2612">
        <f>ROUND(AVERAGE(K10:K$30)/100,4)</f>
        <v>2.3699999999999999E-2</v>
      </c>
      <c r="AH10" s="2612">
        <f>ROUND(AVERAGE(L10:L$30)/100,4)</f>
        <v>1.47E-2</v>
      </c>
    </row>
    <row r="11" spans="1:34" s="2699" customFormat="1">
      <c r="A11" s="2594" t="s">
        <v>2961</v>
      </c>
      <c r="B11" s="3154">
        <f t="shared" si="45"/>
        <v>464.37293017158942</v>
      </c>
      <c r="C11" s="3154">
        <f t="shared" ref="C11" si="64">C12*(1+O11)</f>
        <v>344.73679941385956</v>
      </c>
      <c r="D11" s="3154">
        <f t="shared" ref="D11" si="65">C11</f>
        <v>344.73679941385956</v>
      </c>
      <c r="E11" s="3154">
        <f t="shared" ref="E11" si="66">E12*(1+P11)</f>
        <v>663.2377795103107</v>
      </c>
      <c r="F11" s="3155">
        <f t="shared" ref="F11" si="67">F12*(1+Q11)</f>
        <v>304.75936311478398</v>
      </c>
      <c r="G11" s="3855">
        <v>2018</v>
      </c>
      <c r="H11" s="2595">
        <v>4</v>
      </c>
      <c r="I11" s="2595">
        <v>0.96</v>
      </c>
      <c r="J11" s="2595">
        <v>1.03</v>
      </c>
      <c r="K11" s="2595">
        <v>0.92</v>
      </c>
      <c r="L11" s="2596">
        <v>1.29</v>
      </c>
      <c r="M11" s="2601"/>
      <c r="N11" s="2602">
        <f t="shared" ref="N11" si="68">I11/100</f>
        <v>9.5999999999999992E-3</v>
      </c>
      <c r="O11" s="2603">
        <f t="shared" ref="O11" si="69">J11/100</f>
        <v>1.03E-2</v>
      </c>
      <c r="P11" s="2603">
        <f t="shared" ref="P11" si="70">K11/100</f>
        <v>9.1999999999999998E-3</v>
      </c>
      <c r="Q11" s="2603">
        <f t="shared" ref="Q11" si="71">L11/100</f>
        <v>1.29E-2</v>
      </c>
      <c r="R11" s="2604"/>
      <c r="S11" s="2605"/>
      <c r="T11" s="2606"/>
      <c r="U11" s="2606"/>
      <c r="V11" s="2606"/>
      <c r="W11" s="2601"/>
      <c r="X11" s="3158">
        <f>ROUND(SUMPRODUCT(PRODUCT(1+N11:N$30)),4)</f>
        <v>1.5548</v>
      </c>
      <c r="Y11" s="3158">
        <f>ROUND(SUMPRODUCT(PRODUCT(1+O11:O$30)),4)</f>
        <v>1.3686</v>
      </c>
      <c r="Z11" s="3158">
        <f t="shared" ref="Z11:Z29" si="72">Y11</f>
        <v>1.3686</v>
      </c>
      <c r="AA11" s="3158">
        <f>ROUND(SUMPRODUCT(PRODUCT(1+P11:P$30)),4)</f>
        <v>1.6196999999999999</v>
      </c>
      <c r="AB11" s="3158">
        <f>ROUND(SUMPRODUCT(PRODUCT(1+Q11:Q$30)),4)</f>
        <v>1.3435999999999999</v>
      </c>
      <c r="AC11" s="2601"/>
      <c r="AD11" s="2612">
        <f>ROUND(AVERAGE(I11:I$30)/100,4)</f>
        <v>2.24E-2</v>
      </c>
      <c r="AE11" s="2612">
        <f>ROUND(AVERAGE(J11:J$30)/100,4)</f>
        <v>1.5800000000000002E-2</v>
      </c>
      <c r="AF11" s="2612">
        <f t="shared" ref="AF11" si="73">AE11</f>
        <v>1.5800000000000002E-2</v>
      </c>
      <c r="AG11" s="2612">
        <f>ROUND(AVERAGE(K11:K$30)/100,4)</f>
        <v>2.4500000000000001E-2</v>
      </c>
      <c r="AH11" s="2612">
        <f>ROUND(AVERAGE(L11:L$30)/100,4)</f>
        <v>1.49E-2</v>
      </c>
    </row>
    <row r="12" spans="1:34" s="2699" customFormat="1" ht="14.45" customHeight="1">
      <c r="A12" s="2594" t="s">
        <v>2954</v>
      </c>
      <c r="B12" s="2607">
        <f t="shared" si="45"/>
        <v>459.95733971036987</v>
      </c>
      <c r="C12" s="2607">
        <f t="shared" ref="C12" si="74">C13*(1+O12)</f>
        <v>341.22221064422405</v>
      </c>
      <c r="D12" s="2607">
        <f t="shared" ref="D12" si="75">C12</f>
        <v>341.22221064422405</v>
      </c>
      <c r="E12" s="2607">
        <f t="shared" ref="E12" si="76">E13*(1+P12)</f>
        <v>657.19161663724799</v>
      </c>
      <c r="F12" s="2607">
        <f t="shared" ref="F12" si="77">F13*(1+Q12)</f>
        <v>300.87803644464805</v>
      </c>
      <c r="G12" s="3855"/>
      <c r="H12" s="2597">
        <v>3</v>
      </c>
      <c r="I12" s="2597">
        <v>1.51</v>
      </c>
      <c r="J12" s="2597">
        <v>1.41</v>
      </c>
      <c r="K12" s="2597">
        <v>1.52</v>
      </c>
      <c r="L12" s="2608">
        <v>1.74</v>
      </c>
      <c r="M12" s="2601"/>
      <c r="N12" s="2602">
        <f t="shared" ref="N12" si="78">I12/100</f>
        <v>1.5100000000000001E-2</v>
      </c>
      <c r="O12" s="2603">
        <f t="shared" ref="O12" si="79">J12/100</f>
        <v>1.41E-2</v>
      </c>
      <c r="P12" s="2603">
        <f t="shared" ref="P12" si="80">K12/100</f>
        <v>1.52E-2</v>
      </c>
      <c r="Q12" s="2603">
        <f t="shared" ref="Q12" si="81">L12/100</f>
        <v>1.7399999999999999E-2</v>
      </c>
      <c r="R12" s="2604"/>
      <c r="S12" s="2602"/>
      <c r="T12" s="2603"/>
      <c r="U12" s="2603"/>
      <c r="V12" s="2603"/>
      <c r="W12" s="2601"/>
      <c r="X12" s="3158">
        <f>ROUND(SUMPRODUCT(PRODUCT(1+N12:N$30)),4)</f>
        <v>1.54</v>
      </c>
      <c r="Y12" s="3158">
        <f>ROUND(SUMPRODUCT(PRODUCT(1+O12:O$30)),4)</f>
        <v>1.3547</v>
      </c>
      <c r="Z12" s="3158">
        <f t="shared" si="72"/>
        <v>1.3547</v>
      </c>
      <c r="AA12" s="3158">
        <f>ROUND(SUMPRODUCT(PRODUCT(1+P12:P$30)),4)</f>
        <v>1.605</v>
      </c>
      <c r="AB12" s="3158">
        <f>ROUND(SUMPRODUCT(PRODUCT(1+Q12:Q$30)),4)</f>
        <v>1.3265</v>
      </c>
      <c r="AC12" s="2601"/>
      <c r="AD12" s="2612">
        <f>ROUND(AVERAGE(I12:I$30)/100,4)</f>
        <v>2.3099999999999999E-2</v>
      </c>
      <c r="AE12" s="2612">
        <f>ROUND(AVERAGE(J12:J$30)/100,4)</f>
        <v>1.61E-2</v>
      </c>
      <c r="AF12" s="2612">
        <f t="shared" ref="AF12" si="82">AE12</f>
        <v>1.61E-2</v>
      </c>
      <c r="AG12" s="2612">
        <f>ROUND(AVERAGE(K12:K$30)/100,4)</f>
        <v>2.53E-2</v>
      </c>
      <c r="AH12" s="2612">
        <f>ROUND(AVERAGE(L12:L$30)/100,4)</f>
        <v>1.4999999999999999E-2</v>
      </c>
    </row>
    <row r="13" spans="1:34" s="2699" customFormat="1" ht="14.45" customHeight="1">
      <c r="A13" s="2594" t="s">
        <v>2955</v>
      </c>
      <c r="B13" s="2607">
        <f t="shared" si="45"/>
        <v>453.11529869999993</v>
      </c>
      <c r="C13" s="2607">
        <f t="shared" ref="C13" si="83">C14*(1+O13)</f>
        <v>336.47787264000004</v>
      </c>
      <c r="D13" s="2607">
        <f t="shared" ref="D13" si="84">C13</f>
        <v>336.47787264000004</v>
      </c>
      <c r="E13" s="2607">
        <f t="shared" ref="E13" si="85">E14*(1+P13)</f>
        <v>647.35186823999993</v>
      </c>
      <c r="F13" s="2607">
        <f t="shared" ref="F13" si="86">F14*(1+Q13)</f>
        <v>295.73229452000004</v>
      </c>
      <c r="G13" s="3855"/>
      <c r="H13" s="2598">
        <v>2</v>
      </c>
      <c r="I13" s="2598">
        <v>1.49</v>
      </c>
      <c r="J13" s="2598">
        <v>0.96</v>
      </c>
      <c r="K13" s="2598">
        <v>1.58</v>
      </c>
      <c r="L13" s="2609">
        <v>2.44</v>
      </c>
      <c r="M13" s="2601"/>
      <c r="N13" s="2602">
        <f t="shared" ref="N13" si="87">I13/100</f>
        <v>1.49E-2</v>
      </c>
      <c r="O13" s="2603">
        <f t="shared" ref="O13" si="88">J13/100</f>
        <v>9.5999999999999992E-3</v>
      </c>
      <c r="P13" s="2603">
        <f t="shared" ref="P13" si="89">K13/100</f>
        <v>1.5800000000000002E-2</v>
      </c>
      <c r="Q13" s="2603">
        <f t="shared" ref="Q13" si="90">L13/100</f>
        <v>2.4399999999999998E-2</v>
      </c>
      <c r="R13" s="2604"/>
      <c r="S13" s="2602"/>
      <c r="T13" s="2603"/>
      <c r="U13" s="2603"/>
      <c r="V13" s="2603"/>
      <c r="W13" s="2601"/>
      <c r="X13" s="3158">
        <f>ROUND(SUMPRODUCT(PRODUCT(1+N13:N$30)),4)</f>
        <v>1.5170999999999999</v>
      </c>
      <c r="Y13" s="3158">
        <f>ROUND(SUMPRODUCT(PRODUCT(1+O13:O$30)),4)</f>
        <v>1.3358000000000001</v>
      </c>
      <c r="Z13" s="3158">
        <f t="shared" si="72"/>
        <v>1.3358000000000001</v>
      </c>
      <c r="AA13" s="3158">
        <f>ROUND(SUMPRODUCT(PRODUCT(1+P13:P$30)),4)</f>
        <v>1.5809</v>
      </c>
      <c r="AB13" s="3158">
        <f>ROUND(SUMPRODUCT(PRODUCT(1+Q13:Q$30)),4)</f>
        <v>1.3038000000000001</v>
      </c>
      <c r="AC13" s="2601"/>
      <c r="AD13" s="2612">
        <f>ROUND(AVERAGE(I13:I$30)/100,4)</f>
        <v>2.35E-2</v>
      </c>
      <c r="AE13" s="2612">
        <f>ROUND(AVERAGE(J13:J$30)/100,4)</f>
        <v>1.6199999999999999E-2</v>
      </c>
      <c r="AF13" s="2612">
        <f t="shared" ref="AF13" si="91">AE13</f>
        <v>1.6199999999999999E-2</v>
      </c>
      <c r="AG13" s="2612">
        <f>ROUND(AVERAGE(K13:K$30)/100,4)</f>
        <v>2.5899999999999999E-2</v>
      </c>
      <c r="AH13" s="2612">
        <f>ROUND(AVERAGE(L13:L$30)/100,4)</f>
        <v>1.49E-2</v>
      </c>
    </row>
    <row r="14" spans="1:34" s="2699" customFormat="1" ht="15" customHeight="1" thickBot="1">
      <c r="A14" s="2594" t="s">
        <v>2951</v>
      </c>
      <c r="B14" s="2607">
        <f t="shared" si="45"/>
        <v>446.46299999999997</v>
      </c>
      <c r="C14" s="2607">
        <f t="shared" ref="C14" si="92">C15*(1+O14)</f>
        <v>333.27840000000003</v>
      </c>
      <c r="D14" s="2607">
        <f t="shared" ref="D14:D19" si="93">C14</f>
        <v>333.27840000000003</v>
      </c>
      <c r="E14" s="2607">
        <f t="shared" ref="E14" si="94">E15*(1+P14)</f>
        <v>637.28279999999995</v>
      </c>
      <c r="F14" s="2607">
        <f t="shared" ref="F14" si="95">F15*(1+Q14)</f>
        <v>288.68830000000003</v>
      </c>
      <c r="G14" s="3861"/>
      <c r="H14" s="2597">
        <v>1</v>
      </c>
      <c r="I14" s="2597">
        <v>1.7</v>
      </c>
      <c r="J14" s="2597">
        <v>1.92</v>
      </c>
      <c r="K14" s="2597">
        <v>1.64</v>
      </c>
      <c r="L14" s="2608">
        <v>2.0099999999999998</v>
      </c>
      <c r="M14" s="2601"/>
      <c r="N14" s="2602">
        <f t="shared" ref="N14:N19" si="96">I14/100</f>
        <v>1.7000000000000001E-2</v>
      </c>
      <c r="O14" s="2603">
        <f t="shared" ref="O14" si="97">J14/100</f>
        <v>1.9199999999999998E-2</v>
      </c>
      <c r="P14" s="2603">
        <f t="shared" ref="P14" si="98">K14/100</f>
        <v>1.6399999999999998E-2</v>
      </c>
      <c r="Q14" s="2603">
        <f t="shared" ref="Q14" si="99">L14/100</f>
        <v>2.0099999999999996E-2</v>
      </c>
      <c r="R14" s="2604"/>
      <c r="S14" s="2610">
        <f>B14/B15-1</f>
        <v>1.6999999999999904E-2</v>
      </c>
      <c r="T14" s="2611">
        <f>C14/C15-1</f>
        <v>1.9200000000000106E-2</v>
      </c>
      <c r="U14" s="2611">
        <f>E14/E15-1</f>
        <v>1.639999999999997E-2</v>
      </c>
      <c r="V14" s="2611">
        <f>F14/F15-1</f>
        <v>2.0100000000000007E-2</v>
      </c>
      <c r="W14" s="2601"/>
      <c r="X14" s="3158">
        <f>ROUND(SUMPRODUCT(PRODUCT(1+N14:N$30)),4)</f>
        <v>1.4947999999999999</v>
      </c>
      <c r="Y14" s="3158">
        <f>ROUND(SUMPRODUCT(PRODUCT(1+O14:O$30)),4)</f>
        <v>1.3230999999999999</v>
      </c>
      <c r="Z14" s="3158">
        <f t="shared" si="72"/>
        <v>1.3230999999999999</v>
      </c>
      <c r="AA14" s="3158">
        <f>ROUND(SUMPRODUCT(PRODUCT(1+P14:P$30)),4)</f>
        <v>1.5564</v>
      </c>
      <c r="AB14" s="3158">
        <f>ROUND(SUMPRODUCT(PRODUCT(1+Q14:Q$30)),4)</f>
        <v>1.2726999999999999</v>
      </c>
      <c r="AC14" s="2601"/>
      <c r="AD14" s="2612">
        <f>ROUND(AVERAGE(I14:I$30)/100,4)</f>
        <v>2.4E-2</v>
      </c>
      <c r="AE14" s="2612">
        <f>ROUND(AVERAGE(J14:J$30)/100,4)</f>
        <v>1.66E-2</v>
      </c>
      <c r="AF14" s="2612">
        <f t="shared" ref="AF14" si="100">AE14</f>
        <v>1.66E-2</v>
      </c>
      <c r="AG14" s="2612">
        <f>ROUND(AVERAGE(K14:K$30)/100,4)</f>
        <v>2.6499999999999999E-2</v>
      </c>
      <c r="AH14" s="2612">
        <f>ROUND(AVERAGE(L14:L$30)/100,4)</f>
        <v>1.43E-2</v>
      </c>
    </row>
    <row r="15" spans="1:34">
      <c r="A15" s="2594" t="s">
        <v>2942</v>
      </c>
      <c r="B15" s="3072">
        <v>439</v>
      </c>
      <c r="C15" s="3072">
        <v>327</v>
      </c>
      <c r="D15" s="3072">
        <f t="shared" si="93"/>
        <v>327</v>
      </c>
      <c r="E15" s="3072">
        <v>627</v>
      </c>
      <c r="F15" s="3073">
        <v>283</v>
      </c>
      <c r="G15" s="3860">
        <v>2017</v>
      </c>
      <c r="H15" s="2595">
        <v>4</v>
      </c>
      <c r="I15" s="2595">
        <v>1.71</v>
      </c>
      <c r="J15" s="2595">
        <v>1.78</v>
      </c>
      <c r="K15" s="2595">
        <v>1.71</v>
      </c>
      <c r="L15" s="2596">
        <v>1.43</v>
      </c>
      <c r="N15" s="2615">
        <f t="shared" si="96"/>
        <v>1.7100000000000001E-2</v>
      </c>
      <c r="O15" s="2616">
        <f t="shared" ref="O15" si="101">J15/100</f>
        <v>1.78E-2</v>
      </c>
      <c r="P15" s="2616">
        <f t="shared" ref="P15" si="102">K15/100</f>
        <v>1.7100000000000001E-2</v>
      </c>
      <c r="Q15" s="2616">
        <f t="shared" ref="Q15" si="103">L15/100</f>
        <v>1.43E-2</v>
      </c>
      <c r="R15" s="2604"/>
      <c r="S15" s="2605"/>
      <c r="T15" s="2606"/>
      <c r="U15" s="2606"/>
      <c r="V15" s="2606"/>
      <c r="X15" s="3158">
        <f>ROUND(SUMPRODUCT(PRODUCT(1+N15:N$30)),4)</f>
        <v>1.4698</v>
      </c>
      <c r="Y15" s="3158">
        <f>ROUND(SUMPRODUCT(PRODUCT(1+O15:O$30)),4)</f>
        <v>1.2982</v>
      </c>
      <c r="Z15" s="3158">
        <f t="shared" si="72"/>
        <v>1.2982</v>
      </c>
      <c r="AA15" s="3158">
        <f>ROUND(SUMPRODUCT(PRODUCT(1+P15:P$30)),4)</f>
        <v>1.5311999999999999</v>
      </c>
      <c r="AB15" s="3158">
        <f>ROUND(SUMPRODUCT(PRODUCT(1+Q15:Q$30)),4)</f>
        <v>1.2476</v>
      </c>
      <c r="AD15" s="2612">
        <f>ROUND(AVERAGE(I15:I$30)/100,4)</f>
        <v>2.4500000000000001E-2</v>
      </c>
      <c r="AE15" s="2612">
        <f>ROUND(AVERAGE(J15:J$30)/100,4)</f>
        <v>1.6500000000000001E-2</v>
      </c>
      <c r="AF15" s="2612">
        <f t="shared" si="1"/>
        <v>1.6500000000000001E-2</v>
      </c>
      <c r="AG15" s="2612">
        <f>ROUND(AVERAGE(K15:K$30)/100,4)</f>
        <v>2.7099999999999999E-2</v>
      </c>
      <c r="AH15" s="2612">
        <f>ROUND(AVERAGE(L15:L$30)/100,4)</f>
        <v>1.3899999999999999E-2</v>
      </c>
    </row>
    <row r="16" spans="1:34" s="2699" customFormat="1" ht="14.45" customHeight="1">
      <c r="A16" s="2594" t="s">
        <v>2946</v>
      </c>
      <c r="B16" s="2607">
        <f t="shared" ref="B16:C18" si="104">B17*(1+N16)</f>
        <v>431.80730811680002</v>
      </c>
      <c r="C16" s="2607">
        <f t="shared" si="104"/>
        <v>320.57880516480003</v>
      </c>
      <c r="D16" s="2607">
        <f t="shared" si="93"/>
        <v>320.57880516480003</v>
      </c>
      <c r="E16" s="2607">
        <f t="shared" ref="E16:F18" si="105">E17*(1+P16)</f>
        <v>615.96110553196797</v>
      </c>
      <c r="F16" s="2607">
        <f t="shared" si="105"/>
        <v>279.46777300108801</v>
      </c>
      <c r="G16" s="3855"/>
      <c r="H16" s="2597">
        <v>3</v>
      </c>
      <c r="I16" s="2597">
        <v>2.98</v>
      </c>
      <c r="J16" s="2597">
        <v>2.11</v>
      </c>
      <c r="K16" s="2597">
        <v>3.24</v>
      </c>
      <c r="L16" s="2608">
        <v>1.72</v>
      </c>
      <c r="M16" s="2601"/>
      <c r="N16" s="2602">
        <f t="shared" si="96"/>
        <v>2.98E-2</v>
      </c>
      <c r="O16" s="2620">
        <f t="shared" ref="O16:O17" si="106">J16/100</f>
        <v>2.1099999999999997E-2</v>
      </c>
      <c r="P16" s="2620">
        <f t="shared" ref="P16:P17" si="107">K16/100</f>
        <v>3.2400000000000005E-2</v>
      </c>
      <c r="Q16" s="2620">
        <f t="shared" ref="Q16:Q17" si="108">L16/100</f>
        <v>1.72E-2</v>
      </c>
      <c r="R16" s="2604"/>
      <c r="S16" s="2602"/>
      <c r="T16" s="2603"/>
      <c r="U16" s="2603"/>
      <c r="V16" s="2603"/>
      <c r="W16" s="2601"/>
      <c r="X16" s="3158">
        <f>ROUND(SUMPRODUCT(PRODUCT(1+N16:N$30)),4)</f>
        <v>1.4451000000000001</v>
      </c>
      <c r="Y16" s="3158">
        <f>ROUND(SUMPRODUCT(PRODUCT(1+O16:O$30)),4)</f>
        <v>1.2755000000000001</v>
      </c>
      <c r="Z16" s="3158">
        <f t="shared" si="72"/>
        <v>1.2755000000000001</v>
      </c>
      <c r="AA16" s="3158">
        <f>ROUND(SUMPRODUCT(PRODUCT(1+P16:P$30)),4)</f>
        <v>1.5055000000000001</v>
      </c>
      <c r="AB16" s="3158">
        <f>ROUND(SUMPRODUCT(PRODUCT(1+Q16:Q$30)),4)</f>
        <v>1.2301</v>
      </c>
      <c r="AC16" s="2601"/>
      <c r="AD16" s="2612">
        <f>ROUND(AVERAGE(I16:I$30)/100,4)</f>
        <v>2.4899999999999999E-2</v>
      </c>
      <c r="AE16" s="2612">
        <f>ROUND(AVERAGE(J16:J$30)/100,4)</f>
        <v>1.6400000000000001E-2</v>
      </c>
      <c r="AF16" s="2612">
        <f t="shared" si="1"/>
        <v>1.6400000000000001E-2</v>
      </c>
      <c r="AG16" s="2612">
        <f>ROUND(AVERAGE(K16:K$30)/100,4)</f>
        <v>2.7799999999999998E-2</v>
      </c>
      <c r="AH16" s="2612">
        <f>ROUND(AVERAGE(L16:L$30)/100,4)</f>
        <v>1.3899999999999999E-2</v>
      </c>
    </row>
    <row r="17" spans="1:34" s="2592" customFormat="1" ht="14.45" customHeight="1">
      <c r="A17" s="2594" t="s">
        <v>2555</v>
      </c>
      <c r="B17" s="2607">
        <f t="shared" si="104"/>
        <v>419.31181600000002</v>
      </c>
      <c r="C17" s="2607">
        <f t="shared" si="104"/>
        <v>313.95436800000004</v>
      </c>
      <c r="D17" s="2607">
        <f t="shared" si="93"/>
        <v>313.95436800000004</v>
      </c>
      <c r="E17" s="2607">
        <f t="shared" si="105"/>
        <v>596.63028431999999</v>
      </c>
      <c r="F17" s="2607">
        <f t="shared" si="105"/>
        <v>274.74220703999998</v>
      </c>
      <c r="G17" s="3855"/>
      <c r="H17" s="2598">
        <v>2</v>
      </c>
      <c r="I17" s="2598">
        <v>3.4</v>
      </c>
      <c r="J17" s="2598">
        <v>2</v>
      </c>
      <c r="K17" s="2598">
        <v>3.82</v>
      </c>
      <c r="L17" s="2609">
        <v>1.68</v>
      </c>
      <c r="N17" s="2602">
        <f t="shared" si="96"/>
        <v>3.4000000000000002E-2</v>
      </c>
      <c r="O17" s="2620">
        <f t="shared" si="106"/>
        <v>0.02</v>
      </c>
      <c r="P17" s="2620">
        <f t="shared" si="107"/>
        <v>3.8199999999999998E-2</v>
      </c>
      <c r="Q17" s="2620">
        <f t="shared" si="108"/>
        <v>1.6799999999999999E-2</v>
      </c>
      <c r="R17" s="2593"/>
      <c r="S17" s="2602"/>
      <c r="T17" s="2603"/>
      <c r="U17" s="2603"/>
      <c r="V17" s="2603"/>
      <c r="X17" s="3158">
        <f>ROUND(SUMPRODUCT(PRODUCT(1+N17:N$30)),4)</f>
        <v>1.4033</v>
      </c>
      <c r="Y17" s="3158">
        <f>ROUND(SUMPRODUCT(PRODUCT(1+O17:O$30)),4)</f>
        <v>1.2491000000000001</v>
      </c>
      <c r="Z17" s="3158">
        <f t="shared" si="72"/>
        <v>1.2491000000000001</v>
      </c>
      <c r="AA17" s="3158">
        <f>ROUND(SUMPRODUCT(PRODUCT(1+P17:P$30)),4)</f>
        <v>1.4581999999999999</v>
      </c>
      <c r="AB17" s="3158">
        <f>ROUND(SUMPRODUCT(PRODUCT(1+Q17:Q$30)),4)</f>
        <v>1.2093</v>
      </c>
      <c r="AD17" s="2612">
        <f>ROUND(AVERAGE(I17:I$30)/100,4)</f>
        <v>2.46E-2</v>
      </c>
      <c r="AE17" s="2612">
        <f>ROUND(AVERAGE(J17:J$30)/100,4)</f>
        <v>1.6E-2</v>
      </c>
      <c r="AF17" s="2612">
        <f t="shared" si="1"/>
        <v>1.6E-2</v>
      </c>
      <c r="AG17" s="2612">
        <f>ROUND(AVERAGE(K17:K$30)/100,4)</f>
        <v>2.75E-2</v>
      </c>
      <c r="AH17" s="2612">
        <f>ROUND(AVERAGE(L17:L$30)/100,4)</f>
        <v>1.37E-2</v>
      </c>
    </row>
    <row r="18" spans="1:34" s="2699" customFormat="1" ht="15" customHeight="1" thickBot="1">
      <c r="A18" s="2594" t="s">
        <v>2556</v>
      </c>
      <c r="B18" s="2607">
        <f t="shared" si="104"/>
        <v>405.524</v>
      </c>
      <c r="C18" s="2607">
        <f t="shared" si="104"/>
        <v>307.79840000000002</v>
      </c>
      <c r="D18" s="2607">
        <f t="shared" si="93"/>
        <v>307.79840000000002</v>
      </c>
      <c r="E18" s="2607">
        <f t="shared" si="105"/>
        <v>574.67759999999998</v>
      </c>
      <c r="F18" s="2607">
        <f t="shared" si="105"/>
        <v>270.20280000000002</v>
      </c>
      <c r="G18" s="3861"/>
      <c r="H18" s="2597">
        <v>1</v>
      </c>
      <c r="I18" s="2597">
        <v>3.45</v>
      </c>
      <c r="J18" s="2597">
        <v>1.92</v>
      </c>
      <c r="K18" s="2597">
        <v>3.92</v>
      </c>
      <c r="L18" s="2608">
        <v>1.58</v>
      </c>
      <c r="M18" s="2601"/>
      <c r="N18" s="2610">
        <f t="shared" si="96"/>
        <v>3.4500000000000003E-2</v>
      </c>
      <c r="O18" s="2611">
        <f t="shared" ref="O18" si="109">J18/100</f>
        <v>1.9199999999999998E-2</v>
      </c>
      <c r="P18" s="2611">
        <f t="shared" ref="P18" si="110">K18/100</f>
        <v>3.9199999999999999E-2</v>
      </c>
      <c r="Q18" s="2611">
        <f t="shared" ref="Q18" si="111">L18/100</f>
        <v>1.5800000000000002E-2</v>
      </c>
      <c r="R18" s="2604"/>
      <c r="S18" s="2610">
        <f>B18/B19-1</f>
        <v>3.4499999999999975E-2</v>
      </c>
      <c r="T18" s="2611">
        <f>C18/C19-1</f>
        <v>1.9200000000000106E-2</v>
      </c>
      <c r="U18" s="2611">
        <f>E18/E19-1</f>
        <v>3.9199999999999902E-2</v>
      </c>
      <c r="V18" s="2611">
        <f>F18/F19-1</f>
        <v>1.5800000000000036E-2</v>
      </c>
      <c r="W18" s="2601"/>
      <c r="X18" s="3158">
        <f>ROUND(SUMPRODUCT(PRODUCT(1+N18:N$30)),4)</f>
        <v>1.3571</v>
      </c>
      <c r="Y18" s="3158">
        <f>ROUND(SUMPRODUCT(PRODUCT(1+O18:O$30)),4)</f>
        <v>1.2245999999999999</v>
      </c>
      <c r="Z18" s="3158">
        <f t="shared" si="72"/>
        <v>1.2245999999999999</v>
      </c>
      <c r="AA18" s="3158">
        <f>ROUND(SUMPRODUCT(PRODUCT(1+P18:P$30)),4)</f>
        <v>1.4046000000000001</v>
      </c>
      <c r="AB18" s="3158">
        <f>ROUND(SUMPRODUCT(PRODUCT(1+Q18:Q$30)),4)</f>
        <v>1.1893</v>
      </c>
      <c r="AC18" s="2601"/>
      <c r="AD18" s="2612">
        <f>ROUND(AVERAGE(I18:I$30)/100,4)</f>
        <v>2.3900000000000001E-2</v>
      </c>
      <c r="AE18" s="2612">
        <f>ROUND(AVERAGE(J18:J$30)/100,4)</f>
        <v>1.5699999999999999E-2</v>
      </c>
      <c r="AF18" s="2612">
        <f t="shared" si="1"/>
        <v>1.5699999999999999E-2</v>
      </c>
      <c r="AG18" s="2612">
        <f>ROUND(AVERAGE(K18:K$30)/100,4)</f>
        <v>2.6599999999999999E-2</v>
      </c>
      <c r="AH18" s="2612">
        <f>ROUND(AVERAGE(L18:L$30)/100,4)</f>
        <v>1.34E-2</v>
      </c>
    </row>
    <row r="19" spans="1:34">
      <c r="A19" s="2594" t="s">
        <v>948</v>
      </c>
      <c r="B19" s="2599">
        <v>392</v>
      </c>
      <c r="C19" s="2599">
        <v>302</v>
      </c>
      <c r="D19" s="2599">
        <f t="shared" si="93"/>
        <v>302</v>
      </c>
      <c r="E19" s="2599">
        <v>553</v>
      </c>
      <c r="F19" s="2600">
        <v>266</v>
      </c>
      <c r="G19" s="3860">
        <v>2016</v>
      </c>
      <c r="H19" s="2595">
        <v>4</v>
      </c>
      <c r="I19" s="2595">
        <v>4.5599999999999996</v>
      </c>
      <c r="J19" s="2595">
        <v>2.15</v>
      </c>
      <c r="K19" s="2595">
        <v>5.32</v>
      </c>
      <c r="L19" s="2596">
        <v>1.57</v>
      </c>
      <c r="N19" s="2602">
        <f t="shared" si="96"/>
        <v>4.5599999999999995E-2</v>
      </c>
      <c r="O19" s="2603">
        <f t="shared" ref="O19:Q34" si="112">J19/100</f>
        <v>2.1499999999999998E-2</v>
      </c>
      <c r="P19" s="2603">
        <f t="shared" si="112"/>
        <v>5.3200000000000004E-2</v>
      </c>
      <c r="Q19" s="2603">
        <f t="shared" si="112"/>
        <v>1.5700000000000002E-2</v>
      </c>
      <c r="R19" s="2604"/>
      <c r="S19" s="2605"/>
      <c r="T19" s="2606"/>
      <c r="U19" s="2606"/>
      <c r="V19" s="2606"/>
      <c r="X19" s="3158">
        <f>ROUND(SUMPRODUCT(PRODUCT(1+N19:N$30)),4)</f>
        <v>1.3119000000000001</v>
      </c>
      <c r="Y19" s="3158">
        <f>ROUND(SUMPRODUCT(PRODUCT(1+O19:O$30)),4)</f>
        <v>1.2016</v>
      </c>
      <c r="Z19" s="3158">
        <f t="shared" si="72"/>
        <v>1.2016</v>
      </c>
      <c r="AA19" s="3158">
        <f>ROUND(SUMPRODUCT(PRODUCT(1+P19:P$30)),4)</f>
        <v>1.3515999999999999</v>
      </c>
      <c r="AB19" s="3158">
        <f>ROUND(SUMPRODUCT(PRODUCT(1+Q19:Q$30)),4)</f>
        <v>1.1708000000000001</v>
      </c>
      <c r="AD19" s="2612">
        <f>ROUND(AVERAGE(I19:I$30)/100,4)</f>
        <v>2.3E-2</v>
      </c>
      <c r="AE19" s="2612">
        <f>ROUND(AVERAGE(J19:J$30)/100,4)</f>
        <v>1.55E-2</v>
      </c>
      <c r="AF19" s="2612">
        <f t="shared" si="1"/>
        <v>1.55E-2</v>
      </c>
      <c r="AG19" s="2612">
        <f>ROUND(AVERAGE(K19:K$30)/100,4)</f>
        <v>2.5600000000000001E-2</v>
      </c>
      <c r="AH19" s="2612">
        <f>ROUND(AVERAGE(L19:L$30)/100,4)</f>
        <v>1.32E-2</v>
      </c>
    </row>
    <row r="20" spans="1:34">
      <c r="A20" s="2594" t="s">
        <v>947</v>
      </c>
      <c r="B20" s="2607">
        <f t="shared" ref="B20:C22" si="113">B19/(1+N19)</f>
        <v>374.90436113236416</v>
      </c>
      <c r="C20" s="2607">
        <f t="shared" si="113"/>
        <v>295.64366128242779</v>
      </c>
      <c r="D20" s="2607">
        <f t="shared" ref="D20:D79" si="114">C20</f>
        <v>295.64366128242779</v>
      </c>
      <c r="E20" s="2607">
        <f t="shared" ref="E20:F22" si="115">E19/(1+P19)</f>
        <v>525.06646410938095</v>
      </c>
      <c r="F20" s="2607">
        <f t="shared" si="115"/>
        <v>261.88835286009646</v>
      </c>
      <c r="G20" s="3855"/>
      <c r="H20" s="2597">
        <v>3</v>
      </c>
      <c r="I20" s="2597">
        <v>4.12</v>
      </c>
      <c r="J20" s="2597">
        <v>2</v>
      </c>
      <c r="K20" s="2597">
        <v>4.79</v>
      </c>
      <c r="L20" s="2608">
        <v>1.97</v>
      </c>
      <c r="N20" s="2602">
        <f t="shared" ref="N20:Q54" si="116">I20/100</f>
        <v>4.1200000000000001E-2</v>
      </c>
      <c r="O20" s="2603">
        <f t="shared" si="112"/>
        <v>0.02</v>
      </c>
      <c r="P20" s="2603">
        <f t="shared" si="112"/>
        <v>4.7899999999999998E-2</v>
      </c>
      <c r="Q20" s="2603">
        <f t="shared" si="112"/>
        <v>1.9699999999999999E-2</v>
      </c>
      <c r="R20" s="2604"/>
      <c r="S20" s="2602"/>
      <c r="T20" s="2603"/>
      <c r="U20" s="2603"/>
      <c r="V20" s="2603"/>
      <c r="X20" s="3158">
        <f>ROUND(SUMPRODUCT(PRODUCT(1+N20:N$30)),4)</f>
        <v>1.2546999999999999</v>
      </c>
      <c r="Y20" s="3158">
        <f>ROUND(SUMPRODUCT(PRODUCT(1+O20:O$30)),4)</f>
        <v>1.1762999999999999</v>
      </c>
      <c r="Z20" s="3158">
        <f t="shared" si="72"/>
        <v>1.1762999999999999</v>
      </c>
      <c r="AA20" s="3158">
        <f>ROUND(SUMPRODUCT(PRODUCT(1+P20:P$30)),4)</f>
        <v>1.2833000000000001</v>
      </c>
      <c r="AB20" s="3158">
        <f>ROUND(SUMPRODUCT(PRODUCT(1+Q20:Q$30)),4)</f>
        <v>1.1527000000000001</v>
      </c>
      <c r="AD20" s="2612">
        <f>ROUND(AVERAGE(I20:I$30)/100,4)</f>
        <v>2.0899999999999998E-2</v>
      </c>
      <c r="AE20" s="2612">
        <f>ROUND(AVERAGE(J20:J$30)/100,4)</f>
        <v>1.49E-2</v>
      </c>
      <c r="AF20" s="2612">
        <f t="shared" si="1"/>
        <v>1.49E-2</v>
      </c>
      <c r="AG20" s="2612">
        <f>ROUND(AVERAGE(K20:K$30)/100,4)</f>
        <v>2.3099999999999999E-2</v>
      </c>
      <c r="AH20" s="2612">
        <f>ROUND(AVERAGE(L20:L$30)/100,4)</f>
        <v>1.2999999999999999E-2</v>
      </c>
    </row>
    <row r="21" spans="1:34">
      <c r="A21" s="2594" t="s">
        <v>937</v>
      </c>
      <c r="B21" s="2607">
        <f t="shared" si="113"/>
        <v>360.06949782209392</v>
      </c>
      <c r="C21" s="2607">
        <f t="shared" si="113"/>
        <v>289.84672674747821</v>
      </c>
      <c r="D21" s="2607">
        <f t="shared" si="114"/>
        <v>289.84672674747821</v>
      </c>
      <c r="E21" s="2607">
        <f t="shared" si="115"/>
        <v>501.06543001181495</v>
      </c>
      <c r="F21" s="2607">
        <f t="shared" si="115"/>
        <v>256.82882500744967</v>
      </c>
      <c r="G21" s="3855"/>
      <c r="H21" s="2598">
        <v>2</v>
      </c>
      <c r="I21" s="2598">
        <v>3.85</v>
      </c>
      <c r="J21" s="2598">
        <v>1.95</v>
      </c>
      <c r="K21" s="2598">
        <v>4.4800000000000004</v>
      </c>
      <c r="L21" s="2609">
        <v>1.41</v>
      </c>
      <c r="N21" s="2602">
        <f t="shared" si="116"/>
        <v>3.85E-2</v>
      </c>
      <c r="O21" s="2603">
        <f t="shared" si="112"/>
        <v>1.95E-2</v>
      </c>
      <c r="P21" s="2603">
        <f t="shared" si="112"/>
        <v>4.4800000000000006E-2</v>
      </c>
      <c r="Q21" s="2603">
        <f t="shared" si="112"/>
        <v>1.41E-2</v>
      </c>
      <c r="R21" s="2604"/>
      <c r="S21" s="2602"/>
      <c r="T21" s="2603"/>
      <c r="U21" s="2603"/>
      <c r="V21" s="2603"/>
      <c r="X21" s="3158">
        <f>ROUND(SUMPRODUCT(PRODUCT(1+N21:N$30)),4)</f>
        <v>1.2050000000000001</v>
      </c>
      <c r="Y21" s="3158">
        <f>ROUND(SUMPRODUCT(PRODUCT(1+O21:O$30)),4)</f>
        <v>1.1532</v>
      </c>
      <c r="Z21" s="3158">
        <f t="shared" si="72"/>
        <v>1.1532</v>
      </c>
      <c r="AA21" s="3158">
        <f>ROUND(SUMPRODUCT(PRODUCT(1+P21:P$30)),4)</f>
        <v>1.2246999999999999</v>
      </c>
      <c r="AB21" s="3158">
        <f>ROUND(SUMPRODUCT(PRODUCT(1+Q21:Q$30)),4)</f>
        <v>1.1304000000000001</v>
      </c>
      <c r="AD21" s="2612">
        <f>ROUND(AVERAGE(I21:I$30)/100,4)</f>
        <v>1.89E-2</v>
      </c>
      <c r="AE21" s="2612">
        <f>ROUND(AVERAGE(J21:J$30)/100,4)</f>
        <v>1.44E-2</v>
      </c>
      <c r="AF21" s="2612">
        <f t="shared" si="1"/>
        <v>1.44E-2</v>
      </c>
      <c r="AG21" s="2612">
        <f>ROUND(AVERAGE(K21:K$30)/100,4)</f>
        <v>2.06E-2</v>
      </c>
      <c r="AH21" s="2612">
        <f>ROUND(AVERAGE(L21:L$30)/100,4)</f>
        <v>1.23E-2</v>
      </c>
    </row>
    <row r="22" spans="1:34" ht="13.5" thickBot="1">
      <c r="A22" s="2594" t="s">
        <v>946</v>
      </c>
      <c r="B22" s="2607">
        <f t="shared" si="113"/>
        <v>346.720748986128</v>
      </c>
      <c r="C22" s="2607">
        <f t="shared" si="113"/>
        <v>284.30282172386285</v>
      </c>
      <c r="D22" s="2607">
        <f t="shared" si="114"/>
        <v>284.30282172386285</v>
      </c>
      <c r="E22" s="2607">
        <f t="shared" si="115"/>
        <v>479.58023546306947</v>
      </c>
      <c r="F22" s="2607">
        <f t="shared" si="115"/>
        <v>253.25788877571213</v>
      </c>
      <c r="G22" s="3856"/>
      <c r="H22" s="2597">
        <v>1</v>
      </c>
      <c r="I22" s="2597">
        <v>4.09</v>
      </c>
      <c r="J22" s="2597">
        <v>2.93</v>
      </c>
      <c r="K22" s="2597">
        <v>4.54</v>
      </c>
      <c r="L22" s="2608">
        <v>1.48</v>
      </c>
      <c r="N22" s="2602">
        <f t="shared" si="116"/>
        <v>4.0899999999999999E-2</v>
      </c>
      <c r="O22" s="2603">
        <f t="shared" si="112"/>
        <v>2.9300000000000003E-2</v>
      </c>
      <c r="P22" s="2603">
        <f t="shared" si="112"/>
        <v>4.5400000000000003E-2</v>
      </c>
      <c r="Q22" s="2603">
        <f t="shared" si="112"/>
        <v>1.4800000000000001E-2</v>
      </c>
      <c r="R22" s="2604"/>
      <c r="S22" s="2610">
        <f>B22/B23-1</f>
        <v>4.1203450408792808E-2</v>
      </c>
      <c r="T22" s="2611">
        <f>C22/C23-1</f>
        <v>2.6363977342465095E-2</v>
      </c>
      <c r="U22" s="2611">
        <f>E22/E23-1</f>
        <v>4.4837114298626357E-2</v>
      </c>
      <c r="V22" s="2611">
        <f>F22/F23-1</f>
        <v>1.7099954922538574E-2</v>
      </c>
      <c r="X22" s="3158">
        <f>ROUND(SUMPRODUCT(PRODUCT(1+N22:N$30)),4)</f>
        <v>1.1604000000000001</v>
      </c>
      <c r="Y22" s="3158">
        <f>ROUND(SUMPRODUCT(PRODUCT(1+O22:O$30)),4)</f>
        <v>1.1312</v>
      </c>
      <c r="Z22" s="3158">
        <f t="shared" si="72"/>
        <v>1.1312</v>
      </c>
      <c r="AA22" s="3158">
        <f>ROUND(SUMPRODUCT(PRODUCT(1+P22:P$30)),4)</f>
        <v>1.1721999999999999</v>
      </c>
      <c r="AB22" s="3158">
        <f>ROUND(SUMPRODUCT(PRODUCT(1+Q22:Q$30)),4)</f>
        <v>1.1147</v>
      </c>
      <c r="AD22" s="2612">
        <f>ROUND(AVERAGE(I22:I$30)/100,4)</f>
        <v>1.67E-2</v>
      </c>
      <c r="AE22" s="2612">
        <f>ROUND(AVERAGE(J22:J$30)/100,4)</f>
        <v>1.38E-2</v>
      </c>
      <c r="AF22" s="2612">
        <f t="shared" si="1"/>
        <v>1.38E-2</v>
      </c>
      <c r="AG22" s="2612">
        <f>ROUND(AVERAGE(K22:K$30)/100,4)</f>
        <v>1.7899999999999999E-2</v>
      </c>
      <c r="AH22" s="2612">
        <f>ROUND(AVERAGE(L22:L$30)/100,4)</f>
        <v>1.21E-2</v>
      </c>
    </row>
    <row r="23" spans="1:34" ht="13.5" thickBot="1">
      <c r="A23" s="2594" t="s">
        <v>945</v>
      </c>
      <c r="B23" s="2599">
        <v>333</v>
      </c>
      <c r="C23" s="2599">
        <v>277</v>
      </c>
      <c r="D23" s="2599">
        <f t="shared" si="114"/>
        <v>277</v>
      </c>
      <c r="E23" s="2599">
        <v>459</v>
      </c>
      <c r="F23" s="2600">
        <v>249</v>
      </c>
      <c r="G23" s="3854">
        <v>2015</v>
      </c>
      <c r="H23" s="2613">
        <v>4</v>
      </c>
      <c r="I23" s="2613">
        <v>1.63</v>
      </c>
      <c r="J23" s="2613">
        <v>1.1100000000000001</v>
      </c>
      <c r="K23" s="2613">
        <v>1.77</v>
      </c>
      <c r="L23" s="2614">
        <v>1.89</v>
      </c>
      <c r="N23" s="2615">
        <f t="shared" si="116"/>
        <v>1.6299999999999999E-2</v>
      </c>
      <c r="O23" s="2616">
        <f t="shared" si="112"/>
        <v>1.11E-2</v>
      </c>
      <c r="P23" s="2616">
        <f t="shared" si="112"/>
        <v>1.77E-2</v>
      </c>
      <c r="Q23" s="2616">
        <f t="shared" si="112"/>
        <v>1.89E-2</v>
      </c>
      <c r="R23" s="2604"/>
      <c r="X23" s="3158">
        <f>ROUND(SUMPRODUCT(PRODUCT(1+N23:N$30)),4)</f>
        <v>1.1148</v>
      </c>
      <c r="Y23" s="3158">
        <f>ROUND(SUMPRODUCT(PRODUCT(1+O23:O$30)),4)</f>
        <v>1.099</v>
      </c>
      <c r="Z23" s="3158">
        <f t="shared" si="72"/>
        <v>1.099</v>
      </c>
      <c r="AA23" s="3158">
        <f>ROUND(SUMPRODUCT(PRODUCT(1+P23:P$30)),4)</f>
        <v>1.1213</v>
      </c>
      <c r="AB23" s="3158">
        <f>ROUND(SUMPRODUCT(PRODUCT(1+Q23:Q$30)),4)</f>
        <v>1.0984</v>
      </c>
      <c r="AD23" s="2612">
        <f>ROUND(AVERAGE(I23:I$30)/100,4)</f>
        <v>1.37E-2</v>
      </c>
      <c r="AE23" s="2612">
        <f>ROUND(AVERAGE(J23:J$30)/100,4)</f>
        <v>1.1900000000000001E-2</v>
      </c>
      <c r="AF23" s="2612">
        <f t="shared" si="1"/>
        <v>1.1900000000000001E-2</v>
      </c>
      <c r="AG23" s="2612">
        <f>ROUND(AVERAGE(K23:K$30)/100,4)</f>
        <v>1.4500000000000001E-2</v>
      </c>
      <c r="AH23" s="2612">
        <f>ROUND(AVERAGE(L23:L$30)/100,4)</f>
        <v>1.18E-2</v>
      </c>
    </row>
    <row r="24" spans="1:34">
      <c r="A24" s="2594" t="s">
        <v>944</v>
      </c>
      <c r="B24" s="2607">
        <f t="shared" ref="B24:C26" si="117">B23/(1+N23)</f>
        <v>327.65915576109415</v>
      </c>
      <c r="C24" s="2607">
        <f t="shared" si="117"/>
        <v>273.95905449510434</v>
      </c>
      <c r="D24" s="2607">
        <f t="shared" si="114"/>
        <v>273.95905449510434</v>
      </c>
      <c r="E24" s="2607">
        <f t="shared" ref="E24:F26" si="118">E23/(1+P23)</f>
        <v>451.01699911565294</v>
      </c>
      <c r="F24" s="2607">
        <f t="shared" si="118"/>
        <v>244.38119540681129</v>
      </c>
      <c r="G24" s="3855"/>
      <c r="H24" s="2618">
        <v>3</v>
      </c>
      <c r="I24" s="2618">
        <v>1.65</v>
      </c>
      <c r="J24" s="2618">
        <v>0.92</v>
      </c>
      <c r="K24" s="2618">
        <v>1.88</v>
      </c>
      <c r="L24" s="2619">
        <v>1.26</v>
      </c>
      <c r="N24" s="2602">
        <f t="shared" si="116"/>
        <v>1.6500000000000001E-2</v>
      </c>
      <c r="O24" s="2620">
        <f t="shared" si="112"/>
        <v>9.1999999999999998E-3</v>
      </c>
      <c r="P24" s="2620">
        <f t="shared" si="112"/>
        <v>1.8799999999999997E-2</v>
      </c>
      <c r="Q24" s="2620">
        <f t="shared" si="112"/>
        <v>1.26E-2</v>
      </c>
      <c r="R24" s="2604"/>
      <c r="S24" s="2602"/>
      <c r="T24" s="2603"/>
      <c r="U24" s="2603"/>
      <c r="V24" s="2603"/>
      <c r="X24" s="3158">
        <f>ROUND(SUMPRODUCT(PRODUCT(1+N24:N$30)),4)</f>
        <v>1.0969</v>
      </c>
      <c r="Y24" s="3158">
        <f>ROUND(SUMPRODUCT(PRODUCT(1+O24:O$30)),4)</f>
        <v>1.0869</v>
      </c>
      <c r="Z24" s="3158">
        <f t="shared" si="72"/>
        <v>1.0869</v>
      </c>
      <c r="AA24" s="3158">
        <f>ROUND(SUMPRODUCT(PRODUCT(1+P24:P$30)),4)</f>
        <v>1.1017999999999999</v>
      </c>
      <c r="AB24" s="3158">
        <f>ROUND(SUMPRODUCT(PRODUCT(1+Q24:Q$30)),4)</f>
        <v>1.0781000000000001</v>
      </c>
      <c r="AD24" s="2612">
        <f>ROUND(AVERAGE(I24:I$30)/100,4)</f>
        <v>1.3299999999999999E-2</v>
      </c>
      <c r="AE24" s="2612">
        <f>ROUND(AVERAGE(J24:J$30)/100,4)</f>
        <v>1.2E-2</v>
      </c>
      <c r="AF24" s="2612">
        <f t="shared" si="1"/>
        <v>1.2E-2</v>
      </c>
      <c r="AG24" s="2612">
        <f>ROUND(AVERAGE(K24:K$30)/100,4)</f>
        <v>1.4E-2</v>
      </c>
      <c r="AH24" s="2612">
        <f>ROUND(AVERAGE(L24:L$30)/100,4)</f>
        <v>1.0800000000000001E-2</v>
      </c>
    </row>
    <row r="25" spans="1:34">
      <c r="A25" s="2594" t="s">
        <v>943</v>
      </c>
      <c r="B25" s="2607">
        <f t="shared" si="117"/>
        <v>322.34053690220776</v>
      </c>
      <c r="C25" s="2607">
        <f t="shared" si="117"/>
        <v>271.46160770422546</v>
      </c>
      <c r="D25" s="2607">
        <f t="shared" si="114"/>
        <v>271.46160770422546</v>
      </c>
      <c r="E25" s="2607">
        <f t="shared" si="118"/>
        <v>442.69434542172456</v>
      </c>
      <c r="F25" s="2607">
        <f t="shared" si="118"/>
        <v>241.34030753190925</v>
      </c>
      <c r="G25" s="3855"/>
      <c r="H25" s="2598">
        <v>2</v>
      </c>
      <c r="I25" s="2598">
        <v>0.77</v>
      </c>
      <c r="J25" s="2598">
        <v>0.69</v>
      </c>
      <c r="K25" s="2598">
        <v>0.8</v>
      </c>
      <c r="L25" s="2609">
        <v>0.88</v>
      </c>
      <c r="N25" s="2602">
        <f t="shared" si="116"/>
        <v>7.7000000000000002E-3</v>
      </c>
      <c r="O25" s="2620">
        <f t="shared" si="112"/>
        <v>6.8999999999999999E-3</v>
      </c>
      <c r="P25" s="2620">
        <f t="shared" si="112"/>
        <v>8.0000000000000002E-3</v>
      </c>
      <c r="Q25" s="2620">
        <f t="shared" si="112"/>
        <v>8.8000000000000005E-3</v>
      </c>
      <c r="R25" s="2604"/>
      <c r="S25" s="2602"/>
      <c r="T25" s="2603"/>
      <c r="U25" s="2603"/>
      <c r="V25" s="2603"/>
      <c r="X25" s="3158">
        <f>ROUND(SUMPRODUCT(PRODUCT(1+N25:N$30)),4)</f>
        <v>1.0790999999999999</v>
      </c>
      <c r="Y25" s="3158">
        <f>ROUND(SUMPRODUCT(PRODUCT(1+O25:O$30)),4)</f>
        <v>1.077</v>
      </c>
      <c r="Z25" s="3158">
        <f t="shared" si="72"/>
        <v>1.077</v>
      </c>
      <c r="AA25" s="3158">
        <f>ROUND(SUMPRODUCT(PRODUCT(1+P25:P$30)),4)</f>
        <v>1.0813999999999999</v>
      </c>
      <c r="AB25" s="3158">
        <f>ROUND(SUMPRODUCT(PRODUCT(1+Q25:Q$30)),4)</f>
        <v>1.0647</v>
      </c>
      <c r="AD25" s="2612">
        <f>ROUND(AVERAGE(I25:I$30)/100,4)</f>
        <v>1.2800000000000001E-2</v>
      </c>
      <c r="AE25" s="2612">
        <f>ROUND(AVERAGE(J25:J$30)/100,4)</f>
        <v>1.2500000000000001E-2</v>
      </c>
      <c r="AF25" s="2612">
        <f t="shared" si="1"/>
        <v>1.2500000000000001E-2</v>
      </c>
      <c r="AG25" s="2612">
        <f>ROUND(AVERAGE(K25:K$30)/100,4)</f>
        <v>1.32E-2</v>
      </c>
      <c r="AH25" s="2612">
        <f>ROUND(AVERAGE(L25:L$30)/100,4)</f>
        <v>1.0500000000000001E-2</v>
      </c>
    </row>
    <row r="26" spans="1:34">
      <c r="A26" s="2594" t="s">
        <v>942</v>
      </c>
      <c r="B26" s="2607">
        <f t="shared" si="117"/>
        <v>319.87748030386797</v>
      </c>
      <c r="C26" s="2607">
        <f t="shared" si="117"/>
        <v>269.60135833173649</v>
      </c>
      <c r="D26" s="2607">
        <f t="shared" si="114"/>
        <v>269.60135833173649</v>
      </c>
      <c r="E26" s="2607">
        <f t="shared" si="118"/>
        <v>439.18089823583784</v>
      </c>
      <c r="F26" s="2607">
        <f t="shared" si="118"/>
        <v>239.23503918706311</v>
      </c>
      <c r="G26" s="3856"/>
      <c r="H26" s="2597">
        <v>1</v>
      </c>
      <c r="I26" s="2597">
        <v>0.51</v>
      </c>
      <c r="J26" s="2597">
        <v>0.54</v>
      </c>
      <c r="K26" s="2597">
        <v>0.48</v>
      </c>
      <c r="L26" s="2608">
        <v>0.93</v>
      </c>
      <c r="N26" s="2610">
        <f t="shared" si="116"/>
        <v>5.1000000000000004E-3</v>
      </c>
      <c r="O26" s="2611">
        <f t="shared" si="112"/>
        <v>5.4000000000000003E-3</v>
      </c>
      <c r="P26" s="2611">
        <f t="shared" si="112"/>
        <v>4.7999999999999996E-3</v>
      </c>
      <c r="Q26" s="2611">
        <f t="shared" si="112"/>
        <v>9.300000000000001E-3</v>
      </c>
      <c r="R26" s="2604"/>
      <c r="S26" s="2610">
        <f>B26/B27-1</f>
        <v>5.9040261127922822E-3</v>
      </c>
      <c r="T26" s="2611">
        <f>C26/C27-1</f>
        <v>5.9752176557332781E-3</v>
      </c>
      <c r="U26" s="2611">
        <f>E26/E27-1</f>
        <v>4.9906138119859556E-3</v>
      </c>
      <c r="V26" s="2611">
        <f>F26/F27-1</f>
        <v>9.4305450930933787E-3</v>
      </c>
      <c r="X26" s="3158">
        <f>ROUND(SUMPRODUCT(PRODUCT(1+N26:N$30)),4)</f>
        <v>1.0708</v>
      </c>
      <c r="Y26" s="3158">
        <f>ROUND(SUMPRODUCT(PRODUCT(1+O26:O$30)),4)</f>
        <v>1.0696000000000001</v>
      </c>
      <c r="Z26" s="3158">
        <f t="shared" si="72"/>
        <v>1.0696000000000001</v>
      </c>
      <c r="AA26" s="3158">
        <f>ROUND(SUMPRODUCT(PRODUCT(1+P26:P$30)),4)</f>
        <v>1.0728</v>
      </c>
      <c r="AB26" s="3158">
        <f>ROUND(SUMPRODUCT(PRODUCT(1+Q26:Q$30)),4)</f>
        <v>1.0553999999999999</v>
      </c>
      <c r="AD26" s="2612">
        <f>ROUND(AVERAGE(I26:I$30)/100,4)</f>
        <v>1.38E-2</v>
      </c>
      <c r="AE26" s="2612">
        <f>ROUND(AVERAGE(J26:J$30)/100,4)</f>
        <v>1.3599999999999999E-2</v>
      </c>
      <c r="AF26" s="2612">
        <f t="shared" si="1"/>
        <v>1.3599999999999999E-2</v>
      </c>
      <c r="AG26" s="2612">
        <f>ROUND(AVERAGE(K26:K$30)/100,4)</f>
        <v>1.4200000000000001E-2</v>
      </c>
      <c r="AH26" s="2612">
        <f>ROUND(AVERAGE(L26:L$30)/100,4)</f>
        <v>1.0800000000000001E-2</v>
      </c>
    </row>
    <row r="27" spans="1:34" ht="13.5" thickBot="1">
      <c r="A27" s="2594" t="s">
        <v>941</v>
      </c>
      <c r="B27" s="2621">
        <v>318</v>
      </c>
      <c r="C27" s="2621">
        <v>268</v>
      </c>
      <c r="D27" s="2621">
        <f t="shared" si="114"/>
        <v>268</v>
      </c>
      <c r="E27" s="2621">
        <v>437</v>
      </c>
      <c r="F27" s="2622">
        <v>237</v>
      </c>
      <c r="G27" s="3854">
        <v>2014</v>
      </c>
      <c r="H27" s="2613">
        <v>4</v>
      </c>
      <c r="I27" s="2613">
        <v>0.21</v>
      </c>
      <c r="J27" s="2613">
        <v>0.41</v>
      </c>
      <c r="K27" s="2613">
        <v>0.12</v>
      </c>
      <c r="L27" s="2614">
        <v>0.89</v>
      </c>
      <c r="N27" s="2602">
        <f t="shared" si="116"/>
        <v>2.0999999999999999E-3</v>
      </c>
      <c r="O27" s="2603">
        <f t="shared" si="112"/>
        <v>4.0999999999999995E-3</v>
      </c>
      <c r="P27" s="2603">
        <f t="shared" si="112"/>
        <v>1.1999999999999999E-3</v>
      </c>
      <c r="Q27" s="2603">
        <f t="shared" si="112"/>
        <v>8.8999999999999999E-3</v>
      </c>
      <c r="R27" s="2604"/>
      <c r="S27" s="2605"/>
      <c r="T27" s="2606"/>
      <c r="U27" s="2606"/>
      <c r="V27" s="2606"/>
      <c r="X27" s="3158">
        <f>ROUND(SUMPRODUCT(PRODUCT(1+N27:N$30)),4)</f>
        <v>1.0653999999999999</v>
      </c>
      <c r="Y27" s="3158">
        <f>ROUND(SUMPRODUCT(PRODUCT(1+O27:O$30)),4)</f>
        <v>1.0639000000000001</v>
      </c>
      <c r="Z27" s="3158">
        <f t="shared" si="72"/>
        <v>1.0639000000000001</v>
      </c>
      <c r="AA27" s="3158">
        <f>ROUND(SUMPRODUCT(PRODUCT(1+P27:P$30)),4)</f>
        <v>1.0677000000000001</v>
      </c>
      <c r="AB27" s="3158">
        <f>ROUND(SUMPRODUCT(PRODUCT(1+Q27:Q$30)),4)</f>
        <v>1.0456000000000001</v>
      </c>
      <c r="AD27" s="2612">
        <f>ROUND(AVERAGE(I27:I$30)/100,4)</f>
        <v>1.6E-2</v>
      </c>
      <c r="AE27" s="2612">
        <f>ROUND(AVERAGE(J27:J$30)/100,4)</f>
        <v>1.5599999999999999E-2</v>
      </c>
      <c r="AF27" s="2612">
        <f t="shared" si="1"/>
        <v>1.5599999999999999E-2</v>
      </c>
      <c r="AG27" s="2612">
        <f>ROUND(AVERAGE(K27:K$30)/100,4)</f>
        <v>1.66E-2</v>
      </c>
      <c r="AH27" s="2612">
        <f>ROUND(AVERAGE(L27:L$30)/100,4)</f>
        <v>1.12E-2</v>
      </c>
    </row>
    <row r="28" spans="1:34">
      <c r="A28" s="2594" t="s">
        <v>940</v>
      </c>
      <c r="B28" s="2607">
        <f t="shared" ref="B28:C30" si="119">B27/(1+N27)</f>
        <v>317.33359944117353</v>
      </c>
      <c r="C28" s="2607">
        <f t="shared" si="119"/>
        <v>266.90568668459315</v>
      </c>
      <c r="D28" s="2607">
        <f t="shared" si="114"/>
        <v>266.90568668459315</v>
      </c>
      <c r="E28" s="2607">
        <f t="shared" ref="E28:F30" si="120">E27/(1+P27)</f>
        <v>436.47622852576905</v>
      </c>
      <c r="F28" s="2607">
        <f t="shared" si="120"/>
        <v>234.90930716622066</v>
      </c>
      <c r="G28" s="3855"/>
      <c r="H28" s="2623">
        <v>3</v>
      </c>
      <c r="I28" s="2623">
        <v>0.83</v>
      </c>
      <c r="J28" s="2623">
        <v>1.47</v>
      </c>
      <c r="K28" s="2623">
        <v>0.65</v>
      </c>
      <c r="L28" s="2624">
        <v>0.72</v>
      </c>
      <c r="N28" s="2602">
        <f t="shared" si="116"/>
        <v>8.3000000000000001E-3</v>
      </c>
      <c r="O28" s="2603">
        <f t="shared" si="112"/>
        <v>1.47E-2</v>
      </c>
      <c r="P28" s="2603">
        <f t="shared" si="112"/>
        <v>6.5000000000000006E-3</v>
      </c>
      <c r="Q28" s="2603">
        <f t="shared" si="112"/>
        <v>7.1999999999999998E-3</v>
      </c>
      <c r="R28" s="2604"/>
      <c r="S28" s="2602"/>
      <c r="T28" s="2603"/>
      <c r="U28" s="2603"/>
      <c r="V28" s="2603"/>
      <c r="X28" s="3158">
        <f>ROUND(SUMPRODUCT(PRODUCT(1+N28:N$30)),4)</f>
        <v>1.0631999999999999</v>
      </c>
      <c r="Y28" s="3158">
        <f>ROUND(SUMPRODUCT(PRODUCT(1+O28:O$30)),4)</f>
        <v>1.0595000000000001</v>
      </c>
      <c r="Z28" s="3158">
        <f t="shared" si="72"/>
        <v>1.0595000000000001</v>
      </c>
      <c r="AA28" s="3158">
        <f>ROUND(SUMPRODUCT(PRODUCT(1+P28:P$30)),4)</f>
        <v>1.0664</v>
      </c>
      <c r="AB28" s="3158">
        <f>ROUND(SUMPRODUCT(PRODUCT(1+Q28:Q$30)),4)</f>
        <v>1.0364</v>
      </c>
      <c r="AD28" s="2612">
        <f>ROUND(AVERAGE(I28:I$30)/100,4)</f>
        <v>2.07E-2</v>
      </c>
      <c r="AE28" s="2612">
        <f>ROUND(AVERAGE(J28:J$30)/100,4)</f>
        <v>1.95E-2</v>
      </c>
      <c r="AF28" s="2612">
        <f t="shared" si="1"/>
        <v>1.95E-2</v>
      </c>
      <c r="AG28" s="2612">
        <f>ROUND(AVERAGE(K28:K$30)/100,4)</f>
        <v>2.1700000000000001E-2</v>
      </c>
      <c r="AH28" s="2612">
        <f>ROUND(AVERAGE(L28:L$30)/100,4)</f>
        <v>1.2E-2</v>
      </c>
    </row>
    <row r="29" spans="1:34" ht="13.5" thickBot="1">
      <c r="A29" s="2594" t="s">
        <v>939</v>
      </c>
      <c r="B29" s="2607">
        <f t="shared" si="119"/>
        <v>314.72141172386546</v>
      </c>
      <c r="C29" s="2607">
        <f t="shared" si="119"/>
        <v>263.03901319069001</v>
      </c>
      <c r="D29" s="2607">
        <f t="shared" si="114"/>
        <v>263.03901319069001</v>
      </c>
      <c r="E29" s="2607">
        <f t="shared" si="120"/>
        <v>433.65745506782821</v>
      </c>
      <c r="F29" s="2607">
        <f t="shared" si="120"/>
        <v>233.23005080045735</v>
      </c>
      <c r="G29" s="3855"/>
      <c r="H29" s="2613">
        <v>2</v>
      </c>
      <c r="I29" s="2613">
        <v>2.4</v>
      </c>
      <c r="J29" s="2613">
        <v>2.0299999999999998</v>
      </c>
      <c r="K29" s="2613">
        <v>2.59</v>
      </c>
      <c r="L29" s="2614">
        <v>1.52</v>
      </c>
      <c r="N29" s="2602">
        <f t="shared" si="116"/>
        <v>2.4E-2</v>
      </c>
      <c r="O29" s="2603">
        <f t="shared" si="112"/>
        <v>2.0299999999999999E-2</v>
      </c>
      <c r="P29" s="2603">
        <f t="shared" si="112"/>
        <v>2.5899999999999999E-2</v>
      </c>
      <c r="Q29" s="2603">
        <f t="shared" si="112"/>
        <v>1.52E-2</v>
      </c>
      <c r="R29" s="2604"/>
      <c r="S29" s="2602"/>
      <c r="T29" s="2603"/>
      <c r="U29" s="2603"/>
      <c r="V29" s="2603"/>
      <c r="X29" s="3158">
        <f>ROUND(SUMPRODUCT(PRODUCT(1+N29:N$30)),4)</f>
        <v>1.0544</v>
      </c>
      <c r="Y29" s="3158">
        <f>ROUND(SUMPRODUCT(PRODUCT(1+O29:O$30)),4)</f>
        <v>1.0442</v>
      </c>
      <c r="Z29" s="3158">
        <f t="shared" si="72"/>
        <v>1.0442</v>
      </c>
      <c r="AA29" s="3158">
        <f>ROUND(SUMPRODUCT(PRODUCT(1+P29:P$30)),4)</f>
        <v>1.0595000000000001</v>
      </c>
      <c r="AB29" s="3158">
        <f>ROUND(SUMPRODUCT(PRODUCT(1+Q29:Q$30)),4)</f>
        <v>1.0289999999999999</v>
      </c>
      <c r="AD29" s="2612">
        <f>ROUND(AVERAGE(I29:I$30)/100,4)</f>
        <v>2.69E-2</v>
      </c>
      <c r="AE29" s="2612">
        <f>ROUND(AVERAGE(J29:J$30)/100,4)</f>
        <v>2.1899999999999999E-2</v>
      </c>
      <c r="AF29" s="2612">
        <f t="shared" ref="AF29" si="121">AE29</f>
        <v>2.1899999999999999E-2</v>
      </c>
      <c r="AG29" s="2612">
        <f>ROUND(AVERAGE(K29:K$30)/100,4)</f>
        <v>2.9399999999999999E-2</v>
      </c>
      <c r="AH29" s="2612">
        <f>ROUND(AVERAGE(L29:L$30)/100,4)</f>
        <v>1.44E-2</v>
      </c>
    </row>
    <row r="30" spans="1:34" s="2629" customFormat="1" ht="13.5" thickBot="1">
      <c r="A30" s="2625" t="s">
        <v>938</v>
      </c>
      <c r="B30" s="2626">
        <f t="shared" si="119"/>
        <v>307.34512863658733</v>
      </c>
      <c r="C30" s="2626">
        <f t="shared" si="119"/>
        <v>257.80556031626975</v>
      </c>
      <c r="D30" s="2626">
        <f t="shared" si="114"/>
        <v>257.80556031626975</v>
      </c>
      <c r="E30" s="2626">
        <f t="shared" si="120"/>
        <v>422.70928459677179</v>
      </c>
      <c r="F30" s="2626">
        <f t="shared" si="120"/>
        <v>229.73803270336617</v>
      </c>
      <c r="G30" s="3856"/>
      <c r="H30" s="2627">
        <v>1</v>
      </c>
      <c r="I30" s="2627">
        <v>2.97</v>
      </c>
      <c r="J30" s="2627">
        <v>2.34</v>
      </c>
      <c r="K30" s="2627">
        <v>3.28</v>
      </c>
      <c r="L30" s="2628">
        <v>1.36</v>
      </c>
      <c r="N30" s="2630">
        <f t="shared" si="116"/>
        <v>2.9700000000000001E-2</v>
      </c>
      <c r="O30" s="2631">
        <f t="shared" si="112"/>
        <v>2.3399999999999997E-2</v>
      </c>
      <c r="P30" s="2631">
        <f t="shared" si="112"/>
        <v>3.2799999999999996E-2</v>
      </c>
      <c r="Q30" s="2631">
        <f t="shared" si="112"/>
        <v>1.3600000000000001E-2</v>
      </c>
      <c r="R30" s="2632"/>
      <c r="S30" s="2633">
        <f>B30/B31-1</f>
        <v>2.7910129219355539E-2</v>
      </c>
      <c r="T30" s="2634">
        <f>C30/C31-1</f>
        <v>2.3037937762975247E-2</v>
      </c>
      <c r="U30" s="2634">
        <f>E30/E31-1</f>
        <v>3.3519033243940788E-2</v>
      </c>
      <c r="V30" s="2634">
        <f>F30/F31-1</f>
        <v>1.2061818076502862E-2</v>
      </c>
      <c r="W30" s="2701" t="s">
        <v>2614</v>
      </c>
      <c r="X30" s="2703">
        <v>1</v>
      </c>
      <c r="Y30" s="2703">
        <v>1</v>
      </c>
      <c r="Z30" s="2703">
        <v>1</v>
      </c>
      <c r="AA30" s="2703">
        <v>1</v>
      </c>
      <c r="AB30" s="2703">
        <v>1</v>
      </c>
      <c r="AD30" s="2936">
        <f>I30/100</f>
        <v>2.9700000000000001E-2</v>
      </c>
      <c r="AE30" s="2936">
        <f>J30/100</f>
        <v>2.3399999999999997E-2</v>
      </c>
      <c r="AF30" s="2936">
        <f>AE30</f>
        <v>2.3399999999999997E-2</v>
      </c>
      <c r="AG30" s="2936">
        <f>K30/100</f>
        <v>3.2799999999999996E-2</v>
      </c>
      <c r="AH30" s="2936">
        <f>L30/100</f>
        <v>1.3600000000000001E-2</v>
      </c>
    </row>
    <row r="31" spans="1:34" ht="13.5" thickBot="1">
      <c r="A31" s="2594" t="s">
        <v>2557</v>
      </c>
      <c r="B31" s="2599">
        <v>299</v>
      </c>
      <c r="C31" s="2599">
        <v>252</v>
      </c>
      <c r="D31" s="2599">
        <f t="shared" si="114"/>
        <v>252</v>
      </c>
      <c r="E31" s="2599">
        <v>409</v>
      </c>
      <c r="F31" s="2600">
        <v>227</v>
      </c>
      <c r="G31" s="3857">
        <v>2013</v>
      </c>
      <c r="H31" s="2635">
        <v>4</v>
      </c>
      <c r="I31" s="2635">
        <v>1.83</v>
      </c>
      <c r="J31" s="2635">
        <v>1.68</v>
      </c>
      <c r="K31" s="2635">
        <v>1.97</v>
      </c>
      <c r="L31" s="2636">
        <v>0.87</v>
      </c>
      <c r="N31" s="2615">
        <f t="shared" si="116"/>
        <v>1.83E-2</v>
      </c>
      <c r="O31" s="2616">
        <f t="shared" si="112"/>
        <v>1.6799999999999999E-2</v>
      </c>
      <c r="P31" s="2616">
        <f t="shared" si="112"/>
        <v>1.9699999999999999E-2</v>
      </c>
      <c r="Q31" s="2616">
        <f t="shared" si="112"/>
        <v>8.6999999999999994E-3</v>
      </c>
      <c r="R31" s="2604"/>
      <c r="S31" s="2605"/>
      <c r="T31" s="2606"/>
      <c r="U31" s="2606"/>
      <c r="V31" s="2606"/>
      <c r="X31" s="2606"/>
      <c r="Y31" s="2606"/>
      <c r="Z31" s="2606"/>
    </row>
    <row r="32" spans="1:34">
      <c r="A32" s="2594" t="s">
        <v>2558</v>
      </c>
      <c r="B32" s="2607">
        <f t="shared" ref="B32:C34" si="122">B31/(1+N31)</f>
        <v>293.62663262299913</v>
      </c>
      <c r="C32" s="2607">
        <f t="shared" si="122"/>
        <v>247.83634933123525</v>
      </c>
      <c r="D32" s="2607">
        <f t="shared" si="114"/>
        <v>247.83634933123525</v>
      </c>
      <c r="E32" s="2607">
        <f t="shared" ref="E32:F34" si="123">E31/(1+P31)</f>
        <v>401.09836226341076</v>
      </c>
      <c r="F32" s="2607">
        <f t="shared" si="123"/>
        <v>225.04213343908003</v>
      </c>
      <c r="G32" s="3858"/>
      <c r="H32" s="2618">
        <v>3</v>
      </c>
      <c r="I32" s="2618">
        <v>1.86</v>
      </c>
      <c r="J32" s="2618">
        <v>1.72</v>
      </c>
      <c r="K32" s="2618">
        <v>1.98</v>
      </c>
      <c r="L32" s="2619">
        <v>0.88</v>
      </c>
      <c r="N32" s="2602">
        <f t="shared" si="116"/>
        <v>1.8600000000000002E-2</v>
      </c>
      <c r="O32" s="2620">
        <f t="shared" si="112"/>
        <v>1.72E-2</v>
      </c>
      <c r="P32" s="2620">
        <f t="shared" si="112"/>
        <v>1.9799999999999998E-2</v>
      </c>
      <c r="Q32" s="2620">
        <f t="shared" si="112"/>
        <v>8.8000000000000005E-3</v>
      </c>
      <c r="R32" s="2604"/>
      <c r="S32" s="2602"/>
      <c r="T32" s="2603"/>
      <c r="U32" s="2603"/>
      <c r="V32" s="2603"/>
    </row>
    <row r="33" spans="1:26">
      <c r="A33" s="2594" t="s">
        <v>2559</v>
      </c>
      <c r="B33" s="2607">
        <f t="shared" si="122"/>
        <v>288.2649053828776</v>
      </c>
      <c r="C33" s="2607">
        <f t="shared" si="122"/>
        <v>243.64564425013293</v>
      </c>
      <c r="D33" s="2607">
        <f t="shared" si="114"/>
        <v>243.64564425013293</v>
      </c>
      <c r="E33" s="2607">
        <f t="shared" si="123"/>
        <v>393.31080825986544</v>
      </c>
      <c r="F33" s="2607">
        <f t="shared" si="123"/>
        <v>223.07903790551154</v>
      </c>
      <c r="G33" s="3858"/>
      <c r="H33" s="2598">
        <v>2</v>
      </c>
      <c r="I33" s="2598">
        <v>2.04</v>
      </c>
      <c r="J33" s="2598">
        <v>2.33</v>
      </c>
      <c r="K33" s="2598">
        <v>2.0699999999999998</v>
      </c>
      <c r="L33" s="2609">
        <v>0.69</v>
      </c>
      <c r="N33" s="2602">
        <f t="shared" si="116"/>
        <v>2.0400000000000001E-2</v>
      </c>
      <c r="O33" s="2620">
        <f t="shared" si="112"/>
        <v>2.3300000000000001E-2</v>
      </c>
      <c r="P33" s="2620">
        <f t="shared" si="112"/>
        <v>2.07E-2</v>
      </c>
      <c r="Q33" s="2620">
        <f t="shared" si="112"/>
        <v>6.8999999999999999E-3</v>
      </c>
      <c r="R33" s="2604"/>
      <c r="S33" s="2602"/>
      <c r="T33" s="2603"/>
      <c r="U33" s="2603"/>
      <c r="V33" s="2603"/>
      <c r="X33" s="2704"/>
      <c r="Y33" s="2706"/>
    </row>
    <row r="34" spans="1:26">
      <c r="A34" s="2594" t="s">
        <v>2560</v>
      </c>
      <c r="B34" s="2607">
        <f t="shared" si="122"/>
        <v>282.50186729015837</v>
      </c>
      <c r="C34" s="2607">
        <f t="shared" si="122"/>
        <v>238.09796174155468</v>
      </c>
      <c r="D34" s="2607">
        <f t="shared" si="114"/>
        <v>238.09796174155468</v>
      </c>
      <c r="E34" s="2607">
        <f t="shared" si="123"/>
        <v>385.33438646014054</v>
      </c>
      <c r="F34" s="2607">
        <f t="shared" si="123"/>
        <v>221.55034055567739</v>
      </c>
      <c r="G34" s="3859"/>
      <c r="H34" s="2597">
        <v>1</v>
      </c>
      <c r="I34" s="2597">
        <v>1.67</v>
      </c>
      <c r="J34" s="2597">
        <v>1.31</v>
      </c>
      <c r="K34" s="2597">
        <v>1.85</v>
      </c>
      <c r="L34" s="2608">
        <v>0.96</v>
      </c>
      <c r="N34" s="2610">
        <f t="shared" si="116"/>
        <v>1.67E-2</v>
      </c>
      <c r="O34" s="2611">
        <f t="shared" si="112"/>
        <v>1.3100000000000001E-2</v>
      </c>
      <c r="P34" s="2611">
        <f t="shared" si="112"/>
        <v>1.8500000000000003E-2</v>
      </c>
      <c r="Q34" s="2611">
        <f t="shared" si="112"/>
        <v>9.5999999999999992E-3</v>
      </c>
      <c r="R34" s="2604"/>
      <c r="S34" s="2610">
        <f>B34/B35-1</f>
        <v>1.6193767230785472E-2</v>
      </c>
      <c r="T34" s="2611">
        <f>C34/C35-1</f>
        <v>1.7512657015190891E-2</v>
      </c>
      <c r="U34" s="2611">
        <f>E34/E35-1</f>
        <v>1.6713420739157048E-2</v>
      </c>
      <c r="V34" s="2611">
        <f>F34/F35-1</f>
        <v>7.0470025258062563E-3</v>
      </c>
      <c r="X34" s="2705"/>
      <c r="Y34" s="2612"/>
      <c r="Z34" s="2612"/>
    </row>
    <row r="35" spans="1:26" ht="13.5" thickBot="1">
      <c r="A35" s="2594" t="s">
        <v>2561</v>
      </c>
      <c r="B35" s="2637">
        <v>278</v>
      </c>
      <c r="C35" s="2637">
        <v>234</v>
      </c>
      <c r="D35" s="2637">
        <f t="shared" si="114"/>
        <v>234</v>
      </c>
      <c r="E35" s="2637">
        <v>379</v>
      </c>
      <c r="F35" s="2638">
        <v>220</v>
      </c>
      <c r="G35" s="3854">
        <v>2012</v>
      </c>
      <c r="H35" s="2613">
        <v>4</v>
      </c>
      <c r="I35" s="2613">
        <v>0.91</v>
      </c>
      <c r="J35" s="2613">
        <v>0.68</v>
      </c>
      <c r="K35" s="2613">
        <v>0.98</v>
      </c>
      <c r="L35" s="2614">
        <v>0.9</v>
      </c>
      <c r="N35" s="2602">
        <f t="shared" si="116"/>
        <v>9.1000000000000004E-3</v>
      </c>
      <c r="O35" s="2603">
        <f t="shared" si="116"/>
        <v>6.8000000000000005E-3</v>
      </c>
      <c r="P35" s="2603">
        <f t="shared" si="116"/>
        <v>9.7999999999999997E-3</v>
      </c>
      <c r="Q35" s="2603">
        <f t="shared" si="116"/>
        <v>9.0000000000000011E-3</v>
      </c>
      <c r="R35" s="2604"/>
      <c r="S35" s="2605"/>
      <c r="T35" s="2606"/>
      <c r="U35" s="2606"/>
      <c r="V35" s="2606"/>
      <c r="X35" s="2606"/>
      <c r="Y35" s="2606"/>
      <c r="Z35" s="2606"/>
    </row>
    <row r="36" spans="1:26">
      <c r="A36" s="2594" t="s">
        <v>2562</v>
      </c>
      <c r="B36" s="2607">
        <f>B35/(1+N35)</f>
        <v>275.49301357645425</v>
      </c>
      <c r="C36" s="2607">
        <f>C35/(1+O35)</f>
        <v>232.41954707985698</v>
      </c>
      <c r="D36" s="2607">
        <f t="shared" si="114"/>
        <v>232.41954707985698</v>
      </c>
      <c r="E36" s="2607">
        <f t="shared" ref="E36:F38" si="124">E35/(1+P35)</f>
        <v>375.32184591008121</v>
      </c>
      <c r="F36" s="2607">
        <f t="shared" si="124"/>
        <v>218.03766105054513</v>
      </c>
      <c r="G36" s="3855"/>
      <c r="H36" s="2618">
        <v>3</v>
      </c>
      <c r="I36" s="2618">
        <v>0.09</v>
      </c>
      <c r="J36" s="2618">
        <v>0.28999999999999998</v>
      </c>
      <c r="K36" s="2618">
        <v>-0.01</v>
      </c>
      <c r="L36" s="2619">
        <v>0.57999999999999996</v>
      </c>
      <c r="N36" s="2602">
        <f t="shared" si="116"/>
        <v>8.9999999999999998E-4</v>
      </c>
      <c r="O36" s="2603">
        <f t="shared" si="116"/>
        <v>2.8999999999999998E-3</v>
      </c>
      <c r="P36" s="2603">
        <f t="shared" si="116"/>
        <v>-1E-4</v>
      </c>
      <c r="Q36" s="2603">
        <f t="shared" si="116"/>
        <v>5.7999999999999996E-3</v>
      </c>
      <c r="R36" s="2604"/>
      <c r="S36" s="2602"/>
      <c r="T36" s="2603"/>
      <c r="U36" s="2603"/>
      <c r="V36" s="2603"/>
    </row>
    <row r="37" spans="1:26">
      <c r="A37" s="2594" t="s">
        <v>2563</v>
      </c>
      <c r="B37" s="2607">
        <f>B36/(1+N36)</f>
        <v>275.24529281292263</v>
      </c>
      <c r="C37" s="2607">
        <f>C36/(1+O36)</f>
        <v>231.74747938962707</v>
      </c>
      <c r="D37" s="2607">
        <f t="shared" si="114"/>
        <v>231.74747938962707</v>
      </c>
      <c r="E37" s="2607">
        <f t="shared" si="124"/>
        <v>375.35938184826603</v>
      </c>
      <c r="F37" s="2607">
        <f t="shared" si="124"/>
        <v>216.78033510692495</v>
      </c>
      <c r="G37" s="3855"/>
      <c r="H37" s="2598">
        <v>2</v>
      </c>
      <c r="I37" s="2598">
        <v>0.02</v>
      </c>
      <c r="J37" s="2598">
        <v>0.12</v>
      </c>
      <c r="K37" s="2598">
        <v>-0.08</v>
      </c>
      <c r="L37" s="2609">
        <v>1.24</v>
      </c>
      <c r="N37" s="2602">
        <f t="shared" si="116"/>
        <v>2.0000000000000001E-4</v>
      </c>
      <c r="O37" s="2603">
        <f t="shared" si="116"/>
        <v>1.1999999999999999E-3</v>
      </c>
      <c r="P37" s="2603">
        <f t="shared" si="116"/>
        <v>-8.0000000000000004E-4</v>
      </c>
      <c r="Q37" s="2603">
        <f t="shared" si="116"/>
        <v>1.24E-2</v>
      </c>
      <c r="R37" s="2604"/>
      <c r="S37" s="2602"/>
      <c r="T37" s="2603"/>
      <c r="U37" s="2603"/>
      <c r="V37" s="2603"/>
    </row>
    <row r="38" spans="1:26" ht="13.5" thickBot="1">
      <c r="A38" s="2594" t="s">
        <v>2564</v>
      </c>
      <c r="B38" s="2607">
        <f>B37/(1+N37)</f>
        <v>275.19025476197027</v>
      </c>
      <c r="C38" s="2639">
        <v>232</v>
      </c>
      <c r="D38" s="2639">
        <f t="shared" si="114"/>
        <v>232</v>
      </c>
      <c r="E38" s="2607">
        <f t="shared" si="124"/>
        <v>375.65990977608692</v>
      </c>
      <c r="F38" s="2607">
        <f t="shared" si="124"/>
        <v>214.12518283971252</v>
      </c>
      <c r="G38" s="3856"/>
      <c r="H38" s="2597">
        <v>1</v>
      </c>
      <c r="I38" s="2597">
        <v>0.02</v>
      </c>
      <c r="J38" s="2597">
        <v>0.13</v>
      </c>
      <c r="K38" s="2597">
        <v>-0.04</v>
      </c>
      <c r="L38" s="2608">
        <v>0.46</v>
      </c>
      <c r="N38" s="2602">
        <f t="shared" si="116"/>
        <v>2.0000000000000001E-4</v>
      </c>
      <c r="O38" s="2603">
        <f t="shared" si="116"/>
        <v>1.2999999999999999E-3</v>
      </c>
      <c r="P38" s="2603">
        <f t="shared" si="116"/>
        <v>-4.0000000000000002E-4</v>
      </c>
      <c r="Q38" s="2603">
        <f t="shared" si="116"/>
        <v>4.5999999999999999E-3</v>
      </c>
      <c r="R38" s="2604"/>
      <c r="S38" s="2610">
        <f>B38/B39-1</f>
        <v>6.9183549807361189E-4</v>
      </c>
      <c r="T38" s="2611">
        <f>C38/C39-1</f>
        <v>0</v>
      </c>
      <c r="U38" s="2611">
        <f>E38/E39-1</f>
        <v>-9.0449527636460303E-4</v>
      </c>
      <c r="V38" s="2611">
        <f>F38/F39-1</f>
        <v>5.2825485432512753E-3</v>
      </c>
      <c r="X38" s="2612"/>
      <c r="Y38" s="2612"/>
      <c r="Z38" s="2612"/>
    </row>
    <row r="39" spans="1:26" ht="13.5" thickBot="1">
      <c r="A39" s="2594" t="s">
        <v>2565</v>
      </c>
      <c r="B39" s="2599">
        <v>275</v>
      </c>
      <c r="C39" s="2599">
        <v>232</v>
      </c>
      <c r="D39" s="2599">
        <f t="shared" si="114"/>
        <v>232</v>
      </c>
      <c r="E39" s="2599">
        <v>376</v>
      </c>
      <c r="F39" s="2600">
        <v>213</v>
      </c>
      <c r="G39" s="3854">
        <v>2011</v>
      </c>
      <c r="H39" s="2613">
        <v>4</v>
      </c>
      <c r="I39" s="2613">
        <v>-0.2</v>
      </c>
      <c r="J39" s="2613">
        <v>0.04</v>
      </c>
      <c r="K39" s="2613">
        <v>-0.34</v>
      </c>
      <c r="L39" s="2614">
        <v>0.46</v>
      </c>
      <c r="N39" s="2615">
        <f t="shared" si="116"/>
        <v>-2E-3</v>
      </c>
      <c r="O39" s="2616">
        <f t="shared" si="116"/>
        <v>4.0000000000000002E-4</v>
      </c>
      <c r="P39" s="2616">
        <f t="shared" si="116"/>
        <v>-3.4000000000000002E-3</v>
      </c>
      <c r="Q39" s="2616">
        <f t="shared" si="116"/>
        <v>4.5999999999999999E-3</v>
      </c>
      <c r="R39" s="2604"/>
      <c r="S39" s="2605"/>
      <c r="T39" s="2606"/>
      <c r="U39" s="2606"/>
      <c r="V39" s="2606"/>
      <c r="X39" s="2606"/>
      <c r="Y39" s="2606"/>
      <c r="Z39" s="2606"/>
    </row>
    <row r="40" spans="1:26">
      <c r="A40" s="2594" t="s">
        <v>2566</v>
      </c>
      <c r="B40" s="2607">
        <f t="shared" ref="B40:C42" si="125">B39/(1+N39)</f>
        <v>275.55110220440883</v>
      </c>
      <c r="C40" s="2607">
        <f t="shared" si="125"/>
        <v>231.90723710515795</v>
      </c>
      <c r="D40" s="2607">
        <f t="shared" si="114"/>
        <v>231.90723710515795</v>
      </c>
      <c r="E40" s="2607">
        <f t="shared" ref="E40:F42" si="126">E39/(1+P39)</f>
        <v>377.28276138872161</v>
      </c>
      <c r="F40" s="2607">
        <f t="shared" si="126"/>
        <v>212.02468644236512</v>
      </c>
      <c r="G40" s="3855">
        <v>2011</v>
      </c>
      <c r="H40" s="2618">
        <v>3</v>
      </c>
      <c r="I40" s="2618">
        <v>0.13</v>
      </c>
      <c r="J40" s="2618">
        <v>0.75</v>
      </c>
      <c r="K40" s="2618">
        <v>-0.08</v>
      </c>
      <c r="L40" s="2619">
        <v>0.53</v>
      </c>
      <c r="N40" s="2602">
        <f t="shared" si="116"/>
        <v>1.2999999999999999E-3</v>
      </c>
      <c r="O40" s="2620">
        <f t="shared" si="116"/>
        <v>7.4999999999999997E-3</v>
      </c>
      <c r="P40" s="2620">
        <f t="shared" si="116"/>
        <v>-8.0000000000000004E-4</v>
      </c>
      <c r="Q40" s="2620">
        <f t="shared" si="116"/>
        <v>5.3E-3</v>
      </c>
      <c r="R40" s="2604"/>
      <c r="S40" s="2602"/>
      <c r="T40" s="2603"/>
      <c r="U40" s="2603"/>
      <c r="V40" s="2603"/>
    </row>
    <row r="41" spans="1:26">
      <c r="A41" s="2594" t="s">
        <v>2567</v>
      </c>
      <c r="B41" s="2607">
        <f t="shared" si="125"/>
        <v>275.19335084830601</v>
      </c>
      <c r="C41" s="2607">
        <f t="shared" si="125"/>
        <v>230.18088050139744</v>
      </c>
      <c r="D41" s="2607">
        <f t="shared" si="114"/>
        <v>230.18088050139744</v>
      </c>
      <c r="E41" s="2607">
        <f t="shared" si="126"/>
        <v>377.58482925212331</v>
      </c>
      <c r="F41" s="2607">
        <f t="shared" si="126"/>
        <v>210.90687997847917</v>
      </c>
      <c r="G41" s="3855">
        <v>2011</v>
      </c>
      <c r="H41" s="2598">
        <v>2</v>
      </c>
      <c r="I41" s="2598">
        <v>-0.4</v>
      </c>
      <c r="J41" s="2598">
        <v>0.17</v>
      </c>
      <c r="K41" s="2598">
        <v>-0.57999999999999996</v>
      </c>
      <c r="L41" s="2609">
        <v>-0.2</v>
      </c>
      <c r="N41" s="2602">
        <f t="shared" si="116"/>
        <v>-4.0000000000000001E-3</v>
      </c>
      <c r="O41" s="2620">
        <f t="shared" si="116"/>
        <v>1.7000000000000001E-3</v>
      </c>
      <c r="P41" s="2620">
        <f t="shared" si="116"/>
        <v>-5.7999999999999996E-3</v>
      </c>
      <c r="Q41" s="2620">
        <f t="shared" si="116"/>
        <v>-2E-3</v>
      </c>
      <c r="R41" s="2604"/>
      <c r="S41" s="2602"/>
      <c r="T41" s="2603"/>
      <c r="U41" s="2603"/>
      <c r="V41" s="2603"/>
    </row>
    <row r="42" spans="1:26" ht="13.5" thickBot="1">
      <c r="A42" s="2594" t="s">
        <v>2568</v>
      </c>
      <c r="B42" s="2607">
        <f t="shared" si="125"/>
        <v>276.29854502841971</v>
      </c>
      <c r="C42" s="2607">
        <f t="shared" si="125"/>
        <v>229.79023709833027</v>
      </c>
      <c r="D42" s="2607">
        <f t="shared" si="114"/>
        <v>229.79023709833027</v>
      </c>
      <c r="E42" s="2607">
        <f t="shared" si="126"/>
        <v>379.78759731655936</v>
      </c>
      <c r="F42" s="2607">
        <f t="shared" si="126"/>
        <v>211.32953905659235</v>
      </c>
      <c r="G42" s="3856">
        <v>2011</v>
      </c>
      <c r="H42" s="2597">
        <v>1</v>
      </c>
      <c r="I42" s="2597">
        <v>2.65</v>
      </c>
      <c r="J42" s="2597">
        <v>3.76</v>
      </c>
      <c r="K42" s="2597">
        <v>1.89</v>
      </c>
      <c r="L42" s="2608">
        <v>7.95</v>
      </c>
      <c r="N42" s="2610">
        <f t="shared" si="116"/>
        <v>2.6499999999999999E-2</v>
      </c>
      <c r="O42" s="2611">
        <f t="shared" si="116"/>
        <v>3.7599999999999995E-2</v>
      </c>
      <c r="P42" s="2611">
        <f t="shared" si="116"/>
        <v>1.89E-2</v>
      </c>
      <c r="Q42" s="2611">
        <f t="shared" si="116"/>
        <v>7.9500000000000001E-2</v>
      </c>
      <c r="R42" s="2604"/>
      <c r="S42" s="2610">
        <f>B42/B43-1</f>
        <v>2.713213765211786E-2</v>
      </c>
      <c r="T42" s="2611">
        <f>C42/C43-1</f>
        <v>3.9774828499231862E-2</v>
      </c>
      <c r="U42" s="2611">
        <f>E42/E43-1</f>
        <v>1.8197311840641772E-2</v>
      </c>
      <c r="V42" s="2611">
        <f>F42/F43-1</f>
        <v>7.8211933962205826E-2</v>
      </c>
      <c r="X42" s="2612"/>
      <c r="Y42" s="2612"/>
      <c r="Z42" s="2612"/>
    </row>
    <row r="43" spans="1:26" ht="13.5" thickBot="1">
      <c r="A43" s="2594" t="s">
        <v>2569</v>
      </c>
      <c r="B43" s="2599">
        <v>269</v>
      </c>
      <c r="C43" s="2599">
        <v>221</v>
      </c>
      <c r="D43" s="2599">
        <f t="shared" si="114"/>
        <v>221</v>
      </c>
      <c r="E43" s="2599">
        <v>373</v>
      </c>
      <c r="F43" s="2600">
        <v>196</v>
      </c>
      <c r="G43" s="3854">
        <v>2010</v>
      </c>
      <c r="H43" s="2613">
        <v>4</v>
      </c>
      <c r="I43" s="2613">
        <v>5.72</v>
      </c>
      <c r="J43" s="2613">
        <v>6.57</v>
      </c>
      <c r="K43" s="2613">
        <v>5.72</v>
      </c>
      <c r="L43" s="2614">
        <v>2.72</v>
      </c>
      <c r="N43" s="2602">
        <f t="shared" si="116"/>
        <v>5.7200000000000001E-2</v>
      </c>
      <c r="O43" s="2603">
        <f t="shared" si="116"/>
        <v>6.5700000000000008E-2</v>
      </c>
      <c r="P43" s="2603">
        <f t="shared" si="116"/>
        <v>5.7200000000000001E-2</v>
      </c>
      <c r="Q43" s="2603">
        <f t="shared" si="116"/>
        <v>2.7200000000000002E-2</v>
      </c>
      <c r="R43" s="2604"/>
      <c r="S43" s="2605"/>
      <c r="T43" s="2606"/>
      <c r="U43" s="2606"/>
      <c r="V43" s="2606"/>
      <c r="X43" s="2606"/>
      <c r="Y43" s="2606"/>
      <c r="Z43" s="2606"/>
    </row>
    <row r="44" spans="1:26">
      <c r="A44" s="2594" t="s">
        <v>2570</v>
      </c>
      <c r="B44" s="2607">
        <f t="shared" ref="B44:C46" si="127">B43/(1+N43)</f>
        <v>254.44570563753314</v>
      </c>
      <c r="C44" s="2607">
        <f t="shared" si="127"/>
        <v>207.37543398705074</v>
      </c>
      <c r="D44" s="2607">
        <f t="shared" si="114"/>
        <v>207.37543398705074</v>
      </c>
      <c r="E44" s="2607">
        <f t="shared" ref="E44:F46" si="128">E43/(1+P43)</f>
        <v>352.81876655315932</v>
      </c>
      <c r="F44" s="2607">
        <f t="shared" si="128"/>
        <v>190.809968847352</v>
      </c>
      <c r="G44" s="3855">
        <v>2010</v>
      </c>
      <c r="H44" s="2618">
        <v>3</v>
      </c>
      <c r="I44" s="2618">
        <v>4.7300000000000004</v>
      </c>
      <c r="J44" s="2618">
        <v>3.9</v>
      </c>
      <c r="K44" s="2618">
        <v>5.03</v>
      </c>
      <c r="L44" s="2619">
        <v>4.21</v>
      </c>
      <c r="N44" s="2602">
        <f t="shared" si="116"/>
        <v>4.7300000000000002E-2</v>
      </c>
      <c r="O44" s="2603">
        <f t="shared" si="116"/>
        <v>3.9E-2</v>
      </c>
      <c r="P44" s="2603">
        <f t="shared" si="116"/>
        <v>5.0300000000000004E-2</v>
      </c>
      <c r="Q44" s="2603">
        <f t="shared" si="116"/>
        <v>4.2099999999999999E-2</v>
      </c>
      <c r="R44" s="2604"/>
      <c r="S44" s="2602"/>
      <c r="T44" s="2603"/>
      <c r="U44" s="2603"/>
      <c r="V44" s="2603"/>
    </row>
    <row r="45" spans="1:26">
      <c r="A45" s="2594" t="s">
        <v>2571</v>
      </c>
      <c r="B45" s="2607">
        <f t="shared" si="127"/>
        <v>242.95398227588385</v>
      </c>
      <c r="C45" s="2607">
        <f t="shared" si="127"/>
        <v>199.59137053614126</v>
      </c>
      <c r="D45" s="2607">
        <f t="shared" si="114"/>
        <v>199.59137053614126</v>
      </c>
      <c r="E45" s="2607">
        <f t="shared" si="128"/>
        <v>335.92189522342125</v>
      </c>
      <c r="F45" s="2607">
        <f t="shared" si="128"/>
        <v>183.10139991109489</v>
      </c>
      <c r="G45" s="3855">
        <v>2010</v>
      </c>
      <c r="H45" s="2598">
        <v>2</v>
      </c>
      <c r="I45" s="2598">
        <v>4.6900000000000004</v>
      </c>
      <c r="J45" s="2598">
        <v>3.55</v>
      </c>
      <c r="K45" s="2598">
        <v>5.07</v>
      </c>
      <c r="L45" s="2609">
        <v>4.2300000000000004</v>
      </c>
      <c r="N45" s="2602">
        <f t="shared" si="116"/>
        <v>4.6900000000000004E-2</v>
      </c>
      <c r="O45" s="2603">
        <f t="shared" si="116"/>
        <v>3.5499999999999997E-2</v>
      </c>
      <c r="P45" s="2603">
        <f t="shared" si="116"/>
        <v>5.0700000000000002E-2</v>
      </c>
      <c r="Q45" s="2603">
        <f t="shared" si="116"/>
        <v>4.2300000000000004E-2</v>
      </c>
      <c r="R45" s="2604"/>
      <c r="S45" s="2602"/>
      <c r="T45" s="2603"/>
      <c r="U45" s="2603"/>
      <c r="V45" s="2603"/>
    </row>
    <row r="46" spans="1:26" ht="13.5" thickBot="1">
      <c r="A46" s="2594" t="s">
        <v>2572</v>
      </c>
      <c r="B46" s="2607">
        <f t="shared" si="127"/>
        <v>232.06990378821649</v>
      </c>
      <c r="C46" s="2607">
        <f t="shared" si="127"/>
        <v>192.74878854286936</v>
      </c>
      <c r="D46" s="2607">
        <f t="shared" si="114"/>
        <v>192.74878854286936</v>
      </c>
      <c r="E46" s="2607">
        <f t="shared" si="128"/>
        <v>319.71247284992984</v>
      </c>
      <c r="F46" s="2607">
        <f t="shared" si="128"/>
        <v>175.67053622862409</v>
      </c>
      <c r="G46" s="3856">
        <v>2010</v>
      </c>
      <c r="H46" s="2597">
        <v>1</v>
      </c>
      <c r="I46" s="2597">
        <v>5.4</v>
      </c>
      <c r="J46" s="2597">
        <v>3.2</v>
      </c>
      <c r="K46" s="2597">
        <v>6.16</v>
      </c>
      <c r="L46" s="2608">
        <v>4.51</v>
      </c>
      <c r="N46" s="2602">
        <f t="shared" si="116"/>
        <v>5.4000000000000006E-2</v>
      </c>
      <c r="O46" s="2603">
        <f t="shared" si="116"/>
        <v>3.2000000000000001E-2</v>
      </c>
      <c r="P46" s="2603">
        <f t="shared" si="116"/>
        <v>6.1600000000000002E-2</v>
      </c>
      <c r="Q46" s="2603">
        <f t="shared" si="116"/>
        <v>4.5100000000000001E-2</v>
      </c>
      <c r="R46" s="2604"/>
      <c r="S46" s="2610">
        <f>B46/B47-1</f>
        <v>5.4863199037347599E-2</v>
      </c>
      <c r="T46" s="2611">
        <f>C46/C47-1</f>
        <v>3.0742184721226584E-2</v>
      </c>
      <c r="U46" s="2611">
        <f>E46/E47-1</f>
        <v>6.2167683886810154E-2</v>
      </c>
      <c r="V46" s="2611">
        <f>F46/F47-1</f>
        <v>4.5657953741810031E-2</v>
      </c>
      <c r="X46" s="2612"/>
      <c r="Y46" s="2612"/>
      <c r="Z46" s="2612"/>
    </row>
    <row r="47" spans="1:26" ht="13.5" thickBot="1">
      <c r="A47" s="2594" t="s">
        <v>2573</v>
      </c>
      <c r="B47" s="2599">
        <v>220</v>
      </c>
      <c r="C47" s="2599">
        <v>187</v>
      </c>
      <c r="D47" s="2599">
        <f t="shared" si="114"/>
        <v>187</v>
      </c>
      <c r="E47" s="2599">
        <v>301</v>
      </c>
      <c r="F47" s="2600">
        <v>168</v>
      </c>
      <c r="G47" s="3854">
        <v>2009</v>
      </c>
      <c r="H47" s="2613">
        <v>4</v>
      </c>
      <c r="I47" s="2613">
        <v>2.2999999999999998</v>
      </c>
      <c r="J47" s="2613">
        <v>1.04</v>
      </c>
      <c r="K47" s="2613">
        <v>2.84</v>
      </c>
      <c r="L47" s="2614">
        <v>0.67</v>
      </c>
      <c r="N47" s="2615">
        <f t="shared" si="116"/>
        <v>2.3E-2</v>
      </c>
      <c r="O47" s="2616">
        <f t="shared" si="116"/>
        <v>1.04E-2</v>
      </c>
      <c r="P47" s="2616">
        <f t="shared" si="116"/>
        <v>2.8399999999999998E-2</v>
      </c>
      <c r="Q47" s="2616">
        <f t="shared" si="116"/>
        <v>6.7000000000000002E-3</v>
      </c>
      <c r="R47" s="2604"/>
      <c r="S47" s="2605"/>
      <c r="T47" s="2606"/>
      <c r="U47" s="2606"/>
      <c r="V47" s="2606"/>
      <c r="X47" s="2606"/>
      <c r="Y47" s="2606"/>
      <c r="Z47" s="2606"/>
    </row>
    <row r="48" spans="1:26">
      <c r="A48" s="2594" t="s">
        <v>2574</v>
      </c>
      <c r="B48" s="2607">
        <f t="shared" ref="B48:C50" si="129">B47/(1+N47)</f>
        <v>215.05376344086022</v>
      </c>
      <c r="C48" s="2607">
        <f t="shared" si="129"/>
        <v>185.0752177355503</v>
      </c>
      <c r="D48" s="2607">
        <f t="shared" si="114"/>
        <v>185.0752177355503</v>
      </c>
      <c r="E48" s="2607">
        <f t="shared" ref="E48:F50" si="130">E47/(1+P47)</f>
        <v>292.68767016725008</v>
      </c>
      <c r="F48" s="2607">
        <f t="shared" si="130"/>
        <v>166.88189132810174</v>
      </c>
      <c r="G48" s="3855">
        <v>2009</v>
      </c>
      <c r="H48" s="2618">
        <v>3</v>
      </c>
      <c r="I48" s="2618">
        <v>2.1</v>
      </c>
      <c r="J48" s="2618">
        <v>1.86</v>
      </c>
      <c r="K48" s="2618">
        <v>2.29</v>
      </c>
      <c r="L48" s="2619">
        <v>0.85</v>
      </c>
      <c r="N48" s="2602">
        <f t="shared" si="116"/>
        <v>2.1000000000000001E-2</v>
      </c>
      <c r="O48" s="2620">
        <f t="shared" si="116"/>
        <v>1.8600000000000002E-2</v>
      </c>
      <c r="P48" s="2620">
        <f t="shared" si="116"/>
        <v>2.29E-2</v>
      </c>
      <c r="Q48" s="2620">
        <f t="shared" si="116"/>
        <v>8.5000000000000006E-3</v>
      </c>
      <c r="R48" s="2604"/>
      <c r="S48" s="2602"/>
      <c r="T48" s="2603"/>
      <c r="U48" s="2603"/>
      <c r="V48" s="2603"/>
    </row>
    <row r="49" spans="1:26">
      <c r="A49" s="2594" t="s">
        <v>2575</v>
      </c>
      <c r="B49" s="2607">
        <f t="shared" si="129"/>
        <v>210.630522469011</v>
      </c>
      <c r="C49" s="2607">
        <f t="shared" si="129"/>
        <v>181.69567812247232</v>
      </c>
      <c r="D49" s="2607">
        <f t="shared" si="114"/>
        <v>181.69567812247232</v>
      </c>
      <c r="E49" s="2607">
        <f t="shared" si="130"/>
        <v>286.13517466736738</v>
      </c>
      <c r="F49" s="2607">
        <f t="shared" si="130"/>
        <v>165.47535084591149</v>
      </c>
      <c r="G49" s="3855">
        <v>2009</v>
      </c>
      <c r="H49" s="2598">
        <v>2</v>
      </c>
      <c r="I49" s="2598">
        <v>0.86</v>
      </c>
      <c r="J49" s="2598">
        <v>-1.1299999999999999</v>
      </c>
      <c r="K49" s="2598">
        <v>1.79</v>
      </c>
      <c r="L49" s="2609">
        <v>-2.0699999999999998</v>
      </c>
      <c r="N49" s="2602">
        <f t="shared" si="116"/>
        <v>8.6E-3</v>
      </c>
      <c r="O49" s="2620">
        <f t="shared" si="116"/>
        <v>-1.1299999999999999E-2</v>
      </c>
      <c r="P49" s="2620">
        <f t="shared" si="116"/>
        <v>1.7899999999999999E-2</v>
      </c>
      <c r="Q49" s="2620">
        <f t="shared" si="116"/>
        <v>-2.07E-2</v>
      </c>
      <c r="R49" s="2604"/>
      <c r="S49" s="2602"/>
      <c r="T49" s="2603"/>
      <c r="U49" s="2603"/>
      <c r="V49" s="2603"/>
    </row>
    <row r="50" spans="1:26">
      <c r="A50" s="2594" t="s">
        <v>2576</v>
      </c>
      <c r="B50" s="2607">
        <f t="shared" si="129"/>
        <v>208.83454537875372</v>
      </c>
      <c r="C50" s="2607">
        <f t="shared" si="129"/>
        <v>183.77230517090351</v>
      </c>
      <c r="D50" s="2607">
        <f t="shared" si="114"/>
        <v>183.77230517090351</v>
      </c>
      <c r="E50" s="2607">
        <f t="shared" si="130"/>
        <v>281.10342338870947</v>
      </c>
      <c r="F50" s="2607">
        <f t="shared" si="130"/>
        <v>168.97309388942256</v>
      </c>
      <c r="G50" s="3856">
        <v>2009</v>
      </c>
      <c r="H50" s="2597">
        <v>1</v>
      </c>
      <c r="I50" s="2597">
        <v>-2.64</v>
      </c>
      <c r="J50" s="2597">
        <v>-2.5299999999999998</v>
      </c>
      <c r="K50" s="2597">
        <v>-3.02</v>
      </c>
      <c r="L50" s="2608">
        <v>1.52</v>
      </c>
      <c r="N50" s="2610">
        <f t="shared" si="116"/>
        <v>-2.64E-2</v>
      </c>
      <c r="O50" s="2611">
        <f t="shared" si="116"/>
        <v>-2.53E-2</v>
      </c>
      <c r="P50" s="2611">
        <f t="shared" si="116"/>
        <v>-3.0200000000000001E-2</v>
      </c>
      <c r="Q50" s="2611">
        <f t="shared" si="116"/>
        <v>1.52E-2</v>
      </c>
      <c r="R50" s="2604"/>
      <c r="S50" s="2610">
        <f>B50/B51-1</f>
        <v>-2.4137638417038754E-2</v>
      </c>
      <c r="T50" s="2611">
        <f>C50/C51-1</f>
        <v>-2.248773845264096E-2</v>
      </c>
      <c r="U50" s="2611">
        <f>E50/E51-1</f>
        <v>-2.7323794502735366E-2</v>
      </c>
      <c r="V50" s="2611">
        <f>F50/F51-1</f>
        <v>1.7910204153148035E-2</v>
      </c>
      <c r="X50" s="2612"/>
      <c r="Y50" s="2612"/>
      <c r="Z50" s="2612"/>
    </row>
    <row r="51" spans="1:26" ht="13.5" thickBot="1">
      <c r="A51" s="2594" t="s">
        <v>2577</v>
      </c>
      <c r="B51" s="2637">
        <v>214</v>
      </c>
      <c r="C51" s="2637">
        <v>188</v>
      </c>
      <c r="D51" s="2637">
        <f t="shared" si="114"/>
        <v>188</v>
      </c>
      <c r="E51" s="2637">
        <v>289</v>
      </c>
      <c r="F51" s="2638">
        <v>166</v>
      </c>
      <c r="G51" s="3854">
        <v>2008</v>
      </c>
      <c r="H51" s="2613">
        <v>4</v>
      </c>
      <c r="I51" s="2613">
        <v>1.73</v>
      </c>
      <c r="J51" s="2613">
        <v>0.03</v>
      </c>
      <c r="K51" s="2613">
        <v>2.59</v>
      </c>
      <c r="L51" s="2614">
        <v>-1.66</v>
      </c>
      <c r="N51" s="2602">
        <f t="shared" si="116"/>
        <v>1.7299999999999999E-2</v>
      </c>
      <c r="O51" s="2603">
        <f t="shared" si="116"/>
        <v>2.9999999999999997E-4</v>
      </c>
      <c r="P51" s="2603">
        <f t="shared" si="116"/>
        <v>2.5899999999999999E-2</v>
      </c>
      <c r="Q51" s="2603">
        <f t="shared" si="116"/>
        <v>-1.66E-2</v>
      </c>
      <c r="R51" s="2604"/>
      <c r="S51" s="2605"/>
      <c r="T51" s="2606"/>
      <c r="U51" s="2606"/>
      <c r="V51" s="2606"/>
      <c r="X51" s="2606"/>
      <c r="Y51" s="2606"/>
      <c r="Z51" s="2606"/>
    </row>
    <row r="52" spans="1:26">
      <c r="A52" s="2594" t="s">
        <v>2578</v>
      </c>
      <c r="B52" s="2607">
        <f t="shared" ref="B52:C54" si="131">B51/(1+N51)</f>
        <v>210.36075887152265</v>
      </c>
      <c r="C52" s="2607">
        <f t="shared" si="131"/>
        <v>187.94361691492554</v>
      </c>
      <c r="D52" s="2607">
        <f t="shared" si="114"/>
        <v>187.94361691492554</v>
      </c>
      <c r="E52" s="2607">
        <f t="shared" ref="E52:F54" si="132">E51/(1+P51)</f>
        <v>281.70386977288234</v>
      </c>
      <c r="F52" s="2607">
        <f t="shared" si="132"/>
        <v>168.80211511083994</v>
      </c>
      <c r="G52" s="3855">
        <v>2008</v>
      </c>
      <c r="H52" s="2618">
        <v>3</v>
      </c>
      <c r="I52" s="2618">
        <v>1.96</v>
      </c>
      <c r="J52" s="2618">
        <v>2.36</v>
      </c>
      <c r="K52" s="2618">
        <v>1.82</v>
      </c>
      <c r="L52" s="2619">
        <v>2.2200000000000002</v>
      </c>
      <c r="N52" s="2602">
        <f t="shared" si="116"/>
        <v>1.9599999999999999E-2</v>
      </c>
      <c r="O52" s="2603">
        <f t="shared" si="116"/>
        <v>2.3599999999999999E-2</v>
      </c>
      <c r="P52" s="2603">
        <f t="shared" si="116"/>
        <v>1.8200000000000001E-2</v>
      </c>
      <c r="Q52" s="2603">
        <f t="shared" si="116"/>
        <v>2.2200000000000001E-2</v>
      </c>
      <c r="R52" s="2604"/>
      <c r="S52" s="2602"/>
      <c r="T52" s="2603"/>
      <c r="U52" s="2603"/>
      <c r="V52" s="2603"/>
    </row>
    <row r="53" spans="1:26">
      <c r="A53" s="2594" t="s">
        <v>2579</v>
      </c>
      <c r="B53" s="2607">
        <f t="shared" si="131"/>
        <v>206.31694671589116</v>
      </c>
      <c r="C53" s="2607">
        <f t="shared" si="131"/>
        <v>183.61041121036101</v>
      </c>
      <c r="D53" s="2607">
        <f t="shared" si="114"/>
        <v>183.61041121036101</v>
      </c>
      <c r="E53" s="2607">
        <f t="shared" si="132"/>
        <v>276.66850301795557</v>
      </c>
      <c r="F53" s="2607">
        <f t="shared" si="132"/>
        <v>165.1360938278614</v>
      </c>
      <c r="G53" s="3855">
        <v>2008</v>
      </c>
      <c r="H53" s="2598">
        <v>2</v>
      </c>
      <c r="I53" s="2598">
        <v>4.93</v>
      </c>
      <c r="J53" s="2598">
        <v>7.38</v>
      </c>
      <c r="K53" s="2598">
        <v>3.98</v>
      </c>
      <c r="L53" s="2609">
        <v>6.86</v>
      </c>
      <c r="N53" s="2602">
        <f t="shared" si="116"/>
        <v>4.9299999999999997E-2</v>
      </c>
      <c r="O53" s="2603">
        <f t="shared" si="116"/>
        <v>7.3800000000000004E-2</v>
      </c>
      <c r="P53" s="2603">
        <f t="shared" si="116"/>
        <v>3.9800000000000002E-2</v>
      </c>
      <c r="Q53" s="2603">
        <f t="shared" si="116"/>
        <v>6.8600000000000008E-2</v>
      </c>
      <c r="R53" s="2604"/>
      <c r="S53" s="2602"/>
      <c r="T53" s="2603"/>
      <c r="U53" s="2603"/>
      <c r="V53" s="2603"/>
    </row>
    <row r="54" spans="1:26" s="2643" customFormat="1" ht="13.5" thickBot="1">
      <c r="A54" s="2594" t="s">
        <v>2580</v>
      </c>
      <c r="B54" s="2640">
        <f t="shared" si="131"/>
        <v>196.62341248059772</v>
      </c>
      <c r="C54" s="2640">
        <f t="shared" si="131"/>
        <v>170.99125648199012</v>
      </c>
      <c r="D54" s="2640">
        <f t="shared" si="114"/>
        <v>170.99125648199012</v>
      </c>
      <c r="E54" s="2640">
        <f t="shared" si="132"/>
        <v>266.07857570490052</v>
      </c>
      <c r="F54" s="2640">
        <f t="shared" si="132"/>
        <v>154.53499328828505</v>
      </c>
      <c r="G54" s="3856">
        <v>2008</v>
      </c>
      <c r="H54" s="2641">
        <v>1</v>
      </c>
      <c r="I54" s="2641">
        <v>4.1399999999999997</v>
      </c>
      <c r="J54" s="2641">
        <v>3.45</v>
      </c>
      <c r="K54" s="2641">
        <v>4.95</v>
      </c>
      <c r="L54" s="2642">
        <v>4.82</v>
      </c>
      <c r="N54" s="2644">
        <f t="shared" si="116"/>
        <v>4.1399999999999999E-2</v>
      </c>
      <c r="O54" s="2645">
        <f t="shared" si="116"/>
        <v>3.4500000000000003E-2</v>
      </c>
      <c r="P54" s="2645">
        <f t="shared" si="116"/>
        <v>4.9500000000000002E-2</v>
      </c>
      <c r="Q54" s="2645">
        <f t="shared" si="116"/>
        <v>4.82E-2</v>
      </c>
      <c r="R54" s="2646"/>
      <c r="S54" s="2644">
        <f>B54/B55-1</f>
        <v>4.5869215322328349E-2</v>
      </c>
      <c r="T54" s="2645">
        <f>C54/C55-1</f>
        <v>3.6310645345394743E-2</v>
      </c>
      <c r="U54" s="2645">
        <f>E54/E55-1</f>
        <v>4.7553447657088688E-2</v>
      </c>
      <c r="V54" s="2645">
        <f>F54/F55-1</f>
        <v>4.4155360055980086E-2</v>
      </c>
      <c r="X54" s="2647"/>
      <c r="Y54" s="2647"/>
      <c r="Z54" s="2647"/>
    </row>
    <row r="55" spans="1:26" ht="13.5" thickBot="1">
      <c r="A55" s="2594" t="s">
        <v>2581</v>
      </c>
      <c r="B55" s="2599">
        <v>188</v>
      </c>
      <c r="C55" s="2599">
        <v>165</v>
      </c>
      <c r="D55" s="2599">
        <f t="shared" si="114"/>
        <v>165</v>
      </c>
      <c r="E55" s="2599">
        <v>254</v>
      </c>
      <c r="F55" s="2600">
        <v>148</v>
      </c>
      <c r="G55" s="3854">
        <v>2007</v>
      </c>
      <c r="H55" s="2648">
        <v>4</v>
      </c>
      <c r="I55" s="2648">
        <v>5.51</v>
      </c>
      <c r="J55" s="2648">
        <v>4.8899999999999997</v>
      </c>
      <c r="K55" s="2648">
        <v>6.43</v>
      </c>
      <c r="L55" s="2649">
        <v>5.36</v>
      </c>
      <c r="N55" s="2650">
        <f t="shared" ref="N55:O58" si="133">B55/B56-1</f>
        <v>4.1339718365245526E-2</v>
      </c>
      <c r="O55" s="2651">
        <f t="shared" si="133"/>
        <v>4.0324492593776018E-2</v>
      </c>
      <c r="P55" s="2651">
        <f t="shared" ref="P55:Q58" si="134">E55/E56-1</f>
        <v>6.1625555347990968E-2</v>
      </c>
      <c r="Q55" s="2651">
        <f t="shared" si="134"/>
        <v>4.6757569250590603E-2</v>
      </c>
      <c r="R55" s="2604"/>
      <c r="S55" s="2605"/>
      <c r="T55" s="2606"/>
      <c r="U55" s="2606"/>
      <c r="V55" s="2606"/>
      <c r="X55" s="2606"/>
      <c r="Y55" s="2606"/>
      <c r="Z55" s="2606"/>
    </row>
    <row r="56" spans="1:26">
      <c r="A56" s="2594" t="s">
        <v>2582</v>
      </c>
      <c r="B56" s="2607">
        <f t="shared" ref="B56:C58" si="135">B57+(B$55-B$59)*I56/SUM(I$55:I$58)</f>
        <v>180.5366651097618</v>
      </c>
      <c r="C56" s="2607">
        <f t="shared" si="135"/>
        <v>158.60435967302453</v>
      </c>
      <c r="D56" s="2607">
        <f t="shared" si="114"/>
        <v>158.60435967302453</v>
      </c>
      <c r="E56" s="2607">
        <f t="shared" ref="E56:F58" si="136">E57+(E$55-E$59)*K56/SUM(K$55:K$58)</f>
        <v>239.25573260785075</v>
      </c>
      <c r="F56" s="2607">
        <f t="shared" si="136"/>
        <v>141.38899430740037</v>
      </c>
      <c r="G56" s="3855">
        <v>2007</v>
      </c>
      <c r="H56" s="2618">
        <v>3</v>
      </c>
      <c r="I56" s="2618">
        <v>8.65</v>
      </c>
      <c r="J56" s="2618">
        <v>8.06</v>
      </c>
      <c r="K56" s="2618">
        <v>9.94</v>
      </c>
      <c r="L56" s="2619">
        <v>5.8</v>
      </c>
      <c r="N56" s="2650">
        <f t="shared" si="133"/>
        <v>6.940217571740015E-2</v>
      </c>
      <c r="O56" s="2651">
        <f t="shared" si="133"/>
        <v>7.1197482471153428E-2</v>
      </c>
      <c r="P56" s="2651">
        <f t="shared" si="134"/>
        <v>0.10529679922579582</v>
      </c>
      <c r="Q56" s="2651">
        <f t="shared" si="134"/>
        <v>5.3292245059512133E-2</v>
      </c>
      <c r="R56" s="2604"/>
      <c r="S56" s="2602"/>
      <c r="T56" s="2603"/>
      <c r="U56" s="2603"/>
      <c r="V56" s="2603"/>
      <c r="X56" s="2652"/>
      <c r="Y56" s="2652"/>
      <c r="Z56" s="2652"/>
    </row>
    <row r="57" spans="1:26">
      <c r="A57" s="2594" t="s">
        <v>2583</v>
      </c>
      <c r="B57" s="2607">
        <f t="shared" si="135"/>
        <v>168.82017748715555</v>
      </c>
      <c r="C57" s="2607">
        <f t="shared" si="135"/>
        <v>148.06267029972753</v>
      </c>
      <c r="D57" s="2607">
        <f t="shared" si="114"/>
        <v>148.06267029972753</v>
      </c>
      <c r="E57" s="2607">
        <f t="shared" si="136"/>
        <v>216.46288379323747</v>
      </c>
      <c r="F57" s="2607">
        <f t="shared" si="136"/>
        <v>134.23529411764704</v>
      </c>
      <c r="G57" s="3855">
        <v>2007</v>
      </c>
      <c r="H57" s="2598">
        <v>2</v>
      </c>
      <c r="I57" s="2598">
        <v>3.67</v>
      </c>
      <c r="J57" s="2598">
        <v>2.3199999999999998</v>
      </c>
      <c r="K57" s="2598">
        <v>5.0199999999999996</v>
      </c>
      <c r="L57" s="2609">
        <v>6.71</v>
      </c>
      <c r="N57" s="2650">
        <f t="shared" si="133"/>
        <v>3.0339138143848032E-2</v>
      </c>
      <c r="O57" s="2651">
        <f t="shared" si="133"/>
        <v>2.0922341588790472E-2</v>
      </c>
      <c r="P57" s="2651">
        <f t="shared" si="134"/>
        <v>5.6164796592717003E-2</v>
      </c>
      <c r="Q57" s="2651">
        <f t="shared" si="134"/>
        <v>6.5704536723887319E-2</v>
      </c>
      <c r="R57" s="2604"/>
      <c r="S57" s="2602"/>
      <c r="T57" s="2603"/>
      <c r="U57" s="2603"/>
      <c r="V57" s="2603"/>
      <c r="X57" s="2652"/>
      <c r="Y57" s="2652"/>
      <c r="Z57" s="2652"/>
    </row>
    <row r="58" spans="1:26">
      <c r="A58" s="2594" t="s">
        <v>2584</v>
      </c>
      <c r="B58" s="2607">
        <f t="shared" si="135"/>
        <v>163.84913591779542</v>
      </c>
      <c r="C58" s="2607">
        <f t="shared" si="135"/>
        <v>145.0283378746594</v>
      </c>
      <c r="D58" s="2607">
        <f t="shared" si="114"/>
        <v>145.0283378746594</v>
      </c>
      <c r="E58" s="2607">
        <f t="shared" si="136"/>
        <v>204.95180722891567</v>
      </c>
      <c r="F58" s="2607">
        <f t="shared" si="136"/>
        <v>125.95920303605313</v>
      </c>
      <c r="G58" s="3856">
        <v>2007</v>
      </c>
      <c r="H58" s="2597">
        <v>1</v>
      </c>
      <c r="I58" s="2597">
        <v>3.58</v>
      </c>
      <c r="J58" s="2597">
        <v>3.08</v>
      </c>
      <c r="K58" s="2597">
        <v>4.34</v>
      </c>
      <c r="L58" s="2608">
        <v>3.21</v>
      </c>
      <c r="N58" s="2653">
        <f t="shared" si="133"/>
        <v>3.0497710174814063E-2</v>
      </c>
      <c r="O58" s="2654">
        <f t="shared" si="133"/>
        <v>2.8569772160704998E-2</v>
      </c>
      <c r="P58" s="2654">
        <f t="shared" si="134"/>
        <v>5.1034908866234296E-2</v>
      </c>
      <c r="Q58" s="2654">
        <f t="shared" si="134"/>
        <v>3.245248390207478E-2</v>
      </c>
      <c r="R58" s="2604"/>
      <c r="S58" s="2610">
        <f>B58/B59-1</f>
        <v>3.0497710174814063E-2</v>
      </c>
      <c r="T58" s="2611">
        <f>C58/C59-1</f>
        <v>2.8569772160704998E-2</v>
      </c>
      <c r="U58" s="2611">
        <f>E58/E59-1</f>
        <v>5.1034908866234296E-2</v>
      </c>
      <c r="V58" s="2611">
        <f>F58/F59-1</f>
        <v>3.245248390207478E-2</v>
      </c>
      <c r="X58" s="2652"/>
      <c r="Y58" s="2652"/>
      <c r="Z58" s="2652"/>
    </row>
    <row r="59" spans="1:26" ht="13.5" thickBot="1">
      <c r="A59" s="2594" t="s">
        <v>2585</v>
      </c>
      <c r="B59" s="2621">
        <v>159</v>
      </c>
      <c r="C59" s="2621">
        <v>141</v>
      </c>
      <c r="D59" s="2621">
        <f t="shared" si="114"/>
        <v>141</v>
      </c>
      <c r="E59" s="2621">
        <v>195</v>
      </c>
      <c r="F59" s="2622">
        <v>122</v>
      </c>
      <c r="G59" s="3854">
        <v>2006</v>
      </c>
      <c r="H59" s="2613">
        <v>4</v>
      </c>
      <c r="I59" s="2613">
        <v>3.79</v>
      </c>
      <c r="J59" s="2613">
        <v>2.21</v>
      </c>
      <c r="K59" s="2613">
        <v>5.65</v>
      </c>
      <c r="L59" s="2614">
        <v>5.41</v>
      </c>
      <c r="N59" s="2650">
        <f t="shared" ref="N59:O62" si="137">I59/SUM(I$59:I$62)*(B$59/B$63-1)</f>
        <v>7.245466462748526E-2</v>
      </c>
      <c r="O59" s="2651">
        <f t="shared" si="137"/>
        <v>2.3237230038062766E-2</v>
      </c>
      <c r="P59" s="2651">
        <f t="shared" ref="P59:Q62" si="138">K59/SUM(K$59:K$62)*(E$59/E$63-1)</f>
        <v>0.16146893866323722</v>
      </c>
      <c r="Q59" s="2651">
        <f t="shared" si="138"/>
        <v>5.0755230321793784E-2</v>
      </c>
      <c r="R59" s="2604"/>
      <c r="S59" s="2605"/>
      <c r="T59" s="2606"/>
      <c r="U59" s="2606"/>
      <c r="V59" s="2606"/>
      <c r="X59" s="2652"/>
      <c r="Y59" s="2652"/>
      <c r="Z59" s="2652"/>
    </row>
    <row r="60" spans="1:26">
      <c r="A60" s="2594" t="s">
        <v>2586</v>
      </c>
      <c r="B60" s="2607">
        <f t="shared" ref="B60:C62" si="139">B61+(B$59-B$63)*I60/SUM(I$59:I$62)</f>
        <v>149.00125628140702</v>
      </c>
      <c r="C60" s="2607">
        <f t="shared" si="139"/>
        <v>137.95592286501378</v>
      </c>
      <c r="D60" s="2607">
        <f t="shared" si="114"/>
        <v>137.95592286501378</v>
      </c>
      <c r="E60" s="2607">
        <f t="shared" ref="E60:F62" si="140">E61+(E$59-E$63)*K60/SUM(K$59:K$62)</f>
        <v>169.97231450719823</v>
      </c>
      <c r="F60" s="2607">
        <f t="shared" si="140"/>
        <v>116.21390374331551</v>
      </c>
      <c r="G60" s="3855">
        <v>2006</v>
      </c>
      <c r="H60" s="2618">
        <v>3</v>
      </c>
      <c r="I60" s="2618">
        <v>0.92</v>
      </c>
      <c r="J60" s="2618">
        <v>1.08</v>
      </c>
      <c r="K60" s="2618">
        <v>0.73</v>
      </c>
      <c r="L60" s="2619">
        <v>1.08</v>
      </c>
      <c r="N60" s="2650">
        <f t="shared" si="137"/>
        <v>1.7587939698492462E-2</v>
      </c>
      <c r="O60" s="2651">
        <f t="shared" si="137"/>
        <v>1.1355750425840628E-2</v>
      </c>
      <c r="P60" s="2651">
        <f t="shared" si="138"/>
        <v>2.0862358446754544E-2</v>
      </c>
      <c r="Q60" s="2651">
        <f t="shared" si="138"/>
        <v>1.0132282578103011E-2</v>
      </c>
      <c r="R60" s="2604"/>
      <c r="S60" s="2602"/>
      <c r="T60" s="2603"/>
      <c r="U60" s="2603"/>
      <c r="V60" s="2603"/>
      <c r="X60" s="2652"/>
      <c r="Y60" s="2652"/>
      <c r="Z60" s="2652"/>
    </row>
    <row r="61" spans="1:26">
      <c r="A61" s="2594" t="s">
        <v>2587</v>
      </c>
      <c r="B61" s="2607">
        <f t="shared" si="139"/>
        <v>146.57412060301507</v>
      </c>
      <c r="C61" s="2607">
        <f t="shared" si="139"/>
        <v>136.46831955922866</v>
      </c>
      <c r="D61" s="2607">
        <f t="shared" si="114"/>
        <v>136.46831955922866</v>
      </c>
      <c r="E61" s="2607">
        <f t="shared" si="140"/>
        <v>166.73864894795128</v>
      </c>
      <c r="F61" s="2607">
        <f t="shared" si="140"/>
        <v>115.05882352941177</v>
      </c>
      <c r="G61" s="3855">
        <v>2006</v>
      </c>
      <c r="H61" s="2598">
        <v>2</v>
      </c>
      <c r="I61" s="2598">
        <v>0.96</v>
      </c>
      <c r="J61" s="2598">
        <v>0.25</v>
      </c>
      <c r="K61" s="2598">
        <v>1.9</v>
      </c>
      <c r="L61" s="2609">
        <v>0.95</v>
      </c>
      <c r="N61" s="2650">
        <f t="shared" si="137"/>
        <v>1.8352632728861701E-2</v>
      </c>
      <c r="O61" s="2651">
        <f t="shared" si="137"/>
        <v>2.6286459319075526E-3</v>
      </c>
      <c r="P61" s="2651">
        <f t="shared" si="138"/>
        <v>5.4299289107991269E-2</v>
      </c>
      <c r="Q61" s="2651">
        <f t="shared" si="138"/>
        <v>8.9126559714794995E-3</v>
      </c>
      <c r="R61" s="2604"/>
      <c r="S61" s="2602"/>
      <c r="T61" s="2603"/>
      <c r="U61" s="2603"/>
      <c r="V61" s="2603"/>
      <c r="X61" s="2652"/>
      <c r="Y61" s="2652"/>
      <c r="Z61" s="2652"/>
    </row>
    <row r="62" spans="1:26">
      <c r="A62" s="2594" t="s">
        <v>2588</v>
      </c>
      <c r="B62" s="2607">
        <f t="shared" si="139"/>
        <v>144.04145728643215</v>
      </c>
      <c r="C62" s="2607">
        <f t="shared" si="139"/>
        <v>136.12396694214877</v>
      </c>
      <c r="D62" s="2607">
        <f t="shared" si="114"/>
        <v>136.12396694214877</v>
      </c>
      <c r="E62" s="2607">
        <f t="shared" si="140"/>
        <v>158.32225913621264</v>
      </c>
      <c r="F62" s="2607">
        <f t="shared" si="140"/>
        <v>114.04278074866311</v>
      </c>
      <c r="G62" s="3856">
        <v>2006</v>
      </c>
      <c r="H62" s="2597">
        <v>1</v>
      </c>
      <c r="I62" s="2597">
        <v>2.29</v>
      </c>
      <c r="J62" s="2597">
        <v>3.72</v>
      </c>
      <c r="K62" s="2597">
        <v>0.75</v>
      </c>
      <c r="L62" s="2608">
        <v>0.04</v>
      </c>
      <c r="N62" s="2653">
        <f t="shared" si="137"/>
        <v>4.3778675988638847E-2</v>
      </c>
      <c r="O62" s="2654">
        <f t="shared" si="137"/>
        <v>3.9114251466784385E-2</v>
      </c>
      <c r="P62" s="2654">
        <f t="shared" si="138"/>
        <v>2.1433929911049188E-2</v>
      </c>
      <c r="Q62" s="2654">
        <f t="shared" si="138"/>
        <v>3.7526972511492629E-4</v>
      </c>
      <c r="R62" s="2604"/>
      <c r="S62" s="2610">
        <f>B62/B63-1</f>
        <v>4.3778675988638716E-2</v>
      </c>
      <c r="T62" s="2611">
        <f>C62/C63-1</f>
        <v>3.91142514667846E-2</v>
      </c>
      <c r="U62" s="2611">
        <f>E62/E63-1</f>
        <v>2.143392991104931E-2</v>
      </c>
      <c r="V62" s="2611">
        <f>F62/F63-1</f>
        <v>3.7526972511492396E-4</v>
      </c>
      <c r="X62" s="2652"/>
      <c r="Y62" s="2652"/>
      <c r="Z62" s="2652"/>
    </row>
    <row r="63" spans="1:26" ht="13.5" thickBot="1">
      <c r="A63" s="2594" t="s">
        <v>2589</v>
      </c>
      <c r="B63" s="2621">
        <v>138</v>
      </c>
      <c r="C63" s="2621">
        <v>131</v>
      </c>
      <c r="D63" s="2621">
        <f t="shared" si="114"/>
        <v>131</v>
      </c>
      <c r="E63" s="2621">
        <v>155</v>
      </c>
      <c r="F63" s="2622">
        <v>114</v>
      </c>
      <c r="G63" s="3854">
        <v>2005</v>
      </c>
      <c r="H63" s="2613">
        <v>4</v>
      </c>
      <c r="I63" s="2613">
        <v>3.29</v>
      </c>
      <c r="J63" s="2613">
        <v>1.44</v>
      </c>
      <c r="K63" s="2613">
        <v>0.66</v>
      </c>
      <c r="L63" s="2614">
        <v>7.78</v>
      </c>
      <c r="N63" s="2650">
        <f t="shared" ref="N63:O66" si="141">I63/SUM(I$63:I$66)*(B$63/B$67-1)</f>
        <v>9.9404603216919935E-2</v>
      </c>
      <c r="O63" s="2651">
        <f t="shared" si="141"/>
        <v>4.7636550760861554E-2</v>
      </c>
      <c r="P63" s="2651">
        <f t="shared" ref="P63:Q66" si="142">K63/SUM(K$63:K$66)*(E$63/E$67-1)</f>
        <v>8.3756345177664976E-2</v>
      </c>
      <c r="Q63" s="2651">
        <f t="shared" si="142"/>
        <v>5.2148766661559584E-2</v>
      </c>
      <c r="R63" s="2604"/>
      <c r="S63" s="2605"/>
      <c r="T63" s="2606"/>
      <c r="U63" s="2606"/>
      <c r="V63" s="2606"/>
      <c r="X63" s="2652"/>
      <c r="Y63" s="2652"/>
      <c r="Z63" s="2652"/>
    </row>
    <row r="64" spans="1:26">
      <c r="A64" s="2594" t="s">
        <v>2590</v>
      </c>
      <c r="B64" s="2607">
        <f t="shared" ref="B64:C66" si="143">B65+(B$63-B$67)*I64/SUM(I$63:I$66)</f>
        <v>125.9720430107527</v>
      </c>
      <c r="C64" s="2607">
        <f t="shared" si="143"/>
        <v>125.1883408071749</v>
      </c>
      <c r="D64" s="2607">
        <f t="shared" si="114"/>
        <v>125.1883408071749</v>
      </c>
      <c r="E64" s="2607">
        <f t="shared" ref="E64:F66" si="144">E65+(E$63-E$67)*K64/SUM(K$63:K$66)</f>
        <v>144.61421319796952</v>
      </c>
      <c r="F64" s="2607">
        <f t="shared" si="144"/>
        <v>108.42008196721311</v>
      </c>
      <c r="G64" s="3855">
        <v>2005</v>
      </c>
      <c r="H64" s="2618">
        <v>3</v>
      </c>
      <c r="I64" s="2618">
        <v>0.46</v>
      </c>
      <c r="J64" s="2618">
        <v>0.32</v>
      </c>
      <c r="K64" s="2618">
        <v>0.42</v>
      </c>
      <c r="L64" s="2619">
        <v>0.64</v>
      </c>
      <c r="N64" s="2650">
        <f t="shared" si="141"/>
        <v>1.3898515951301874E-2</v>
      </c>
      <c r="O64" s="2651">
        <f t="shared" si="141"/>
        <v>1.0585900169080346E-2</v>
      </c>
      <c r="P64" s="2651">
        <f t="shared" si="142"/>
        <v>5.3299492385786795E-2</v>
      </c>
      <c r="Q64" s="2651">
        <f t="shared" si="142"/>
        <v>4.2898728359123568E-3</v>
      </c>
      <c r="R64" s="2604"/>
      <c r="S64" s="2602"/>
      <c r="T64" s="2603"/>
      <c r="U64" s="2603"/>
      <c r="V64" s="2603"/>
      <c r="X64" s="2652"/>
      <c r="Y64" s="2652"/>
      <c r="Z64" s="2652"/>
    </row>
    <row r="65" spans="1:26">
      <c r="A65" s="2594" t="s">
        <v>2591</v>
      </c>
      <c r="B65" s="2607">
        <f t="shared" si="143"/>
        <v>124.29032258064517</v>
      </c>
      <c r="C65" s="2607">
        <f t="shared" si="143"/>
        <v>123.8968609865471</v>
      </c>
      <c r="D65" s="2607">
        <f t="shared" si="114"/>
        <v>123.8968609865471</v>
      </c>
      <c r="E65" s="2607">
        <f t="shared" si="144"/>
        <v>138.00507614213197</v>
      </c>
      <c r="F65" s="2607">
        <f t="shared" si="144"/>
        <v>107.96106557377048</v>
      </c>
      <c r="G65" s="3855">
        <v>2005</v>
      </c>
      <c r="H65" s="2598">
        <v>2</v>
      </c>
      <c r="I65" s="2598">
        <v>0.47</v>
      </c>
      <c r="J65" s="2598">
        <v>0.1</v>
      </c>
      <c r="K65" s="2598">
        <v>0.52</v>
      </c>
      <c r="L65" s="2609">
        <v>0.79</v>
      </c>
      <c r="N65" s="2650">
        <f t="shared" si="141"/>
        <v>1.420065760241713E-2</v>
      </c>
      <c r="O65" s="2651">
        <f t="shared" si="141"/>
        <v>3.3080938028376083E-3</v>
      </c>
      <c r="P65" s="2651">
        <f t="shared" si="142"/>
        <v>6.598984771573603E-2</v>
      </c>
      <c r="Q65" s="2651">
        <f t="shared" si="142"/>
        <v>5.2953117818293153E-3</v>
      </c>
      <c r="R65" s="2604"/>
      <c r="S65" s="2602"/>
      <c r="T65" s="2603"/>
      <c r="U65" s="2603"/>
      <c r="V65" s="2603"/>
      <c r="X65" s="2652"/>
      <c r="Y65" s="2652"/>
      <c r="Z65" s="2652"/>
    </row>
    <row r="66" spans="1:26">
      <c r="A66" s="2594" t="s">
        <v>2592</v>
      </c>
      <c r="B66" s="2607">
        <f t="shared" si="143"/>
        <v>122.57204301075269</v>
      </c>
      <c r="C66" s="2607">
        <f t="shared" si="143"/>
        <v>123.4932735426009</v>
      </c>
      <c r="D66" s="2607">
        <f t="shared" si="114"/>
        <v>123.4932735426009</v>
      </c>
      <c r="E66" s="2607">
        <f t="shared" si="144"/>
        <v>129.82233502538071</v>
      </c>
      <c r="F66" s="2607">
        <f t="shared" si="144"/>
        <v>107.39446721311475</v>
      </c>
      <c r="G66" s="3856">
        <v>2005</v>
      </c>
      <c r="H66" s="2597">
        <v>1</v>
      </c>
      <c r="I66" s="2597">
        <v>0.43</v>
      </c>
      <c r="J66" s="2597">
        <v>0.37</v>
      </c>
      <c r="K66" s="2597">
        <v>0.37</v>
      </c>
      <c r="L66" s="2608">
        <v>0.55000000000000004</v>
      </c>
      <c r="N66" s="2653">
        <f t="shared" si="141"/>
        <v>1.2992090997956099E-2</v>
      </c>
      <c r="O66" s="2654">
        <f t="shared" si="141"/>
        <v>1.2239947070499151E-2</v>
      </c>
      <c r="P66" s="2654">
        <f t="shared" si="142"/>
        <v>4.6954314720812178E-2</v>
      </c>
      <c r="Q66" s="2654">
        <f t="shared" si="142"/>
        <v>3.6866094683621815E-3</v>
      </c>
      <c r="R66" s="2604"/>
      <c r="S66" s="2610">
        <f>B66/B67-1</f>
        <v>1.2992090997956174E-2</v>
      </c>
      <c r="T66" s="2611">
        <f>C66/C67-1</f>
        <v>1.2239947070499246E-2</v>
      </c>
      <c r="U66" s="2611">
        <f>E66/E67-1</f>
        <v>4.695431472081224E-2</v>
      </c>
      <c r="V66" s="2611">
        <f>F66/F67-1</f>
        <v>3.6866094683620787E-3</v>
      </c>
      <c r="X66" s="2652"/>
      <c r="Y66" s="2652"/>
      <c r="Z66" s="2652"/>
    </row>
    <row r="67" spans="1:26" ht="13.5" thickBot="1">
      <c r="A67" s="2594" t="s">
        <v>2593</v>
      </c>
      <c r="B67" s="2637">
        <v>121</v>
      </c>
      <c r="C67" s="2637">
        <v>122</v>
      </c>
      <c r="D67" s="2637">
        <f t="shared" si="114"/>
        <v>122</v>
      </c>
      <c r="E67" s="2637">
        <v>124</v>
      </c>
      <c r="F67" s="2638">
        <v>107</v>
      </c>
      <c r="G67" s="3854">
        <v>2004</v>
      </c>
      <c r="H67" s="2613">
        <v>4</v>
      </c>
      <c r="I67" s="2613">
        <v>0.33</v>
      </c>
      <c r="J67" s="2613">
        <v>0.5</v>
      </c>
      <c r="K67" s="2613">
        <v>0.5</v>
      </c>
      <c r="L67" s="2614">
        <v>0</v>
      </c>
      <c r="N67" s="2650">
        <f t="shared" ref="N67:O70" si="145">I67/SUM(I$67:I$70)*(B$67/B$71-1)</f>
        <v>1.3391770148526898E-2</v>
      </c>
      <c r="O67" s="2651">
        <f t="shared" si="145"/>
        <v>1.063264221158958E-2</v>
      </c>
      <c r="P67" s="2651">
        <f t="shared" ref="P67:Q70" si="146">K67/SUM(K$67:K$70)*(E$67/E$71-1)</f>
        <v>2.2244466688911134E-2</v>
      </c>
      <c r="Q67" s="2651">
        <f t="shared" si="146"/>
        <v>0</v>
      </c>
      <c r="R67" s="2604"/>
      <c r="S67" s="2605"/>
      <c r="T67" s="2606"/>
      <c r="U67" s="2606"/>
      <c r="V67" s="2606"/>
      <c r="X67" s="2652"/>
      <c r="Y67" s="2652"/>
      <c r="Z67" s="2652"/>
    </row>
    <row r="68" spans="1:26">
      <c r="A68" s="2594" t="s">
        <v>2594</v>
      </c>
      <c r="B68" s="2607">
        <f t="shared" ref="B68:C70" si="147">B69+(B$67-B$71)*I68/SUM(I$67:I$70)</f>
        <v>119.51351351351352</v>
      </c>
      <c r="C68" s="2607">
        <f t="shared" si="147"/>
        <v>120.7878787878788</v>
      </c>
      <c r="D68" s="2607">
        <f t="shared" si="114"/>
        <v>120.7878787878788</v>
      </c>
      <c r="E68" s="2607">
        <f t="shared" ref="E68:F70" si="148">E69+(E$67-E$71)*K68/SUM(K$67:K$70)</f>
        <v>121.5975975975976</v>
      </c>
      <c r="F68" s="2607">
        <f t="shared" si="148"/>
        <v>107</v>
      </c>
      <c r="G68" s="3855">
        <v>2004</v>
      </c>
      <c r="H68" s="2618">
        <v>3</v>
      </c>
      <c r="I68" s="2618">
        <v>0.56000000000000005</v>
      </c>
      <c r="J68" s="2618">
        <v>0.8</v>
      </c>
      <c r="K68" s="2618">
        <v>0.83</v>
      </c>
      <c r="L68" s="2619">
        <v>0.06</v>
      </c>
      <c r="N68" s="2650">
        <f t="shared" si="145"/>
        <v>2.2725428130833527E-2</v>
      </c>
      <c r="O68" s="2651">
        <f t="shared" si="145"/>
        <v>1.7012227538543329E-2</v>
      </c>
      <c r="P68" s="2651">
        <f t="shared" si="146"/>
        <v>3.6925814703592477E-2</v>
      </c>
      <c r="Q68" s="2651">
        <f t="shared" si="146"/>
        <v>2.8846153846153744E-2</v>
      </c>
      <c r="R68" s="2604"/>
      <c r="S68" s="2602"/>
      <c r="T68" s="2603"/>
      <c r="U68" s="2603"/>
      <c r="V68" s="2603"/>
      <c r="X68" s="2652"/>
      <c r="Y68" s="2652"/>
      <c r="Z68" s="2652"/>
    </row>
    <row r="69" spans="1:26">
      <c r="A69" s="2594" t="s">
        <v>2595</v>
      </c>
      <c r="B69" s="2607">
        <f t="shared" si="147"/>
        <v>116.99099099099099</v>
      </c>
      <c r="C69" s="2607">
        <f t="shared" si="147"/>
        <v>118.84848484848486</v>
      </c>
      <c r="D69" s="2607">
        <f t="shared" si="114"/>
        <v>118.84848484848486</v>
      </c>
      <c r="E69" s="2607">
        <f t="shared" si="148"/>
        <v>117.60960960960961</v>
      </c>
      <c r="F69" s="2607">
        <f t="shared" si="148"/>
        <v>104</v>
      </c>
      <c r="G69" s="3855">
        <v>2004</v>
      </c>
      <c r="H69" s="2598">
        <v>2</v>
      </c>
      <c r="I69" s="2598">
        <v>1</v>
      </c>
      <c r="J69" s="2598">
        <v>1.5</v>
      </c>
      <c r="K69" s="2598">
        <v>1.5</v>
      </c>
      <c r="L69" s="2609">
        <v>0</v>
      </c>
      <c r="N69" s="2650">
        <f t="shared" si="145"/>
        <v>4.0581121662202721E-2</v>
      </c>
      <c r="O69" s="2651">
        <f t="shared" si="145"/>
        <v>3.1897926634768738E-2</v>
      </c>
      <c r="P69" s="2651">
        <f t="shared" si="146"/>
        <v>6.6733400066733395E-2</v>
      </c>
      <c r="Q69" s="2651">
        <f t="shared" si="146"/>
        <v>0</v>
      </c>
      <c r="R69" s="2604"/>
      <c r="S69" s="2602"/>
      <c r="T69" s="2603"/>
      <c r="U69" s="2603"/>
      <c r="V69" s="2603"/>
      <c r="X69" s="2652"/>
      <c r="Y69" s="2652"/>
      <c r="Z69" s="2652"/>
    </row>
    <row r="70" spans="1:26" s="2643" customFormat="1" ht="13.5" thickBot="1">
      <c r="A70" s="2594" t="s">
        <v>2596</v>
      </c>
      <c r="B70" s="2640">
        <f t="shared" si="147"/>
        <v>112.48648648648648</v>
      </c>
      <c r="C70" s="2640">
        <f t="shared" si="147"/>
        <v>115.21212121212122</v>
      </c>
      <c r="D70" s="2640">
        <f t="shared" si="114"/>
        <v>115.21212121212122</v>
      </c>
      <c r="E70" s="2640">
        <f t="shared" si="148"/>
        <v>110.4024024024024</v>
      </c>
      <c r="F70" s="2640">
        <f t="shared" si="148"/>
        <v>104</v>
      </c>
      <c r="G70" s="3856">
        <v>2004</v>
      </c>
      <c r="H70" s="2641">
        <v>1</v>
      </c>
      <c r="I70" s="2641">
        <v>0.33</v>
      </c>
      <c r="J70" s="2641">
        <v>0.5</v>
      </c>
      <c r="K70" s="2641">
        <v>0.5</v>
      </c>
      <c r="L70" s="2642">
        <v>0</v>
      </c>
      <c r="N70" s="2655">
        <f t="shared" si="145"/>
        <v>1.3391770148526898E-2</v>
      </c>
      <c r="O70" s="2656">
        <f t="shared" si="145"/>
        <v>1.063264221158958E-2</v>
      </c>
      <c r="P70" s="2656">
        <f t="shared" si="146"/>
        <v>2.2244466688911134E-2</v>
      </c>
      <c r="Q70" s="2656">
        <f t="shared" si="146"/>
        <v>0</v>
      </c>
      <c r="R70" s="2646"/>
      <c r="S70" s="2644">
        <f>B70/B71-1</f>
        <v>1.3391770148526883E-2</v>
      </c>
      <c r="T70" s="2645">
        <f>C70/C71-1</f>
        <v>1.063264221158966E-2</v>
      </c>
      <c r="U70" s="2645">
        <f>E70/E71-1</f>
        <v>2.2244466688911224E-2</v>
      </c>
      <c r="V70" s="2645">
        <f>F70/F71-1</f>
        <v>0</v>
      </c>
      <c r="X70" s="2657"/>
      <c r="Y70" s="2657"/>
      <c r="Z70" s="2657"/>
    </row>
    <row r="71" spans="1:26" ht="13.5" thickBot="1">
      <c r="A71" s="2594" t="s">
        <v>2597</v>
      </c>
      <c r="B71" s="2658">
        <v>111</v>
      </c>
      <c r="C71" s="2658">
        <v>114</v>
      </c>
      <c r="D71" s="2658">
        <f t="shared" si="114"/>
        <v>114</v>
      </c>
      <c r="E71" s="2658">
        <v>108</v>
      </c>
      <c r="F71" s="2659">
        <v>104</v>
      </c>
      <c r="G71" s="3854">
        <v>2003</v>
      </c>
      <c r="H71" s="2648">
        <v>4</v>
      </c>
      <c r="I71" s="2660"/>
      <c r="J71" s="2660"/>
      <c r="K71" s="2660"/>
      <c r="L71" s="2660"/>
      <c r="N71" s="2661"/>
      <c r="O71" s="2660"/>
      <c r="P71" s="2660"/>
      <c r="Q71" s="2660"/>
      <c r="S71" s="2661"/>
      <c r="T71" s="2660"/>
      <c r="U71" s="2660"/>
      <c r="V71" s="2660"/>
      <c r="X71" s="2652"/>
      <c r="Y71" s="2652"/>
      <c r="Z71" s="2652"/>
    </row>
    <row r="72" spans="1:26">
      <c r="A72" s="2594" t="s">
        <v>2598</v>
      </c>
      <c r="B72" s="2662">
        <f t="shared" ref="B72:C74" si="149">B73+(B$71-B$75)/4</f>
        <v>109.75</v>
      </c>
      <c r="C72" s="2662">
        <f t="shared" si="149"/>
        <v>112.25</v>
      </c>
      <c r="D72" s="2662">
        <f t="shared" si="114"/>
        <v>112.25</v>
      </c>
      <c r="E72" s="2662">
        <f t="shared" ref="E72:F74" si="150">E73+(E$71-E$75)/4</f>
        <v>107.25</v>
      </c>
      <c r="F72" s="2662">
        <f t="shared" si="150"/>
        <v>103.5</v>
      </c>
      <c r="G72" s="3855">
        <v>2003</v>
      </c>
      <c r="H72" s="2618">
        <v>3</v>
      </c>
      <c r="I72" s="2660"/>
      <c r="J72" s="2660"/>
      <c r="K72" s="2660"/>
      <c r="L72" s="2660"/>
      <c r="X72" s="2652"/>
      <c r="Y72" s="2652"/>
      <c r="Z72" s="2652"/>
    </row>
    <row r="73" spans="1:26">
      <c r="A73" s="2594" t="s">
        <v>2599</v>
      </c>
      <c r="B73" s="2662">
        <f t="shared" si="149"/>
        <v>108.5</v>
      </c>
      <c r="C73" s="2662">
        <f t="shared" si="149"/>
        <v>110.5</v>
      </c>
      <c r="D73" s="2662">
        <f t="shared" si="114"/>
        <v>110.5</v>
      </c>
      <c r="E73" s="2662">
        <f t="shared" si="150"/>
        <v>106.5</v>
      </c>
      <c r="F73" s="2662">
        <f t="shared" si="150"/>
        <v>103</v>
      </c>
      <c r="G73" s="3855">
        <v>2003</v>
      </c>
      <c r="H73" s="2598">
        <v>2</v>
      </c>
      <c r="I73" s="2660"/>
      <c r="J73" s="2660"/>
      <c r="K73" s="2660"/>
      <c r="L73" s="2660"/>
      <c r="X73" s="2652"/>
      <c r="Y73" s="2652"/>
      <c r="Z73" s="2652"/>
    </row>
    <row r="74" spans="1:26" ht="13.5" thickBot="1">
      <c r="A74" s="2594" t="s">
        <v>2600</v>
      </c>
      <c r="B74" s="2662">
        <f t="shared" si="149"/>
        <v>107.25</v>
      </c>
      <c r="C74" s="2662">
        <f t="shared" si="149"/>
        <v>108.75</v>
      </c>
      <c r="D74" s="2662">
        <f t="shared" si="114"/>
        <v>108.75</v>
      </c>
      <c r="E74" s="2662">
        <f t="shared" si="150"/>
        <v>105.75</v>
      </c>
      <c r="F74" s="2662">
        <f t="shared" si="150"/>
        <v>102.5</v>
      </c>
      <c r="G74" s="3856">
        <v>2003</v>
      </c>
      <c r="H74" s="2663">
        <v>1</v>
      </c>
      <c r="I74" s="2660"/>
      <c r="J74" s="2660"/>
      <c r="K74" s="2660"/>
      <c r="L74" s="2660"/>
      <c r="S74" s="2602"/>
      <c r="T74" s="2603"/>
      <c r="U74" s="2603"/>
      <c r="X74" s="2652"/>
      <c r="Y74" s="2652"/>
      <c r="Z74" s="2652"/>
    </row>
    <row r="75" spans="1:26" ht="13.5" thickBot="1">
      <c r="A75" s="2594" t="s">
        <v>2601</v>
      </c>
      <c r="B75" s="2664">
        <v>106</v>
      </c>
      <c r="C75" s="2664">
        <v>107</v>
      </c>
      <c r="D75" s="2664">
        <f t="shared" si="114"/>
        <v>107</v>
      </c>
      <c r="E75" s="2664">
        <v>105</v>
      </c>
      <c r="F75" s="2665">
        <v>102</v>
      </c>
      <c r="G75" s="3854">
        <v>2002</v>
      </c>
      <c r="H75" s="2613">
        <v>4</v>
      </c>
      <c r="I75" s="2660"/>
      <c r="J75" s="2660"/>
      <c r="K75" s="2660"/>
      <c r="L75" s="2660"/>
      <c r="N75" s="2661"/>
      <c r="O75" s="2660"/>
      <c r="P75" s="2660"/>
      <c r="Q75" s="2660"/>
      <c r="S75" s="2661"/>
      <c r="T75" s="2660"/>
      <c r="U75" s="2660"/>
      <c r="V75" s="2660"/>
      <c r="X75" s="2652"/>
      <c r="Y75" s="2652"/>
      <c r="Z75" s="2652"/>
    </row>
    <row r="76" spans="1:26">
      <c r="A76" s="2594" t="s">
        <v>2602</v>
      </c>
      <c r="B76" s="2662">
        <f t="shared" ref="B76:C78" si="151">B77+(B$75-B$79)/4</f>
        <v>105</v>
      </c>
      <c r="C76" s="2662">
        <f t="shared" si="151"/>
        <v>106</v>
      </c>
      <c r="D76" s="2662">
        <f t="shared" si="114"/>
        <v>106</v>
      </c>
      <c r="E76" s="2662">
        <f t="shared" ref="E76:F78" si="152">E77+(E$75-E$79)/4</f>
        <v>104.5</v>
      </c>
      <c r="F76" s="2662">
        <f t="shared" si="152"/>
        <v>101.5</v>
      </c>
      <c r="G76" s="3855">
        <v>2002</v>
      </c>
      <c r="H76" s="2618">
        <v>3</v>
      </c>
      <c r="I76" s="2660"/>
      <c r="J76" s="2660"/>
      <c r="K76" s="2660"/>
      <c r="L76" s="2660"/>
      <c r="X76" s="2652"/>
      <c r="Y76" s="2652"/>
      <c r="Z76" s="2652"/>
    </row>
    <row r="77" spans="1:26">
      <c r="A77" s="2594" t="s">
        <v>2603</v>
      </c>
      <c r="B77" s="2662">
        <f t="shared" si="151"/>
        <v>104</v>
      </c>
      <c r="C77" s="2662">
        <f t="shared" si="151"/>
        <v>105</v>
      </c>
      <c r="D77" s="2662">
        <f t="shared" si="114"/>
        <v>105</v>
      </c>
      <c r="E77" s="2662">
        <f t="shared" si="152"/>
        <v>104</v>
      </c>
      <c r="F77" s="2662">
        <f t="shared" si="152"/>
        <v>101</v>
      </c>
      <c r="G77" s="3855">
        <v>2002</v>
      </c>
      <c r="H77" s="2598">
        <v>2</v>
      </c>
      <c r="I77" s="2660"/>
      <c r="J77" s="2660"/>
      <c r="K77" s="2660"/>
      <c r="L77" s="2660"/>
      <c r="X77" s="2652"/>
      <c r="Y77" s="2652"/>
      <c r="Z77" s="2652"/>
    </row>
    <row r="78" spans="1:26" s="2629" customFormat="1" ht="13.5" thickBot="1">
      <c r="A78" s="2625" t="s">
        <v>2604</v>
      </c>
      <c r="B78" s="2666">
        <f t="shared" si="151"/>
        <v>103</v>
      </c>
      <c r="C78" s="2666">
        <f t="shared" si="151"/>
        <v>104</v>
      </c>
      <c r="D78" s="2666">
        <f t="shared" si="114"/>
        <v>104</v>
      </c>
      <c r="E78" s="2666">
        <f t="shared" si="152"/>
        <v>103.5</v>
      </c>
      <c r="F78" s="2666">
        <f t="shared" si="152"/>
        <v>100.5</v>
      </c>
      <c r="G78" s="3856">
        <v>2002</v>
      </c>
      <c r="H78" s="2667">
        <v>1</v>
      </c>
      <c r="I78" s="2668"/>
      <c r="J78" s="2668"/>
      <c r="K78" s="2668"/>
      <c r="L78" s="2668"/>
      <c r="N78" s="2669"/>
      <c r="S78" s="2669"/>
      <c r="X78" s="2670"/>
      <c r="Y78" s="2670"/>
      <c r="Z78" s="2670"/>
    </row>
    <row r="79" spans="1:26" ht="13.5" thickBot="1">
      <c r="B79" s="2671">
        <v>102</v>
      </c>
      <c r="C79" s="2672">
        <v>103</v>
      </c>
      <c r="D79" s="2672">
        <f t="shared" si="114"/>
        <v>103</v>
      </c>
      <c r="E79" s="2672">
        <v>103</v>
      </c>
      <c r="F79" s="2673">
        <v>100</v>
      </c>
      <c r="I79" s="2660"/>
      <c r="J79" s="2660"/>
      <c r="K79" s="2660"/>
      <c r="L79" s="2660"/>
      <c r="N79" s="2661"/>
      <c r="O79" s="2660"/>
      <c r="P79" s="2660"/>
      <c r="Q79" s="2660"/>
      <c r="S79" s="2661"/>
      <c r="T79" s="2660"/>
      <c r="U79" s="2660"/>
      <c r="V79" s="2660"/>
      <c r="X79" s="2606"/>
      <c r="Y79" s="2606"/>
      <c r="Z79" s="2606"/>
    </row>
    <row r="81" spans="1:22" s="2675" customFormat="1">
      <c r="A81" s="2674" t="s">
        <v>2605</v>
      </c>
      <c r="G81" s="2676"/>
      <c r="N81" s="2676"/>
      <c r="S81" s="2676"/>
    </row>
    <row r="82" spans="1:22" s="2675" customFormat="1">
      <c r="A82" s="2675" t="s">
        <v>2606</v>
      </c>
      <c r="G82" s="2676"/>
      <c r="N82" s="2676"/>
      <c r="S82" s="2676"/>
    </row>
    <row r="83" spans="1:22" s="2675" customFormat="1">
      <c r="A83" s="2675" t="s">
        <v>2607</v>
      </c>
      <c r="G83" s="2676"/>
      <c r="I83" s="2677"/>
      <c r="J83" s="2677"/>
      <c r="K83" s="2677"/>
      <c r="L83" s="2677"/>
      <c r="N83" s="2678"/>
      <c r="O83" s="2677"/>
      <c r="P83" s="2677"/>
      <c r="Q83" s="2677"/>
      <c r="S83" s="2678"/>
      <c r="T83" s="2677"/>
      <c r="U83" s="2677"/>
      <c r="V83" s="2677"/>
    </row>
    <row r="84" spans="1:22" s="2675" customFormat="1">
      <c r="A84" s="2675" t="s">
        <v>2608</v>
      </c>
      <c r="G84" s="2676"/>
      <c r="N84" s="2676"/>
      <c r="S84" s="2676"/>
    </row>
    <row r="91" spans="1:22" ht="13.5" thickBot="1"/>
    <row r="92" spans="1:22">
      <c r="G92" s="2601"/>
      <c r="S92" s="2679" t="s">
        <v>2609</v>
      </c>
      <c r="T92" s="2680" t="s">
        <v>2610</v>
      </c>
      <c r="U92" s="2680" t="s">
        <v>2611</v>
      </c>
      <c r="V92" s="2680" t="s">
        <v>2612</v>
      </c>
    </row>
    <row r="93" spans="1:22">
      <c r="G93" s="2601"/>
      <c r="N93" s="2605"/>
      <c r="O93" s="2606"/>
      <c r="P93" s="2606"/>
      <c r="Q93" s="2606"/>
      <c r="S93" s="2681">
        <v>2006</v>
      </c>
      <c r="T93" s="2682">
        <v>15.1</v>
      </c>
      <c r="U93" s="2682">
        <v>7.43</v>
      </c>
      <c r="V93" s="2682">
        <v>26.26</v>
      </c>
    </row>
    <row r="94" spans="1:22">
      <c r="G94" s="2601"/>
      <c r="N94" s="2605"/>
      <c r="O94" s="2606"/>
      <c r="P94" s="2606"/>
      <c r="Q94" s="2606"/>
      <c r="S94" s="2684">
        <v>2005</v>
      </c>
      <c r="T94" s="2683">
        <v>13.9</v>
      </c>
      <c r="U94" s="2683">
        <v>7.49</v>
      </c>
      <c r="V94" s="2683">
        <v>24.92</v>
      </c>
    </row>
    <row r="95" spans="1:22">
      <c r="G95" s="2601"/>
      <c r="N95" s="2605"/>
      <c r="O95" s="2606"/>
      <c r="P95" s="2606"/>
      <c r="Q95" s="2606"/>
      <c r="S95" s="2681">
        <v>2004</v>
      </c>
      <c r="T95" s="2682">
        <v>9.48</v>
      </c>
      <c r="U95" s="2682">
        <v>7.2</v>
      </c>
      <c r="V95" s="2682">
        <v>14.68</v>
      </c>
    </row>
    <row r="96" spans="1:22">
      <c r="G96" s="2601"/>
      <c r="N96" s="2605"/>
      <c r="O96" s="2606"/>
      <c r="P96" s="2606"/>
      <c r="Q96" s="2606"/>
      <c r="S96" s="2684">
        <v>2003</v>
      </c>
      <c r="T96" s="2683">
        <v>4.5</v>
      </c>
      <c r="U96" s="2683">
        <v>6.12</v>
      </c>
      <c r="V96" s="2683">
        <v>2.34</v>
      </c>
    </row>
    <row r="97" spans="7:22" ht="13.5" thickBot="1">
      <c r="G97" s="2601"/>
      <c r="N97" s="2605"/>
      <c r="O97" s="2606"/>
      <c r="P97" s="2606"/>
      <c r="Q97" s="2606"/>
      <c r="S97" s="2685">
        <v>2002</v>
      </c>
      <c r="T97" s="2686">
        <v>3.59</v>
      </c>
      <c r="U97" s="2686">
        <v>4.54</v>
      </c>
      <c r="V97" s="2686">
        <v>2.5499999999999998</v>
      </c>
    </row>
    <row r="98" spans="7:22">
      <c r="G98" s="2601"/>
      <c r="N98" s="2605"/>
      <c r="O98" s="2606"/>
      <c r="P98" s="2606"/>
      <c r="Q98" s="2606"/>
    </row>
    <row r="99" spans="7:22">
      <c r="G99" s="2601"/>
      <c r="N99" s="2605"/>
      <c r="O99" s="2606"/>
      <c r="P99" s="2606"/>
      <c r="Q99" s="2606"/>
    </row>
    <row r="100" spans="7:22">
      <c r="G100" s="2601"/>
      <c r="N100" s="2605"/>
      <c r="O100" s="2606"/>
      <c r="P100" s="2606"/>
      <c r="Q100" s="2606"/>
    </row>
    <row r="101" spans="7:22">
      <c r="G101" s="2601"/>
      <c r="N101" s="2605"/>
      <c r="O101" s="2606"/>
      <c r="P101" s="2606"/>
      <c r="Q101" s="2606"/>
    </row>
    <row r="102" spans="7:22">
      <c r="G102" s="2601"/>
      <c r="N102" s="2605"/>
      <c r="O102" s="2606"/>
      <c r="P102" s="2606"/>
      <c r="Q102" s="2606"/>
    </row>
    <row r="103" spans="7:22">
      <c r="G103" s="2601"/>
      <c r="N103" s="2605"/>
      <c r="O103" s="2606"/>
      <c r="P103" s="2606"/>
      <c r="Q103" s="2606"/>
    </row>
    <row r="104" spans="7:22">
      <c r="G104" s="2601"/>
      <c r="N104" s="2605"/>
      <c r="O104" s="2606"/>
      <c r="P104" s="2606"/>
      <c r="Q104" s="2606"/>
    </row>
    <row r="105" spans="7:22">
      <c r="G105" s="2601"/>
      <c r="N105" s="2605"/>
      <c r="O105" s="2606"/>
      <c r="P105" s="2606"/>
      <c r="Q105" s="2606"/>
    </row>
    <row r="106" spans="7:22">
      <c r="G106" s="2601"/>
      <c r="N106" s="2605"/>
      <c r="O106" s="2606"/>
      <c r="P106" s="2606"/>
      <c r="Q106" s="2606"/>
    </row>
    <row r="107" spans="7:22">
      <c r="G107" s="2601"/>
      <c r="N107" s="2605"/>
      <c r="O107" s="2606"/>
      <c r="P107" s="2606"/>
      <c r="Q107" s="2606"/>
    </row>
    <row r="108" spans="7:22">
      <c r="G108" s="2601"/>
      <c r="N108" s="2605"/>
      <c r="O108" s="2606"/>
      <c r="P108" s="2606"/>
      <c r="Q108" s="2606"/>
      <c r="S108" s="2601"/>
    </row>
    <row r="109" spans="7:22">
      <c r="G109" s="2601"/>
      <c r="N109" s="2605"/>
      <c r="O109" s="2606"/>
      <c r="P109" s="2606"/>
      <c r="Q109" s="2606"/>
      <c r="S109" s="2601"/>
    </row>
    <row r="110" spans="7:22">
      <c r="G110" s="2601"/>
      <c r="N110" s="2605"/>
      <c r="O110" s="2606"/>
      <c r="P110" s="2606"/>
      <c r="Q110" s="2606"/>
      <c r="S110" s="2601"/>
    </row>
    <row r="111" spans="7:22">
      <c r="G111" s="2601"/>
      <c r="N111" s="2605"/>
      <c r="O111" s="2606"/>
      <c r="P111" s="2606"/>
      <c r="Q111" s="2606"/>
      <c r="S111" s="2601"/>
    </row>
    <row r="112" spans="7:22">
      <c r="G112" s="2601"/>
      <c r="N112" s="2605"/>
      <c r="O112" s="2606"/>
      <c r="P112" s="2606"/>
      <c r="Q112" s="2606"/>
      <c r="S112" s="2601"/>
    </row>
    <row r="113" spans="7:19">
      <c r="G113" s="2601"/>
      <c r="N113" s="2605"/>
      <c r="O113" s="2606"/>
      <c r="P113" s="2606"/>
      <c r="Q113" s="2606"/>
      <c r="S113" s="2601"/>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31"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4" customWidth="1"/>
    <col min="2" max="2" width="9" style="1754"/>
    <col min="3" max="4" width="9.625" style="1754" customWidth="1"/>
    <col min="5" max="16384" width="9" style="1754"/>
  </cols>
  <sheetData>
    <row r="1" spans="1:4" ht="22.5">
      <c r="A1" s="1753" t="s">
        <v>1882</v>
      </c>
    </row>
    <row r="2" spans="1:4">
      <c r="A2" s="1755"/>
    </row>
    <row r="3" spans="1:4" ht="18.75">
      <c r="A3" s="1773" t="str">
        <f>项目基本情况!B5&amp;"："</f>
        <v>：</v>
      </c>
    </row>
    <row r="4" spans="1:4" ht="37.5">
      <c r="A4" s="1767" t="str">
        <f>"受贵公司委托，我公司对"&amp;项目基本情况!K2&amp;项目基本情况!B9&amp;"进行了预评估。"</f>
        <v>受贵公司委托，我公司对雄安新区出让国有建设用地使用权市场价格进行了预评估。</v>
      </c>
    </row>
    <row r="5" spans="1:4" ht="18.75">
      <c r="A5" s="1770" t="s">
        <v>1883</v>
      </c>
    </row>
    <row r="6" spans="1:4" ht="75">
      <c r="A6" s="176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雄安新区出让国有建设用地使用权。根据《国有土地使用证》[]，估价对象（分摊）出让国有建设用地使用权面积为370783.53平方米。根据《建设工程规划许可证》[]、《出让合同》[]，估价对象规划建筑面积为556650.11平方米。</v>
      </c>
    </row>
    <row r="7" spans="1:4" ht="56.25">
      <c r="A7" s="1771" t="s">
        <v>2721</v>
      </c>
    </row>
    <row r="8" spans="1:4" ht="18.75">
      <c r="A8" s="1770" t="s">
        <v>1884</v>
      </c>
    </row>
    <row r="9" spans="1:4" ht="37.5">
      <c r="A9" s="177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3" t="s">
        <v>2002</v>
      </c>
    </row>
    <row r="11" spans="1:4" ht="18.75">
      <c r="A11" s="1756" t="str">
        <f>TEXT(项目基本情况!D3,"yyyy年m月d日;;")&amp;IF(项目基本情况!B3=项目基本情况!D3,"（评估专业人员勘察现场之日）","")</f>
        <v>2020年4月12日</v>
      </c>
    </row>
    <row r="12" spans="1:4" ht="18.75">
      <c r="A12" s="1773" t="s">
        <v>2001</v>
      </c>
    </row>
    <row r="13" spans="1:4" ht="18.75">
      <c r="A13" s="1767" t="s">
        <v>2917</v>
      </c>
    </row>
    <row r="14" spans="1:4" ht="18.75">
      <c r="A14" s="1767" t="str">
        <f>"根据"&amp;项目基本情况!F12&amp;"，本次评估估价对象证载（地类）用途为"&amp;项目基本情况!B12&amp;"。"</f>
        <v>根据《国有土地使用证》[]，本次评估估价对象证载（地类）用途为。</v>
      </c>
      <c r="C14" s="1757"/>
      <c r="D14" s="1758"/>
    </row>
    <row r="15" spans="1:4" ht="18.75">
      <c r="A15" s="17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57"/>
      <c r="D15" s="1758"/>
    </row>
    <row r="16" spans="1:4" ht="18.75">
      <c r="A16" s="1767" t="s">
        <v>2048</v>
      </c>
    </row>
    <row r="17" spans="1:1" ht="56.25">
      <c r="A17" s="17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6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67" t="s">
        <v>2049</v>
      </c>
    </row>
    <row r="20" spans="1:1" ht="56.25">
      <c r="A20" s="24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根据《国有土地使用证》[]，估价对象（分摊）出让国有建设用地使用权面积为370783.53平方米。根据《建设工程规划许可证》[]、《出让合同》[]，估价对象规划建筑面积为556650.11平方米。</v>
      </c>
    </row>
    <row r="21" spans="1:1" ht="18.75">
      <c r="A21" s="1767" t="s">
        <v>2050</v>
      </c>
    </row>
    <row r="22" spans="1:1" ht="93.75">
      <c r="A22" s="176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2060年4月11日、办公2070年4月11日。截至估价期日，出让国有建设用地使用权剩余土地使用年限为。</v>
      </c>
    </row>
    <row r="23" spans="1:1" ht="18.75">
      <c r="A23" s="1767" t="str">
        <f>IF(项目基本情况!B16="出让","本次评估设定估价对象剩余土地使用年限为"&amp;项目基本情况!D20&amp;"。","")</f>
        <v>本次评估设定估价对象剩余土地使用年限为。</v>
      </c>
    </row>
    <row r="24" spans="1:1" ht="18.75">
      <c r="A24" s="1767" t="s">
        <v>2051</v>
      </c>
    </row>
    <row r="25" spans="1:1" ht="75">
      <c r="A25" s="1767" t="str">
        <f>定义!C53</f>
        <v>本次估价的“出让国有建设用地使用权价格”是指在估价对象土地所有权为国家所有，使用权性质为出让，在公开市场条件下、于估价期日2020年4月12日，在规划利用条件下、设定土地开发程度为红线外“七通”、宗地内场地，设定用途为，剩余土地使用年限为的出让国有建设用地使用权价格。</v>
      </c>
    </row>
    <row r="26" spans="1:1" ht="18.75">
      <c r="A26" s="1767" t="str">
        <f>IF(项目基本情况!B9="市场价格","——",IF(项目基本情况!E8="抵押价格",定义!C54,IF(项目基本情况!E8="已注销",定义!C55,定义!C56)))</f>
        <v>——</v>
      </c>
    </row>
    <row r="27" spans="1:1" ht="18.75">
      <c r="A27" s="176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67" t="str">
        <f>IF(项目基本情况!B9="市场价格","——",IF(项目基本情况!E9="——","",定义!C57))</f>
        <v>——</v>
      </c>
    </row>
    <row r="29" spans="1:1" ht="18.75">
      <c r="A29" s="1773" t="s">
        <v>2003</v>
      </c>
    </row>
    <row r="30" spans="1:1" ht="75">
      <c r="A30" s="17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74"/>
    </row>
    <row r="32" spans="1:1" ht="18.75">
      <c r="A32" s="1775" t="s">
        <v>2004</v>
      </c>
    </row>
  </sheetData>
  <sheetProtection sheet="1" objects="1" scenarios="1" formatCells="0" formatRows="0" insertRows="0" deleteRows="0"/>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030" t="s">
        <v>2924</v>
      </c>
      <c r="B1" s="3032"/>
      <c r="C1" s="3032"/>
      <c r="D1" s="3032"/>
      <c r="E1" s="3032"/>
      <c r="F1" s="3032"/>
    </row>
    <row r="2" spans="1:6" ht="14.25">
      <c r="A2" s="3033" t="s">
        <v>2919</v>
      </c>
      <c r="B2" s="3034" t="e">
        <f ca="1">SUMIF(B7:B14,"&lt;&gt;#ref!",B7:B14)</f>
        <v>#DIV/0!</v>
      </c>
      <c r="C2" s="3033" t="s">
        <v>2920</v>
      </c>
      <c r="D2" s="3032"/>
      <c r="E2" s="3032"/>
      <c r="F2" s="3032"/>
    </row>
    <row r="3" spans="1:6" ht="14.25">
      <c r="A3" s="3033" t="s">
        <v>2952</v>
      </c>
      <c r="B3" s="3034" t="e">
        <f ca="1">ROUND(B2*10000/E3,0)</f>
        <v>#DIV/0!</v>
      </c>
      <c r="C3" s="3033" t="s">
        <v>2054</v>
      </c>
      <c r="D3" s="3033" t="s">
        <v>2921</v>
      </c>
      <c r="E3" s="3034">
        <f ca="1">SUMIF(E7:E14,"&lt;&gt;#ref!",E7:E14)</f>
        <v>0</v>
      </c>
      <c r="F3" s="3032"/>
    </row>
    <row r="4" spans="1:6" ht="14.25">
      <c r="A4" s="3033" t="s">
        <v>2928</v>
      </c>
      <c r="B4" s="3034" t="e">
        <f ca="1">ROUND(B2*10000/E4,0)</f>
        <v>#DIV/0!</v>
      </c>
      <c r="C4" s="3033" t="s">
        <v>2054</v>
      </c>
      <c r="D4" s="3033" t="s">
        <v>2929</v>
      </c>
      <c r="E4" s="3034">
        <f ca="1">SUMIF(F7:F14,"&lt;&gt;#ref!",F7:F14)</f>
        <v>0</v>
      </c>
      <c r="F4" s="3032"/>
    </row>
    <row r="5" spans="1:6" ht="14.25">
      <c r="A5" s="3035"/>
      <c r="B5" s="1857"/>
      <c r="C5" s="1857"/>
      <c r="D5" s="1857"/>
      <c r="E5" s="1857"/>
      <c r="F5" s="3032"/>
    </row>
    <row r="6" spans="1:6" ht="28.5">
      <c r="A6" s="3036" t="s">
        <v>2925</v>
      </c>
      <c r="B6" s="3033" t="s">
        <v>2922</v>
      </c>
      <c r="C6" s="3034"/>
      <c r="D6" s="1857"/>
      <c r="E6" s="3033" t="s">
        <v>2923</v>
      </c>
      <c r="F6" s="3033" t="s">
        <v>2927</v>
      </c>
    </row>
    <row r="7" spans="1:6" ht="14.25">
      <c r="A7" s="260" t="s">
        <v>2926</v>
      </c>
      <c r="B7" s="3037" t="e">
        <f ca="1">SUMIF(INDIRECT("'"&amp;A7&amp;"'"&amp;"!A:A"),"总价",INDIRECT("'"&amp;A7&amp;"'"&amp;"!B:B"))</f>
        <v>#DIV/0!</v>
      </c>
      <c r="C7" s="3033" t="s">
        <v>2920</v>
      </c>
      <c r="D7" s="1857"/>
      <c r="E7" s="3038">
        <f ca="1">SUMIF(INDIRECT("'"&amp;A7&amp;"'"&amp;"!C:C"),"建筑面积",INDIRECT("'"&amp;A7&amp;"'"&amp;"!D:D"))</f>
        <v>0</v>
      </c>
      <c r="F7" s="3038">
        <f ca="1">SUMIF(INDIRECT("'"&amp;A7&amp;"'"&amp;"!E:E"),"土地面积",INDIRECT("'"&amp;A7&amp;"'"&amp;"!F:F"))</f>
        <v>0</v>
      </c>
    </row>
    <row r="8" spans="1:6" ht="14.25">
      <c r="A8" s="260"/>
      <c r="B8" s="3037" t="e">
        <f t="shared" ref="B8:B14" ca="1" si="0">SUMIF(INDIRECT("'"&amp;A8&amp;"'"&amp;"!A:A"),"总价",INDIRECT("'"&amp;A8&amp;"'"&amp;"!B:B"))</f>
        <v>#REF!</v>
      </c>
      <c r="C8" s="3033" t="s">
        <v>2920</v>
      </c>
      <c r="D8" s="1857"/>
      <c r="E8" s="3038" t="e">
        <f t="shared" ref="E8:E14" ca="1" si="1">SUMIF(INDIRECT("'"&amp;A8&amp;"'"&amp;"!C:C"),"建筑面积",INDIRECT("'"&amp;A8&amp;"'"&amp;"!D:D"))</f>
        <v>#REF!</v>
      </c>
      <c r="F8" s="3038" t="e">
        <f t="shared" ref="F8:F14" ca="1" si="2">SUMIF(INDIRECT("'"&amp;A8&amp;"'"&amp;"!E:E"),"土地面积",INDIRECT("'"&amp;A8&amp;"'"&amp;"!F:F"))</f>
        <v>#REF!</v>
      </c>
    </row>
    <row r="9" spans="1:6" ht="14.25">
      <c r="A9" s="260"/>
      <c r="B9" s="3037" t="e">
        <f t="shared" ca="1" si="0"/>
        <v>#REF!</v>
      </c>
      <c r="C9" s="3033" t="s">
        <v>2920</v>
      </c>
      <c r="D9" s="1857"/>
      <c r="E9" s="3038" t="e">
        <f t="shared" ca="1" si="1"/>
        <v>#REF!</v>
      </c>
      <c r="F9" s="3038" t="e">
        <f t="shared" ca="1" si="2"/>
        <v>#REF!</v>
      </c>
    </row>
    <row r="10" spans="1:6" ht="14.25">
      <c r="A10" s="260"/>
      <c r="B10" s="3037" t="e">
        <f t="shared" ca="1" si="0"/>
        <v>#REF!</v>
      </c>
      <c r="C10" s="3033" t="s">
        <v>2920</v>
      </c>
      <c r="D10" s="1857"/>
      <c r="E10" s="3038" t="e">
        <f t="shared" ca="1" si="1"/>
        <v>#REF!</v>
      </c>
      <c r="F10" s="3038" t="e">
        <f t="shared" ca="1" si="2"/>
        <v>#REF!</v>
      </c>
    </row>
    <row r="11" spans="1:6" ht="14.25">
      <c r="A11" s="260"/>
      <c r="B11" s="3037" t="e">
        <f t="shared" ca="1" si="0"/>
        <v>#REF!</v>
      </c>
      <c r="C11" s="3033" t="s">
        <v>2920</v>
      </c>
      <c r="D11" s="1857"/>
      <c r="E11" s="3038" t="e">
        <f t="shared" ca="1" si="1"/>
        <v>#REF!</v>
      </c>
      <c r="F11" s="3038" t="e">
        <f t="shared" ca="1" si="2"/>
        <v>#REF!</v>
      </c>
    </row>
    <row r="12" spans="1:6" ht="14.25">
      <c r="A12" s="260"/>
      <c r="B12" s="3037" t="e">
        <f t="shared" ca="1" si="0"/>
        <v>#REF!</v>
      </c>
      <c r="C12" s="3033" t="s">
        <v>2920</v>
      </c>
      <c r="D12" s="1857"/>
      <c r="E12" s="3038" t="e">
        <f t="shared" ca="1" si="1"/>
        <v>#REF!</v>
      </c>
      <c r="F12" s="3038" t="e">
        <f t="shared" ca="1" si="2"/>
        <v>#REF!</v>
      </c>
    </row>
    <row r="13" spans="1:6" ht="14.25">
      <c r="A13" s="260"/>
      <c r="B13" s="3037" t="e">
        <f t="shared" ca="1" si="0"/>
        <v>#REF!</v>
      </c>
      <c r="C13" s="3033" t="s">
        <v>2920</v>
      </c>
      <c r="D13" s="1857"/>
      <c r="E13" s="3038" t="e">
        <f t="shared" ca="1" si="1"/>
        <v>#REF!</v>
      </c>
      <c r="F13" s="3038" t="e">
        <f t="shared" ca="1" si="2"/>
        <v>#REF!</v>
      </c>
    </row>
    <row r="14" spans="1:6" ht="14.25">
      <c r="A14" s="3031"/>
      <c r="B14" s="3037" t="e">
        <f t="shared" ca="1" si="0"/>
        <v>#REF!</v>
      </c>
      <c r="C14" s="3033" t="s">
        <v>2920</v>
      </c>
      <c r="D14" s="1857"/>
      <c r="E14" s="3038" t="e">
        <f t="shared" ca="1" si="1"/>
        <v>#REF!</v>
      </c>
      <c r="F14" s="3038"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74" customWidth="1"/>
    <col min="2" max="2" width="20.625" style="2075" customWidth="1"/>
    <col min="3" max="3" width="11.875" style="2075" customWidth="1"/>
    <col min="4" max="4" width="40.5" style="2036" customWidth="1"/>
    <col min="5" max="5" width="15.625" style="2036" customWidth="1"/>
    <col min="6" max="6" width="10.625" style="2036" customWidth="1"/>
    <col min="7" max="7" width="4.875" style="2036" customWidth="1"/>
    <col min="8" max="8" width="8.5" style="2036" customWidth="1"/>
    <col min="9" max="9" width="21.125" style="2036" customWidth="1"/>
    <col min="10" max="10" width="12.125" style="2036" customWidth="1"/>
    <col min="11" max="11" width="40.125" style="2076" customWidth="1"/>
    <col min="12" max="12" width="18.375" style="2036" customWidth="1"/>
    <col min="13" max="13" width="13" style="2036" customWidth="1"/>
    <col min="14" max="14" width="9.5" style="2035" bestFit="1" customWidth="1"/>
    <col min="15" max="15" width="8.375" style="2035" customWidth="1"/>
    <col min="16" max="16" width="30.125" style="2035" customWidth="1"/>
    <col min="17" max="17" width="13.625" style="2035" customWidth="1"/>
    <col min="18" max="18" width="22.125" style="2035" customWidth="1"/>
    <col min="19" max="19" width="1.5" style="2035" customWidth="1"/>
    <col min="20" max="25" width="9" style="2035"/>
    <col min="26" max="16384" width="9" style="2036"/>
  </cols>
  <sheetData>
    <row r="1" spans="1:25" s="2030" customFormat="1" ht="21">
      <c r="A1" s="772" t="s">
        <v>627</v>
      </c>
      <c r="B1" s="738"/>
      <c r="C1" s="773"/>
      <c r="D1" s="2026"/>
      <c r="E1" s="2326" t="s">
        <v>2349</v>
      </c>
      <c r="F1" s="2327">
        <f ca="1">J54</f>
        <v>0</v>
      </c>
      <c r="G1" s="774">
        <f>MATCH(C1,'数据-取费表'!A6:A16,0)+5</f>
        <v>8</v>
      </c>
      <c r="H1" s="1336"/>
      <c r="I1" s="2027"/>
      <c r="J1" s="2027"/>
      <c r="K1" s="2028"/>
      <c r="L1" s="2027"/>
      <c r="M1" s="2027"/>
      <c r="N1" s="2029"/>
      <c r="O1" s="2029"/>
      <c r="P1" s="2029"/>
      <c r="Q1" s="2029"/>
      <c r="R1" s="2029"/>
      <c r="S1" s="2029"/>
      <c r="T1" s="2029"/>
      <c r="U1" s="2029"/>
      <c r="V1" s="2029"/>
      <c r="W1" s="2029"/>
      <c r="X1" s="2029"/>
      <c r="Y1" s="2029"/>
    </row>
    <row r="2" spans="1:25" ht="18" customHeight="1">
      <c r="A2" s="1620" t="s">
        <v>628</v>
      </c>
      <c r="B2" s="775">
        <f ca="1">IF(ISERROR(C45+J31),0,C45+J31)</f>
        <v>0</v>
      </c>
      <c r="C2" s="1337"/>
      <c r="D2" s="2031"/>
      <c r="E2" s="2032"/>
      <c r="F2" s="2032"/>
      <c r="G2" s="1567"/>
      <c r="H2" s="1349"/>
      <c r="I2" s="2033"/>
      <c r="J2" s="2033"/>
      <c r="K2" s="2034"/>
      <c r="L2" s="2033"/>
      <c r="M2" s="2033"/>
    </row>
    <row r="3" spans="1:25" ht="18" customHeight="1">
      <c r="A3" s="1621" t="s">
        <v>1664</v>
      </c>
      <c r="B3" s="1378">
        <f ca="1">ROUND(B2*10000/'数据-汇总表'!E3,0)</f>
        <v>0</v>
      </c>
      <c r="C3" s="1337"/>
      <c r="D3" s="2031"/>
      <c r="E3" s="2032"/>
      <c r="F3" s="2032"/>
      <c r="G3" s="1567"/>
      <c r="H3" s="776" t="s">
        <v>694</v>
      </c>
      <c r="I3" s="2033"/>
      <c r="J3" s="2033"/>
      <c r="K3" s="2034"/>
      <c r="L3" s="2033"/>
      <c r="M3" s="2033"/>
    </row>
    <row r="4" spans="1:25" ht="18" customHeight="1">
      <c r="A4" s="1622" t="s">
        <v>695</v>
      </c>
      <c r="B4" s="1338">
        <f ca="1">ROUND(B2*10000/'数据-汇总表'!D3,0)</f>
        <v>0</v>
      </c>
      <c r="C4" s="428"/>
      <c r="D4" s="2031"/>
      <c r="E4" s="2032"/>
      <c r="F4" s="2032"/>
      <c r="G4" s="1567"/>
      <c r="H4" s="776"/>
      <c r="I4" s="2033"/>
      <c r="J4" s="2033"/>
      <c r="K4" s="2034"/>
      <c r="L4" s="2033"/>
      <c r="M4" s="2033"/>
    </row>
    <row r="5" spans="1:25" ht="18" customHeight="1" thickBot="1">
      <c r="A5" s="1623"/>
      <c r="B5" s="430">
        <f ca="1">ROUND(B2/('数据-汇总表'!D3/666.67),0)</f>
        <v>0</v>
      </c>
      <c r="C5" s="431" t="s">
        <v>696</v>
      </c>
      <c r="D5" s="2031"/>
      <c r="E5" s="2032"/>
      <c r="F5" s="2032"/>
      <c r="G5" s="1567"/>
      <c r="H5" s="776"/>
      <c r="I5" s="2033"/>
      <c r="J5" s="2033"/>
      <c r="K5" s="2034"/>
      <c r="L5" s="2033"/>
      <c r="M5" s="2033"/>
    </row>
    <row r="6" spans="1:25" ht="18" customHeight="1">
      <c r="A6" s="1804" t="s">
        <v>697</v>
      </c>
      <c r="B6" s="1796" t="s">
        <v>698</v>
      </c>
      <c r="C6" s="1796" t="s">
        <v>631</v>
      </c>
      <c r="D6" s="1796" t="s">
        <v>632</v>
      </c>
      <c r="E6" s="779" t="s">
        <v>633</v>
      </c>
      <c r="F6" s="780"/>
      <c r="G6" s="1569"/>
      <c r="H6" s="1804" t="s">
        <v>629</v>
      </c>
      <c r="I6" s="1796" t="s">
        <v>630</v>
      </c>
      <c r="J6" s="1796" t="s">
        <v>631</v>
      </c>
      <c r="K6" s="1796" t="s">
        <v>632</v>
      </c>
      <c r="L6" s="779" t="s">
        <v>633</v>
      </c>
      <c r="M6" s="780"/>
    </row>
    <row r="7" spans="1:25" ht="18" customHeight="1">
      <c r="A7" s="781">
        <v>1</v>
      </c>
      <c r="B7" s="782" t="s">
        <v>2433</v>
      </c>
      <c r="C7" s="53">
        <f ca="1">C8+C12+C14</f>
        <v>0</v>
      </c>
      <c r="D7" s="2435" t="s">
        <v>2436</v>
      </c>
      <c r="E7" s="2429"/>
      <c r="F7" s="2430"/>
      <c r="G7" s="1569"/>
      <c r="H7" s="781">
        <v>1</v>
      </c>
      <c r="I7" s="782" t="s">
        <v>2433</v>
      </c>
      <c r="J7" s="53">
        <f ca="1">J8+J12+J14</f>
        <v>0</v>
      </c>
      <c r="K7" s="2435" t="s">
        <v>2436</v>
      </c>
      <c r="L7" s="2429"/>
      <c r="M7" s="2430"/>
    </row>
    <row r="8" spans="1:25" ht="18" customHeight="1">
      <c r="A8" s="1806" t="s">
        <v>1802</v>
      </c>
      <c r="B8" s="3863" t="s">
        <v>2438</v>
      </c>
      <c r="C8" s="1801">
        <f ca="1">ROUND(F8*F10*F9*(1-F11)/10000,0)</f>
        <v>0</v>
      </c>
      <c r="D8" s="1798" t="s">
        <v>2509</v>
      </c>
      <c r="E8" s="61" t="s">
        <v>636</v>
      </c>
      <c r="F8" s="785">
        <f ca="1">INDIRECT("'数据-取费表'!u"&amp;$G$1)</f>
        <v>0</v>
      </c>
      <c r="G8" s="1569"/>
      <c r="H8" s="2443" t="s">
        <v>1802</v>
      </c>
      <c r="I8" s="3863" t="s">
        <v>2438</v>
      </c>
      <c r="J8" s="783">
        <f ca="1">ROUND(M8*M10*M9*(1-M11)/10000,0)</f>
        <v>0</v>
      </c>
      <c r="K8" s="341" t="s">
        <v>2509</v>
      </c>
      <c r="L8" s="784" t="s">
        <v>1716</v>
      </c>
      <c r="M8" s="785">
        <f ca="1">INDIRECT("'数据-取费表'!z"&amp;$G$1)</f>
        <v>0</v>
      </c>
    </row>
    <row r="9" spans="1:25" ht="18" customHeight="1">
      <c r="A9" s="2439"/>
      <c r="B9" s="3864"/>
      <c r="C9" s="1802"/>
      <c r="D9" s="1799"/>
      <c r="E9" s="61" t="s">
        <v>637</v>
      </c>
      <c r="F9" s="785">
        <f ca="1">IF(INDIRECT("'数据-取费表'!ah"&amp;$G$1)="",INDIRECT("'数据-取费表'!k"&amp;$G$1),INDIRECT("'数据-取费表'!ah"&amp;$G$1))</f>
        <v>0</v>
      </c>
      <c r="G9" s="1569"/>
      <c r="H9" s="2428"/>
      <c r="I9" s="3864"/>
      <c r="J9" s="788"/>
      <c r="K9" s="789"/>
      <c r="L9" s="784" t="s">
        <v>1717</v>
      </c>
      <c r="M9" s="785">
        <f ca="1">F9</f>
        <v>0</v>
      </c>
    </row>
    <row r="10" spans="1:25" ht="18" customHeight="1">
      <c r="A10" s="2432"/>
      <c r="B10" s="3865"/>
      <c r="C10" s="1802"/>
      <c r="D10" s="1799"/>
      <c r="E10" s="61" t="s">
        <v>638</v>
      </c>
      <c r="F10" s="785">
        <f ca="1">INDIRECT("'数据-取费表'!ai"&amp;$G$1)</f>
        <v>0</v>
      </c>
      <c r="G10" s="1569"/>
      <c r="H10" s="2428"/>
      <c r="I10" s="3865"/>
      <c r="J10" s="788"/>
      <c r="K10" s="789"/>
      <c r="L10" s="784" t="s">
        <v>1718</v>
      </c>
      <c r="M10" s="785">
        <f ca="1">INDIRECT("'数据-取费表'!ai"&amp;$G$1)</f>
        <v>0</v>
      </c>
    </row>
    <row r="11" spans="1:25" ht="18" customHeight="1">
      <c r="A11" s="786"/>
      <c r="B11" s="3866"/>
      <c r="C11" s="1802"/>
      <c r="D11" s="1799"/>
      <c r="E11" s="61" t="s">
        <v>639</v>
      </c>
      <c r="F11" s="794">
        <f ca="1">INDIRECT("'数据-取费表'!w"&amp;$G$1)</f>
        <v>0</v>
      </c>
      <c r="G11" s="1569"/>
      <c r="H11" s="2444"/>
      <c r="I11" s="3865"/>
      <c r="J11" s="788"/>
      <c r="K11" s="789"/>
      <c r="L11" s="795" t="s">
        <v>1719</v>
      </c>
      <c r="M11" s="796">
        <f ca="1">INDIRECT("'数据-取费表'!ab"&amp;$G$1)</f>
        <v>0</v>
      </c>
    </row>
    <row r="12" spans="1:25" ht="18" customHeight="1">
      <c r="A12" s="1806" t="s">
        <v>1803</v>
      </c>
      <c r="B12" s="2433" t="s">
        <v>2434</v>
      </c>
      <c r="C12" s="799">
        <f ca="1">ROUND(IF(F12="押一",C8/12*F13,IF(F12="押二",C8/12*2*F13,IF(F12="押三",C8/12*3*F13,C13*F13))),0)</f>
        <v>0</v>
      </c>
      <c r="D12" s="2440" t="s">
        <v>2949</v>
      </c>
      <c r="E12" s="2437" t="s">
        <v>2439</v>
      </c>
      <c r="F12" s="2560"/>
      <c r="G12" s="1569"/>
      <c r="H12" s="2500" t="s">
        <v>1803</v>
      </c>
      <c r="I12" s="2505" t="s">
        <v>2434</v>
      </c>
      <c r="J12" s="783">
        <f ca="1">ROUND(IF(M12="押一",J8/12*M13,IF(M12="押二",J8/12*2*M13,IF(M12="押三",J8/12*3*M13,J13*M13))),0)</f>
        <v>0</v>
      </c>
      <c r="K12" s="2440" t="s">
        <v>2949</v>
      </c>
      <c r="L12" s="2437" t="s">
        <v>2439</v>
      </c>
      <c r="M12" s="2560"/>
    </row>
    <row r="13" spans="1:25" ht="18" customHeight="1">
      <c r="A13" s="790"/>
      <c r="B13" s="2434" t="s">
        <v>2548</v>
      </c>
      <c r="C13" s="2438"/>
      <c r="D13" s="789"/>
      <c r="E13" s="2437" t="s">
        <v>2431</v>
      </c>
      <c r="F13" s="796">
        <f ca="1">'数据-取费表'!B39</f>
        <v>1.4999999999999999E-2</v>
      </c>
      <c r="G13" s="1569"/>
      <c r="H13" s="2501"/>
      <c r="I13" s="2434" t="s">
        <v>2548</v>
      </c>
      <c r="J13" s="2438"/>
      <c r="K13" s="2502"/>
      <c r="L13" s="2437" t="s">
        <v>2431</v>
      </c>
      <c r="M13" s="2431">
        <f ca="1">'数据-取费表'!B39</f>
        <v>1.4999999999999999E-2</v>
      </c>
    </row>
    <row r="14" spans="1:25" ht="18" customHeight="1" thickBot="1">
      <c r="A14" s="2476" t="s">
        <v>2442</v>
      </c>
      <c r="B14" s="2477" t="s">
        <v>2435</v>
      </c>
      <c r="C14" s="2478"/>
      <c r="D14" s="2479"/>
      <c r="E14" s="2480"/>
      <c r="F14" s="2481"/>
      <c r="G14" s="1569"/>
      <c r="H14" s="2490" t="s">
        <v>2442</v>
      </c>
      <c r="I14" s="2503" t="s">
        <v>2435</v>
      </c>
      <c r="J14" s="2504"/>
      <c r="K14" s="2479"/>
      <c r="L14" s="2480"/>
      <c r="M14" s="2493"/>
    </row>
    <row r="15" spans="1:25" ht="18" customHeight="1" thickTop="1">
      <c r="A15" s="1805" t="s">
        <v>1852</v>
      </c>
      <c r="B15" s="1803" t="s">
        <v>640</v>
      </c>
      <c r="C15" s="792">
        <f ca="1">ROUND(C31*F15,0)</f>
        <v>0</v>
      </c>
      <c r="D15" s="1810" t="s">
        <v>641</v>
      </c>
      <c r="E15" s="795" t="s">
        <v>642</v>
      </c>
      <c r="F15" s="800">
        <f ca="1">INDIRECT("'数据-取费表'!y"&amp;$G$1)</f>
        <v>0</v>
      </c>
      <c r="G15" s="1569"/>
      <c r="H15" s="1805" t="s">
        <v>1804</v>
      </c>
      <c r="I15" s="1803" t="s">
        <v>643</v>
      </c>
      <c r="J15" s="1795">
        <f ca="1">ROUND(J16*J17,0)</f>
        <v>0</v>
      </c>
      <c r="K15" s="1797" t="s">
        <v>641</v>
      </c>
      <c r="L15" s="801"/>
      <c r="M15" s="802"/>
    </row>
    <row r="16" spans="1:25" ht="18" customHeight="1">
      <c r="A16" s="803" t="s">
        <v>1853</v>
      </c>
      <c r="B16" s="784" t="s">
        <v>644</v>
      </c>
      <c r="C16" s="804">
        <f ca="1">INDIRECT("'数据-取费表'!m"&amp;$G$1)+INDIRECT("'数据-取费表'!t"&amp;$G$1)</f>
        <v>0</v>
      </c>
      <c r="D16" s="1955" t="s">
        <v>645</v>
      </c>
      <c r="E16" s="1956"/>
      <c r="F16" s="805"/>
      <c r="G16" s="1569"/>
      <c r="H16" s="803" t="s">
        <v>2045</v>
      </c>
      <c r="I16" s="2192" t="s">
        <v>2799</v>
      </c>
      <c r="J16" s="53">
        <f ca="1">C31</f>
        <v>0</v>
      </c>
      <c r="K16" s="26"/>
      <c r="L16" s="801"/>
      <c r="M16" s="802"/>
    </row>
    <row r="17" spans="1:25" s="2040" customFormat="1" ht="18" customHeight="1">
      <c r="A17" s="803" t="s">
        <v>1827</v>
      </c>
      <c r="B17" s="784" t="s">
        <v>646</v>
      </c>
      <c r="C17" s="53">
        <f ca="1">ROUND(C16*F17,0)</f>
        <v>0</v>
      </c>
      <c r="D17" s="806" t="s">
        <v>647</v>
      </c>
      <c r="E17" s="806" t="s">
        <v>648</v>
      </c>
      <c r="F17" s="807">
        <f>'数据-取费表'!B33</f>
        <v>0.05</v>
      </c>
      <c r="G17" s="1570"/>
      <c r="H17" s="803" t="s">
        <v>2046</v>
      </c>
      <c r="I17" s="784" t="s">
        <v>642</v>
      </c>
      <c r="J17" s="808">
        <f ca="1">INDIRECT("'数据-取费表'!ad"&amp;$G$1)</f>
        <v>0</v>
      </c>
      <c r="K17" s="26"/>
      <c r="L17" s="801"/>
      <c r="M17" s="802"/>
      <c r="N17" s="2039"/>
      <c r="O17" s="2039"/>
      <c r="P17" s="2039"/>
      <c r="Q17" s="2039"/>
      <c r="R17" s="2039"/>
      <c r="S17" s="2039"/>
      <c r="T17" s="2039"/>
      <c r="U17" s="2039"/>
      <c r="V17" s="2039"/>
      <c r="W17" s="2039"/>
      <c r="X17" s="2039"/>
      <c r="Y17" s="2039"/>
    </row>
    <row r="18" spans="1:25" ht="18" customHeight="1">
      <c r="A18" s="803" t="s">
        <v>1828</v>
      </c>
      <c r="B18" s="784" t="s">
        <v>649</v>
      </c>
      <c r="C18" s="53">
        <f ca="1">ROUND(INDIRECT("'数据-取费表'!m"&amp;$G$1)*F18,0)</f>
        <v>0</v>
      </c>
      <c r="D18" s="784" t="s">
        <v>647</v>
      </c>
      <c r="E18" s="784" t="s">
        <v>648</v>
      </c>
      <c r="F18" s="809">
        <f ca="1">IF(INDIRECT("'数据-取费表'!c"&amp;$G$1)="住宅",'数据-取费表'!B34,0)</f>
        <v>0</v>
      </c>
      <c r="G18" s="1569"/>
      <c r="H18" s="797" t="s">
        <v>1805</v>
      </c>
      <c r="I18" s="798" t="s">
        <v>650</v>
      </c>
      <c r="J18" s="799">
        <f ca="1">ROUND(J19+J24+J25+J26,0)</f>
        <v>0</v>
      </c>
      <c r="K18" s="26" t="s">
        <v>651</v>
      </c>
      <c r="L18" s="1958"/>
      <c r="M18" s="56"/>
    </row>
    <row r="19" spans="1:25" s="2040" customFormat="1" ht="18" customHeight="1">
      <c r="A19" s="803" t="s">
        <v>1829</v>
      </c>
      <c r="B19" s="784" t="s">
        <v>652</v>
      </c>
      <c r="C19" s="53">
        <f ca="1">ROUND(F19*(INDIRECT("'数据-取费表'!k"&amp;$G$1)+INDIRECT("'数据-取费表'!S"&amp;$G$1))/10000,0)</f>
        <v>0</v>
      </c>
      <c r="D19" s="784" t="s">
        <v>653</v>
      </c>
      <c r="E19" s="784" t="s">
        <v>654</v>
      </c>
      <c r="F19" s="56">
        <f>'数据-取费表'!B35</f>
        <v>350</v>
      </c>
      <c r="G19" s="1570"/>
      <c r="H19" s="803" t="s">
        <v>2045</v>
      </c>
      <c r="I19" s="784" t="s">
        <v>655</v>
      </c>
      <c r="J19" s="3156">
        <f ca="1">ROUND(IF(项目基本情况!B11="自然人",J8*M19/(1+'数据-取费表'!C42),J20+J21+J22),0)</f>
        <v>0</v>
      </c>
      <c r="K19" s="1955" t="s">
        <v>656</v>
      </c>
      <c r="L19" s="1953" t="s">
        <v>657</v>
      </c>
      <c r="M19" s="810" t="str">
        <f ca="1">IF(项目基本情况!B11="企业","",IF(INDIRECT("'数据-取费表'!c"&amp;$G$1)="住宅",5%,IF(M8*M9*M10/12/(1+'数据-取费表'!C42)&gt;20000,12%,7%)))</f>
        <v/>
      </c>
      <c r="N19" s="2039"/>
      <c r="O19" s="2039"/>
      <c r="P19" s="2039"/>
      <c r="Q19" s="2039"/>
      <c r="R19" s="2039"/>
      <c r="S19" s="2039"/>
      <c r="T19" s="2039"/>
      <c r="U19" s="2039"/>
      <c r="V19" s="2039"/>
      <c r="W19" s="2039"/>
      <c r="X19" s="2039"/>
      <c r="Y19" s="2039"/>
    </row>
    <row r="20" spans="1:25" s="2040" customFormat="1" ht="18" customHeight="1">
      <c r="A20" s="803" t="s">
        <v>1830</v>
      </c>
      <c r="B20" s="784" t="s">
        <v>658</v>
      </c>
      <c r="C20" s="53">
        <f ca="1">ROUND(C16*F20,0)</f>
        <v>0</v>
      </c>
      <c r="D20" s="784" t="s">
        <v>647</v>
      </c>
      <c r="E20" s="784" t="s">
        <v>648</v>
      </c>
      <c r="F20" s="809">
        <f>'数据-取费表'!B36</f>
        <v>1.4999999999999999E-2</v>
      </c>
      <c r="G20" s="1570"/>
      <c r="H20" s="803" t="s">
        <v>1809</v>
      </c>
      <c r="I20" s="784" t="s">
        <v>659</v>
      </c>
      <c r="J20" s="3156">
        <f ca="1">ROUND(J8*M20/(1+'数据-取费表'!C42),1)</f>
        <v>0</v>
      </c>
      <c r="K20" s="1953" t="s">
        <v>660</v>
      </c>
      <c r="L20" s="784" t="s">
        <v>648</v>
      </c>
      <c r="M20" s="809">
        <f>'数据-取费表'!B41</f>
        <v>5.6000000000000001E-2</v>
      </c>
      <c r="N20" s="2039"/>
      <c r="O20" s="2039"/>
      <c r="P20" s="2039"/>
      <c r="Q20" s="2039"/>
      <c r="R20" s="2039"/>
      <c r="S20" s="2039"/>
      <c r="T20" s="2039"/>
      <c r="U20" s="2039"/>
      <c r="V20" s="2039"/>
      <c r="W20" s="2039"/>
      <c r="X20" s="2039"/>
      <c r="Y20" s="2039"/>
    </row>
    <row r="21" spans="1:25" ht="18" customHeight="1">
      <c r="A21" s="803" t="s">
        <v>1854</v>
      </c>
      <c r="B21" s="784" t="s">
        <v>661</v>
      </c>
      <c r="C21" s="53">
        <f ca="1">SUM(C16:C20)</f>
        <v>0</v>
      </c>
      <c r="D21" s="261" t="s">
        <v>662</v>
      </c>
      <c r="E21" s="1958"/>
      <c r="F21" s="56"/>
      <c r="G21" s="1569"/>
      <c r="H21" s="1806" t="s">
        <v>1827</v>
      </c>
      <c r="I21" s="784" t="s">
        <v>663</v>
      </c>
      <c r="J21" s="3156">
        <f ca="1">IF(K21="按租金收入计税",ROUND(J8*M21/(1+'数据-取费表'!C42),1),ROUND(C31*F35*0.7,1))</f>
        <v>0</v>
      </c>
      <c r="K21" s="811" t="s">
        <v>664</v>
      </c>
      <c r="L21" s="784" t="s">
        <v>648</v>
      </c>
      <c r="M21" s="809">
        <f>IF(K21="按租金收入计税",'数据-取费表'!B51,'数据-取费表'!B50)</f>
        <v>1.2E-2</v>
      </c>
    </row>
    <row r="22" spans="1:25" s="2040" customFormat="1" ht="18" customHeight="1">
      <c r="A22" s="803" t="s">
        <v>1855</v>
      </c>
      <c r="B22" s="784" t="s">
        <v>665</v>
      </c>
      <c r="C22" s="53">
        <f ca="1">ROUND(C21*F22,0)</f>
        <v>0</v>
      </c>
      <c r="D22" s="812" t="s">
        <v>666</v>
      </c>
      <c r="E22" s="784" t="s">
        <v>648</v>
      </c>
      <c r="F22" s="809">
        <f>'数据-取费表'!B37</f>
        <v>0.02</v>
      </c>
      <c r="G22" s="1570"/>
      <c r="H22" s="1808" t="s">
        <v>1828</v>
      </c>
      <c r="I22" s="1798" t="s">
        <v>667</v>
      </c>
      <c r="J22" s="54">
        <f ca="1">ROUND(M22*M23/10000,0)</f>
        <v>0</v>
      </c>
      <c r="K22" s="814" t="s">
        <v>668</v>
      </c>
      <c r="L22" s="784" t="s">
        <v>669</v>
      </c>
      <c r="M22" s="640">
        <f>'数据-取费表'!B52</f>
        <v>0</v>
      </c>
      <c r="N22" s="2039"/>
      <c r="O22" s="2039"/>
      <c r="P22" s="2039"/>
      <c r="Q22" s="2039"/>
      <c r="R22" s="2039"/>
      <c r="S22" s="2039"/>
      <c r="T22" s="2039"/>
      <c r="U22" s="2039"/>
      <c r="V22" s="2039"/>
      <c r="W22" s="2039"/>
      <c r="X22" s="2039"/>
      <c r="Y22" s="2039"/>
    </row>
    <row r="23" spans="1:25" s="2040" customFormat="1" ht="18" customHeight="1">
      <c r="A23" s="803" t="s">
        <v>1856</v>
      </c>
      <c r="B23" s="784" t="s">
        <v>670</v>
      </c>
      <c r="C23" s="53" t="s">
        <v>1</v>
      </c>
      <c r="D23" s="812" t="s">
        <v>671</v>
      </c>
      <c r="E23" s="784" t="s">
        <v>672</v>
      </c>
      <c r="F23" s="809">
        <f>'数据-取费表'!B38</f>
        <v>0.02</v>
      </c>
      <c r="G23" s="1570"/>
      <c r="H23" s="1809"/>
      <c r="I23" s="1800"/>
      <c r="J23" s="69"/>
      <c r="K23" s="816"/>
      <c r="L23" s="784" t="s">
        <v>673</v>
      </c>
      <c r="M23" s="785">
        <f ca="1">INDIRECT("'数据-取费表'!r"&amp;$G$1)</f>
        <v>0</v>
      </c>
      <c r="N23" s="2039"/>
      <c r="O23" s="2039"/>
      <c r="P23" s="2039"/>
      <c r="Q23" s="2039"/>
      <c r="R23" s="2039"/>
      <c r="S23" s="2039"/>
      <c r="T23" s="2039"/>
      <c r="U23" s="2039"/>
      <c r="V23" s="2039"/>
      <c r="W23" s="2039"/>
      <c r="X23" s="2039"/>
      <c r="Y23" s="2039"/>
    </row>
    <row r="24" spans="1:25" ht="18" customHeight="1">
      <c r="A24" s="803" t="s">
        <v>1857</v>
      </c>
      <c r="B24" s="784" t="s">
        <v>674</v>
      </c>
      <c r="C24" s="53"/>
      <c r="D24" s="2511" t="str">
        <f>IF(F25&lt;=1,"单利计息。","复利计息。")&amp;"建造成本、管理费用、销售费用产生的利息。"</f>
        <v>复利计息。建造成本、管理费用、销售费用产生的利息。</v>
      </c>
      <c r="E24" s="1958"/>
      <c r="F24" s="56"/>
      <c r="G24" s="1569"/>
      <c r="H24" s="1807" t="s">
        <v>2046</v>
      </c>
      <c r="I24" s="784" t="s">
        <v>675</v>
      </c>
      <c r="J24" s="53">
        <f ca="1">ROUND(J16*M24,0)</f>
        <v>0</v>
      </c>
      <c r="K24" s="1953" t="s">
        <v>676</v>
      </c>
      <c r="L24" s="784" t="s">
        <v>648</v>
      </c>
      <c r="M24" s="817">
        <f ca="1">INDIRECT("'数据-取费表'!Ak"&amp;$G$1)</f>
        <v>0</v>
      </c>
    </row>
    <row r="25" spans="1:25" s="2040" customFormat="1" ht="18" customHeight="1">
      <c r="A25" s="803" t="s">
        <v>1853</v>
      </c>
      <c r="B25" s="784" t="s">
        <v>2412</v>
      </c>
      <c r="C25" s="53">
        <f ca="1">ROUND(IF('数据-取费表'!B22&lt;=1,(C21+C22)*F26*F25/2,(C21+C22)*(POWER((1+F26),F25/2)-1)),0)</f>
        <v>0</v>
      </c>
      <c r="D25" s="2510" t="str">
        <f>IF(F25&lt;=1,"(建造成本+管理费用)×利率×(建设周期÷2)","(建造成本+管理费用)×((1+利率)^(建设周期÷2)-1)")</f>
        <v>(建造成本+管理费用)×((1+利率)^(建设周期÷2)-1)</v>
      </c>
      <c r="E25" s="784" t="s">
        <v>677</v>
      </c>
      <c r="F25" s="640">
        <f>'数据-取费表'!B20</f>
        <v>2</v>
      </c>
      <c r="G25" s="1570"/>
      <c r="H25" s="803" t="s">
        <v>1856</v>
      </c>
      <c r="I25" s="784" t="s">
        <v>678</v>
      </c>
      <c r="J25" s="53">
        <f ca="1">ROUND(J15*M25,0)</f>
        <v>0</v>
      </c>
      <c r="K25" s="1953" t="s">
        <v>679</v>
      </c>
      <c r="L25" s="784" t="s">
        <v>648</v>
      </c>
      <c r="M25" s="818">
        <f ca="1">INDIRECT("'数据-取费表'!Al"&amp;$G$1)</f>
        <v>0</v>
      </c>
      <c r="N25" s="2039"/>
      <c r="O25" s="2039"/>
      <c r="P25" s="2039"/>
      <c r="Q25" s="2039"/>
      <c r="R25" s="2039"/>
      <c r="S25" s="2039"/>
      <c r="T25" s="2039"/>
      <c r="U25" s="2039"/>
      <c r="V25" s="2039"/>
      <c r="W25" s="2039"/>
      <c r="X25" s="2039"/>
      <c r="Y25" s="2039"/>
    </row>
    <row r="26" spans="1:25" s="2040" customFormat="1" ht="18" customHeight="1">
      <c r="A26" s="803" t="s">
        <v>1827</v>
      </c>
      <c r="B26" s="784" t="s">
        <v>680</v>
      </c>
      <c r="C26" s="53">
        <f ca="1">ROUND(IF('数据-取费表'!B22&lt;=1,F23*F26*F25/2,F23*(POWER((1+F26),F25/2)-1)),4)</f>
        <v>1E-3</v>
      </c>
      <c r="D26" s="2510" t="str">
        <f>IF(F25&lt;=1,"销售费用×利率×(建设周期÷2)","销售费用×((1+利率)^(建设周期÷2)-1)")</f>
        <v>销售费用×((1+利率)^(建设周期÷2)-1)</v>
      </c>
      <c r="E26" s="784" t="s">
        <v>681</v>
      </c>
      <c r="F26" s="819">
        <f ca="1">'数据-取费表'!B40</f>
        <v>4.7500000000000001E-2</v>
      </c>
      <c r="G26" s="1570"/>
      <c r="H26" s="803" t="s">
        <v>1857</v>
      </c>
      <c r="I26" s="784" t="s">
        <v>665</v>
      </c>
      <c r="J26" s="53">
        <f ca="1">ROUND(J7*M26,0)</f>
        <v>0</v>
      </c>
      <c r="K26" s="1953" t="s">
        <v>682</v>
      </c>
      <c r="L26" s="784" t="s">
        <v>648</v>
      </c>
      <c r="M26" s="794">
        <f ca="1">INDIRECT("'数据-取费表'!Am"&amp;$G$1)</f>
        <v>0</v>
      </c>
      <c r="N26" s="2039"/>
      <c r="O26" s="2039"/>
      <c r="P26" s="2039"/>
      <c r="Q26" s="2039"/>
      <c r="R26" s="2039"/>
      <c r="S26" s="2039"/>
      <c r="T26" s="2039"/>
      <c r="U26" s="2039"/>
      <c r="V26" s="2039"/>
      <c r="W26" s="2039"/>
      <c r="X26" s="2039"/>
      <c r="Y26" s="2039"/>
    </row>
    <row r="27" spans="1:25" ht="18" customHeight="1">
      <c r="A27" s="803" t="s">
        <v>1859</v>
      </c>
      <c r="B27" s="784" t="s">
        <v>683</v>
      </c>
      <c r="C27" s="53"/>
      <c r="D27" s="261" t="s">
        <v>684</v>
      </c>
      <c r="E27" s="1958"/>
      <c r="F27" s="56"/>
      <c r="G27" s="1569"/>
      <c r="H27" s="797" t="s">
        <v>1806</v>
      </c>
      <c r="I27" s="2938" t="s">
        <v>2796</v>
      </c>
      <c r="J27" s="799">
        <f ca="1">J7-J18</f>
        <v>0</v>
      </c>
      <c r="K27" s="1955" t="s">
        <v>699</v>
      </c>
      <c r="L27" s="1957"/>
      <c r="M27" s="820"/>
    </row>
    <row r="28" spans="1:25" ht="18" customHeight="1">
      <c r="A28" s="803" t="s">
        <v>1853</v>
      </c>
      <c r="B28" s="784" t="s">
        <v>2413</v>
      </c>
      <c r="C28" s="53">
        <f ca="1">ROUND((C21+C22)*F28,0)</f>
        <v>0</v>
      </c>
      <c r="D28" s="812" t="s">
        <v>700</v>
      </c>
      <c r="E28" s="795" t="s">
        <v>701</v>
      </c>
      <c r="F28" s="794">
        <f ca="1">INDIRECT("'数据-取费表'!q"&amp;$G$1)</f>
        <v>0</v>
      </c>
      <c r="G28" s="1569"/>
      <c r="H28" s="781" t="s">
        <v>1815</v>
      </c>
      <c r="I28" s="782" t="s">
        <v>702</v>
      </c>
      <c r="J28" s="783">
        <f ca="1">IF(J7&lt;&gt;0,ROUND(J27*(1-((1+M30)/(1+M28))^M29)/(M28-M30),0),0)</f>
        <v>0</v>
      </c>
      <c r="K28" s="814" t="s">
        <v>703</v>
      </c>
      <c r="L28" s="784" t="s">
        <v>704</v>
      </c>
      <c r="M28" s="794">
        <f ca="1">INDIRECT("'数据-取费表'!I"&amp;$G$1)</f>
        <v>0</v>
      </c>
    </row>
    <row r="29" spans="1:25" ht="18" customHeight="1">
      <c r="A29" s="803" t="s">
        <v>1827</v>
      </c>
      <c r="B29" s="784" t="s">
        <v>685</v>
      </c>
      <c r="C29" s="53">
        <f ca="1">ROUND(F23*F28,4)</f>
        <v>0</v>
      </c>
      <c r="D29" s="812" t="s">
        <v>705</v>
      </c>
      <c r="E29" s="806"/>
      <c r="F29" s="807"/>
      <c r="G29" s="1569"/>
      <c r="H29" s="786"/>
      <c r="I29" s="787"/>
      <c r="J29" s="788"/>
      <c r="K29" s="821" t="s">
        <v>706</v>
      </c>
      <c r="L29" s="784" t="s">
        <v>707</v>
      </c>
      <c r="M29" s="822">
        <f ca="1">INDIRECT("'数据-取费表'!ag"&amp;$G$1)</f>
        <v>0</v>
      </c>
    </row>
    <row r="30" spans="1:25" s="2040" customFormat="1" ht="18" customHeight="1">
      <c r="A30" s="803" t="s">
        <v>1860</v>
      </c>
      <c r="B30" s="784" t="s">
        <v>686</v>
      </c>
      <c r="C30" s="53">
        <f>ROUND(F30/(1+'数据-取费表'!C42),4)</f>
        <v>5.33E-2</v>
      </c>
      <c r="D30" s="812" t="s">
        <v>708</v>
      </c>
      <c r="E30" s="784" t="s">
        <v>648</v>
      </c>
      <c r="F30" s="809">
        <f>'数据-取费表'!B41</f>
        <v>5.6000000000000001E-2</v>
      </c>
      <c r="G30" s="1570"/>
      <c r="H30" s="790"/>
      <c r="I30" s="791"/>
      <c r="J30" s="792"/>
      <c r="K30" s="816"/>
      <c r="L30" s="784" t="s">
        <v>709</v>
      </c>
      <c r="M30" s="794">
        <f ca="1">INDIRECT("'数据-取费表'!aa"&amp;$G$1)</f>
        <v>0</v>
      </c>
      <c r="N30" s="2039"/>
      <c r="O30" s="2039"/>
      <c r="P30" s="2039"/>
      <c r="Q30" s="2039"/>
      <c r="R30" s="2039"/>
      <c r="S30" s="2039"/>
      <c r="T30" s="2039"/>
      <c r="U30" s="2039"/>
      <c r="V30" s="2039"/>
      <c r="W30" s="2039"/>
      <c r="X30" s="2039"/>
      <c r="Y30" s="2039"/>
    </row>
    <row r="31" spans="1:25" s="2040" customFormat="1" ht="18" customHeight="1" thickBot="1">
      <c r="A31" s="2499" t="s">
        <v>1861</v>
      </c>
      <c r="B31" s="2480" t="s">
        <v>2797</v>
      </c>
      <c r="C31" s="2483">
        <f ca="1">ROUND((C21+C22+C25+C28)/(1-F23-C26-C29-C30),0)</f>
        <v>0</v>
      </c>
      <c r="D31" s="2484"/>
      <c r="E31" s="2485"/>
      <c r="F31" s="2486"/>
      <c r="G31" s="1570"/>
      <c r="H31" s="823" t="s">
        <v>1850</v>
      </c>
      <c r="I31" s="2939" t="s">
        <v>2798</v>
      </c>
      <c r="J31" s="825">
        <f ca="1">ROUND(J28/(1+F45)^F46,0)</f>
        <v>0</v>
      </c>
      <c r="K31" s="826" t="s">
        <v>687</v>
      </c>
      <c r="L31" s="827"/>
      <c r="M31" s="828">
        <f ca="1">INDIRECT("'数据-取费表'!k"&amp;$G$1)</f>
        <v>0</v>
      </c>
      <c r="N31" s="2039"/>
      <c r="O31" s="2039"/>
      <c r="P31" s="2039"/>
      <c r="Q31" s="2039"/>
      <c r="R31" s="2039"/>
      <c r="S31" s="2039"/>
      <c r="T31" s="2039"/>
      <c r="U31" s="2039"/>
      <c r="V31" s="2039"/>
      <c r="W31" s="2039"/>
      <c r="X31" s="2039"/>
      <c r="Y31" s="2039"/>
    </row>
    <row r="32" spans="1:25" ht="18" customHeight="1" thickTop="1">
      <c r="A32" s="1805" t="s">
        <v>7</v>
      </c>
      <c r="B32" s="1803" t="s">
        <v>688</v>
      </c>
      <c r="C32" s="792">
        <f ca="1">ROUND(C33+C38+C39+C40,0)</f>
        <v>0</v>
      </c>
      <c r="D32" s="1797" t="s">
        <v>651</v>
      </c>
      <c r="E32" s="2426"/>
      <c r="F32" s="2430"/>
      <c r="G32" s="2038"/>
      <c r="H32" s="2041"/>
      <c r="I32" s="2042"/>
      <c r="J32" s="2043"/>
      <c r="K32" s="2044"/>
      <c r="L32" s="2045"/>
      <c r="M32" s="2046"/>
    </row>
    <row r="33" spans="1:18" ht="18" customHeight="1">
      <c r="A33" s="803" t="s">
        <v>1854</v>
      </c>
      <c r="B33" s="784" t="s">
        <v>655</v>
      </c>
      <c r="C33" s="3156">
        <f ca="1">ROUND(IF(项目基本情况!B11="自然人",C8*F33/(1+'数据-取费表'!C42),C34+C35+C36),1)</f>
        <v>0</v>
      </c>
      <c r="D33" s="1955" t="s">
        <v>656</v>
      </c>
      <c r="E33" s="1953" t="s">
        <v>689</v>
      </c>
      <c r="F33" s="810" t="str">
        <f ca="1">IF(项目基本情况!B11="企业","",IF(INDIRECT("'数据-取费表'!c"&amp;$G$1)="住宅",5%,IF(F8*F9*F10/12/(1+'数据-取费表'!C42)&gt;20000,12%,7%)))</f>
        <v/>
      </c>
      <c r="G33" s="2038"/>
      <c r="H33" s="2041"/>
      <c r="I33" s="2042"/>
      <c r="J33" s="2043"/>
      <c r="K33" s="2044"/>
      <c r="L33" s="2045"/>
      <c r="M33" s="2046"/>
    </row>
    <row r="34" spans="1:18" ht="18" customHeight="1">
      <c r="A34" s="803" t="s">
        <v>1853</v>
      </c>
      <c r="B34" s="784" t="s">
        <v>659</v>
      </c>
      <c r="C34" s="3156">
        <f ca="1">ROUND(C8*F34/(1+'数据-取费表'!C42),1)</f>
        <v>0</v>
      </c>
      <c r="D34" s="1953" t="s">
        <v>660</v>
      </c>
      <c r="E34" s="784" t="s">
        <v>648</v>
      </c>
      <c r="F34" s="809">
        <f>'数据-取费表'!B41</f>
        <v>5.6000000000000001E-2</v>
      </c>
      <c r="G34" s="2038"/>
      <c r="H34" s="2047"/>
      <c r="I34" s="2048"/>
      <c r="J34" s="2049"/>
      <c r="K34" s="2050"/>
      <c r="L34" s="2051"/>
      <c r="M34" s="2052"/>
    </row>
    <row r="35" spans="1:18" ht="18" customHeight="1">
      <c r="A35" s="803" t="s">
        <v>1827</v>
      </c>
      <c r="B35" s="784" t="s">
        <v>663</v>
      </c>
      <c r="C35" s="3156">
        <f ca="1">IF(D35="按租金收入计税",ROUND(C8*F35/(1+'数据-取费表'!C42),1),IF(D35="按房产原值计税",ROUND(C31*F35*0.7,1),INDIRECT("'数据-取费表'!Aj"&amp;$G$1)))</f>
        <v>0</v>
      </c>
      <c r="D35" s="811" t="s">
        <v>1658</v>
      </c>
      <c r="E35" s="784" t="s">
        <v>648</v>
      </c>
      <c r="F35" s="809">
        <f>IF(D35="按租金收入计税",'数据-取费表'!B51,'数据-取费表'!B50)</f>
        <v>1.2E-2</v>
      </c>
      <c r="G35" s="2038"/>
      <c r="H35" s="2053"/>
      <c r="I35" s="2053"/>
      <c r="J35" s="2053"/>
      <c r="K35" s="2054"/>
      <c r="L35" s="2053"/>
      <c r="M35" s="2053"/>
    </row>
    <row r="36" spans="1:18" ht="18" customHeight="1">
      <c r="A36" s="813" t="s">
        <v>1858</v>
      </c>
      <c r="B36" s="341" t="s">
        <v>667</v>
      </c>
      <c r="C36" s="54">
        <f ca="1">ROUND(F36*F37/10000,1)</f>
        <v>0</v>
      </c>
      <c r="D36" s="814" t="s">
        <v>668</v>
      </c>
      <c r="E36" s="784" t="s">
        <v>669</v>
      </c>
      <c r="F36" s="640">
        <f>'数据-取费表'!B52</f>
        <v>0</v>
      </c>
      <c r="G36" s="2038"/>
      <c r="H36" s="2041"/>
      <c r="I36" s="3862"/>
      <c r="J36" s="2055"/>
      <c r="K36" s="2056"/>
      <c r="L36" s="2055"/>
      <c r="M36" s="2055"/>
    </row>
    <row r="37" spans="1:18" ht="18" customHeight="1">
      <c r="A37" s="815"/>
      <c r="B37" s="793"/>
      <c r="C37" s="69"/>
      <c r="D37" s="816"/>
      <c r="E37" s="784" t="s">
        <v>673</v>
      </c>
      <c r="F37" s="785">
        <f ca="1">INDIRECT("'数据-取费表'!r"&amp;$G$1)</f>
        <v>0</v>
      </c>
      <c r="G37" s="2038"/>
      <c r="H37" s="2041"/>
      <c r="I37" s="3862"/>
      <c r="J37" s="2053"/>
      <c r="K37" s="2054"/>
      <c r="L37" s="2053"/>
      <c r="M37" s="2053"/>
    </row>
    <row r="38" spans="1:18" ht="18" customHeight="1">
      <c r="A38" s="803" t="s">
        <v>1855</v>
      </c>
      <c r="B38" s="784" t="s">
        <v>675</v>
      </c>
      <c r="C38" s="53">
        <f ca="1">ROUND(C31*F38,1)</f>
        <v>0</v>
      </c>
      <c r="D38" s="1953" t="s">
        <v>690</v>
      </c>
      <c r="E38" s="784" t="s">
        <v>648</v>
      </c>
      <c r="F38" s="817">
        <f ca="1">INDIRECT("'数据-取费表'!Ak"&amp;$G$1)</f>
        <v>0</v>
      </c>
      <c r="G38" s="2038"/>
      <c r="H38" s="2053"/>
      <c r="I38" s="2057"/>
      <c r="J38" s="1964"/>
      <c r="K38" s="2058"/>
      <c r="L38" s="2053"/>
      <c r="M38" s="2053"/>
    </row>
    <row r="39" spans="1:18" ht="18" customHeight="1">
      <c r="A39" s="803" t="s">
        <v>1856</v>
      </c>
      <c r="B39" s="784" t="s">
        <v>678</v>
      </c>
      <c r="C39" s="53">
        <f ca="1">ROUND(C15*F39,1)</f>
        <v>0</v>
      </c>
      <c r="D39" s="1953" t="s">
        <v>679</v>
      </c>
      <c r="E39" s="784" t="s">
        <v>648</v>
      </c>
      <c r="F39" s="818">
        <f ca="1">INDIRECT("'数据-取费表'!Al"&amp;$G$1)</f>
        <v>0</v>
      </c>
      <c r="G39" s="2038"/>
      <c r="H39" s="2053"/>
      <c r="I39" s="2057"/>
      <c r="J39" s="1964"/>
      <c r="K39" s="2058"/>
      <c r="L39" s="2053"/>
      <c r="M39" s="2053"/>
    </row>
    <row r="40" spans="1:18" ht="18" customHeight="1" thickBot="1">
      <c r="A40" s="2499" t="s">
        <v>1857</v>
      </c>
      <c r="B40" s="2485" t="s">
        <v>665</v>
      </c>
      <c r="C40" s="2483">
        <f ca="1">ROUND(C7*F40,1)</f>
        <v>0</v>
      </c>
      <c r="D40" s="2484" t="s">
        <v>682</v>
      </c>
      <c r="E40" s="2485" t="s">
        <v>648</v>
      </c>
      <c r="F40" s="2481">
        <f ca="1">INDIRECT("'数据-取费表'!Am"&amp;$G$1)</f>
        <v>0</v>
      </c>
      <c r="G40" s="2038"/>
      <c r="H40" s="2053"/>
      <c r="I40" s="2057"/>
      <c r="J40" s="1964"/>
      <c r="K40" s="2059"/>
      <c r="L40" s="2053"/>
      <c r="M40" s="2053"/>
    </row>
    <row r="41" spans="1:18" ht="18" customHeight="1" thickTop="1">
      <c r="A41" s="1805">
        <v>4</v>
      </c>
      <c r="B41" s="1803" t="s">
        <v>691</v>
      </c>
      <c r="C41" s="1339"/>
      <c r="D41" s="1340"/>
      <c r="E41" s="1340"/>
      <c r="F41" s="1341"/>
      <c r="G41" s="2038"/>
      <c r="H41" s="2038"/>
      <c r="I41" s="2038"/>
      <c r="J41" s="2038"/>
      <c r="K41" s="2059"/>
      <c r="L41" s="2038"/>
      <c r="M41" s="2038"/>
    </row>
    <row r="42" spans="1:18" ht="18" customHeight="1">
      <c r="A42" s="803" t="s">
        <v>1854</v>
      </c>
      <c r="B42" s="835" t="s">
        <v>692</v>
      </c>
      <c r="C42" s="829">
        <f ca="1">C7-C32</f>
        <v>0</v>
      </c>
      <c r="D42" s="1955" t="s">
        <v>693</v>
      </c>
      <c r="E42" s="1957"/>
      <c r="F42" s="820"/>
      <c r="G42" s="2038"/>
      <c r="H42" s="2038"/>
      <c r="I42" s="2038"/>
      <c r="J42" s="2038"/>
      <c r="K42" s="2059"/>
      <c r="L42" s="2038"/>
      <c r="M42" s="2038"/>
    </row>
    <row r="43" spans="1:18" ht="18" customHeight="1">
      <c r="A43" s="803" t="s">
        <v>1855</v>
      </c>
      <c r="B43" s="835" t="s">
        <v>710</v>
      </c>
      <c r="C43" s="836">
        <f ca="1">ROUND(C15*F43,0)</f>
        <v>0</v>
      </c>
      <c r="D43" s="1342" t="s">
        <v>711</v>
      </c>
      <c r="E43" s="3049" t="s">
        <v>2937</v>
      </c>
      <c r="F43" s="3050">
        <f ca="1">INDIRECT("'数据-取费表'!j"&amp;$G$1)</f>
        <v>0</v>
      </c>
      <c r="G43" s="2038"/>
      <c r="H43" s="2038"/>
      <c r="I43" s="2038"/>
      <c r="J43" s="2038"/>
      <c r="K43" s="2059"/>
      <c r="L43" s="2038"/>
      <c r="M43" s="2038"/>
    </row>
    <row r="44" spans="1:18" ht="18" customHeight="1">
      <c r="A44" s="803" t="s">
        <v>1856</v>
      </c>
      <c r="B44" s="835" t="s">
        <v>712</v>
      </c>
      <c r="C44" s="1343">
        <f ca="1">C42-C43</f>
        <v>0</v>
      </c>
      <c r="D44" s="463" t="s">
        <v>713</v>
      </c>
      <c r="E44" s="464"/>
      <c r="F44" s="465"/>
      <c r="G44" s="2038"/>
      <c r="H44" s="2038"/>
      <c r="I44" s="2038"/>
      <c r="J44" s="2038"/>
      <c r="K44" s="2059"/>
      <c r="L44" s="2038"/>
      <c r="M44" s="2038"/>
    </row>
    <row r="45" spans="1:18" ht="18" customHeight="1">
      <c r="A45" s="803" t="s">
        <v>1857</v>
      </c>
      <c r="B45" s="1342" t="s">
        <v>714</v>
      </c>
      <c r="C45" s="2965">
        <f ca="1">ROUND(-PV(F45,F46,C44,0),0)</f>
        <v>0</v>
      </c>
      <c r="D45" s="1344" t="s">
        <v>715</v>
      </c>
      <c r="E45" s="806" t="s">
        <v>716</v>
      </c>
      <c r="F45" s="830">
        <f ca="1">INDIRECT("'数据-取费表'!h"&amp;$G$1)</f>
        <v>0</v>
      </c>
      <c r="G45" s="2038"/>
      <c r="H45" s="2038"/>
      <c r="I45" s="2038"/>
      <c r="J45" s="2038"/>
      <c r="K45" s="2059"/>
      <c r="L45" s="2038"/>
      <c r="M45" s="2038"/>
    </row>
    <row r="46" spans="1:18" ht="18" customHeight="1" thickBot="1">
      <c r="A46" s="831"/>
      <c r="B46" s="1345"/>
      <c r="C46" s="1346"/>
      <c r="D46" s="1347"/>
      <c r="E46" s="3051" t="s">
        <v>2940</v>
      </c>
      <c r="F46" s="828">
        <f ca="1">IF(INDIRECT("'数据-取费表'!af"&amp;$G$1)=0,INDIRECT("'数据-取费表'!ae"&amp;$G$1),INDIRECT("'数据-取费表'!af"&amp;$G$1))</f>
        <v>0</v>
      </c>
      <c r="G46" s="2038"/>
      <c r="H46" s="2038"/>
      <c r="I46" s="2038"/>
      <c r="J46" s="2038"/>
      <c r="K46" s="2059"/>
      <c r="L46" s="2038"/>
      <c r="M46" s="2038"/>
    </row>
    <row r="47" spans="1:18" s="2035" customFormat="1" ht="18" customHeight="1" thickBot="1">
      <c r="A47" s="2060"/>
      <c r="D47" s="2061"/>
      <c r="E47" s="2061"/>
      <c r="F47" s="2061"/>
      <c r="I47" s="2317" t="s">
        <v>2318</v>
      </c>
      <c r="J47" s="2318"/>
      <c r="K47" s="2319"/>
      <c r="L47" s="3083" t="str">
        <f ca="1">IF(M48="住宅",0,IF(L49&gt;J52,L61,J61))</f>
        <v>0</v>
      </c>
      <c r="O47" s="2333" t="s">
        <v>2385</v>
      </c>
      <c r="P47" s="1569"/>
      <c r="Q47" s="1580"/>
      <c r="R47" s="1569"/>
    </row>
    <row r="48" spans="1:18" s="2035" customFormat="1" ht="18" customHeight="1" thickBot="1">
      <c r="A48" s="2060"/>
      <c r="C48" s="2063"/>
      <c r="D48" s="2064"/>
      <c r="E48" s="2064"/>
      <c r="F48" s="2065"/>
      <c r="G48" s="2066"/>
      <c r="I48" s="3074" t="s">
        <v>2319</v>
      </c>
      <c r="J48" s="2320"/>
      <c r="K48" s="3080" t="s">
        <v>2324</v>
      </c>
      <c r="L48" s="3084">
        <f ca="1">INDIRECT("'数据-取费表'!d"&amp;$G$1)</f>
        <v>0</v>
      </c>
      <c r="M48" s="3048" t="str">
        <f>IF(ISNUMBER(FIND("住宅",C1)),"住宅","非住宅")</f>
        <v>非住宅</v>
      </c>
      <c r="O48" s="2334" t="s">
        <v>2350</v>
      </c>
      <c r="P48" s="2335" t="s">
        <v>2351</v>
      </c>
      <c r="Q48" s="2336" t="s">
        <v>2352</v>
      </c>
      <c r="R48" s="2335" t="s">
        <v>2353</v>
      </c>
    </row>
    <row r="49" spans="1:18" s="2035" customFormat="1" ht="18" customHeight="1" thickBot="1">
      <c r="A49" s="2060"/>
      <c r="D49" s="2067"/>
      <c r="E49" s="2068"/>
      <c r="F49" s="2065"/>
      <c r="G49" s="2066"/>
      <c r="H49" s="2069"/>
      <c r="I49" s="3053" t="s">
        <v>2320</v>
      </c>
      <c r="J49" s="2321"/>
      <c r="K49" s="3081" t="s">
        <v>2326</v>
      </c>
      <c r="L49" s="1884">
        <f ca="1">INDIRECT("'数据-取费表'!f"&amp;$G$1)</f>
        <v>0</v>
      </c>
      <c r="O49" s="2337" t="s">
        <v>2354</v>
      </c>
      <c r="P49" s="2338" t="s">
        <v>2380</v>
      </c>
      <c r="Q49" s="2339">
        <f ca="1">C41+J31</f>
        <v>0</v>
      </c>
      <c r="R49" s="2338" t="s">
        <v>2355</v>
      </c>
    </row>
    <row r="50" spans="1:18" s="2035" customFormat="1" ht="18" customHeight="1" thickBot="1">
      <c r="A50" s="2060"/>
      <c r="D50" s="2070"/>
      <c r="E50" s="2070"/>
      <c r="F50" s="2064"/>
      <c r="G50" s="2071"/>
      <c r="H50" s="2069"/>
      <c r="I50" s="3053" t="s">
        <v>2321</v>
      </c>
      <c r="J50" s="2322"/>
      <c r="K50" s="3082" t="s">
        <v>2327</v>
      </c>
      <c r="L50" s="2323"/>
      <c r="O50" s="2337" t="s">
        <v>2356</v>
      </c>
      <c r="P50" s="2338" t="s">
        <v>2381</v>
      </c>
      <c r="Q50" s="2339" t="str">
        <f ca="1">J61</f>
        <v>0</v>
      </c>
      <c r="R50" s="2338" t="s">
        <v>2357</v>
      </c>
    </row>
    <row r="51" spans="1:18" s="2035" customFormat="1" ht="18" customHeight="1" thickBot="1">
      <c r="A51" s="2072"/>
      <c r="D51" s="2070"/>
      <c r="E51" s="2070"/>
      <c r="F51" s="2061"/>
      <c r="H51" s="2069"/>
      <c r="I51" s="3053" t="s">
        <v>2322</v>
      </c>
      <c r="J51" s="3078">
        <f>SUMPRODUCT((I64:I66=J48)*(J63:L63=J49)*(J64:L66))</f>
        <v>0</v>
      </c>
      <c r="K51" s="3082" t="s">
        <v>2328</v>
      </c>
      <c r="L51" s="2323"/>
      <c r="O51" s="2340" t="s">
        <v>2358</v>
      </c>
      <c r="P51" s="2338" t="s">
        <v>2382</v>
      </c>
      <c r="Q51" s="2339">
        <f ca="1">C31</f>
        <v>0</v>
      </c>
      <c r="R51" s="2338" t="s">
        <v>2355</v>
      </c>
    </row>
    <row r="52" spans="1:18" s="2035" customFormat="1" ht="18" customHeight="1" thickBot="1">
      <c r="A52" s="2072"/>
      <c r="F52" s="2061"/>
      <c r="I52" s="3075" t="s">
        <v>2323</v>
      </c>
      <c r="J52" s="3079">
        <f>IF(J50="",J51,J50+J51-YEAR('数据-取费表'!B3))</f>
        <v>0</v>
      </c>
      <c r="K52" s="3053" t="s">
        <v>2329</v>
      </c>
      <c r="L52" s="3085">
        <f ca="1">ROUND(-PV(INDIRECT("'数据-取费表'!h"&amp;$G$1),L49,(C40-C14*J36),0),0)</f>
        <v>0</v>
      </c>
      <c r="O52" s="2340" t="s">
        <v>2359</v>
      </c>
      <c r="P52" s="2338" t="s">
        <v>2360</v>
      </c>
      <c r="Q52" s="2341" t="e">
        <f ca="1">J59</f>
        <v>#VALUE!</v>
      </c>
      <c r="R52" s="2342"/>
    </row>
    <row r="53" spans="1:18" s="2035" customFormat="1" ht="18" customHeight="1" thickBot="1">
      <c r="A53" s="2072"/>
      <c r="F53" s="2061"/>
      <c r="I53" s="3076" t="s">
        <v>2396</v>
      </c>
      <c r="J53" s="2324"/>
      <c r="K53" s="3076" t="s">
        <v>2395</v>
      </c>
      <c r="L53" s="2324"/>
      <c r="O53" s="2340" t="s">
        <v>2361</v>
      </c>
      <c r="P53" s="2338" t="s">
        <v>2362</v>
      </c>
      <c r="Q53" s="2341">
        <f>J53</f>
        <v>0</v>
      </c>
      <c r="R53" s="2342"/>
    </row>
    <row r="54" spans="1:18" s="2035" customFormat="1" ht="29.25" thickBot="1">
      <c r="A54" s="2072"/>
      <c r="I54" s="3077" t="s">
        <v>2953</v>
      </c>
      <c r="J54" s="3157">
        <f ca="1">IF(M48="住宅",MAX(J52,L49),MIN(J52,L49))</f>
        <v>0</v>
      </c>
      <c r="K54" s="3867"/>
      <c r="L54" s="3868"/>
      <c r="O54" s="2340" t="s">
        <v>2363</v>
      </c>
      <c r="P54" s="2338" t="s">
        <v>2364</v>
      </c>
      <c r="Q54" s="2339">
        <f ca="1">J54</f>
        <v>0</v>
      </c>
      <c r="R54" s="2338" t="s">
        <v>2365</v>
      </c>
    </row>
    <row r="55" spans="1:18" s="2035" customFormat="1" ht="18" customHeight="1" thickBot="1">
      <c r="A55" s="2072"/>
      <c r="I55" s="308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86"/>
      <c r="K55" s="3087"/>
      <c r="O55" s="2337" t="s">
        <v>2366</v>
      </c>
      <c r="P55" s="2338" t="s">
        <v>2383</v>
      </c>
      <c r="Q55" s="2339">
        <f ca="1">Q49+Q50</f>
        <v>0</v>
      </c>
      <c r="R55" s="2342" t="s">
        <v>2367</v>
      </c>
    </row>
    <row r="56" spans="1:18" s="2035" customFormat="1" ht="16.5" thickBot="1">
      <c r="A56" s="2072"/>
      <c r="B56" s="2073"/>
      <c r="C56" s="2073"/>
      <c r="I56" s="3088" t="s">
        <v>2330</v>
      </c>
      <c r="J56" s="3028" t="e">
        <f ca="1">ROUND(IF(J48="钢混",J58/J51,1-(1-2%)*(J51-J58)/J51),3)</f>
        <v>#VALUE!</v>
      </c>
      <c r="K56" s="3089" t="s">
        <v>2331</v>
      </c>
      <c r="L56" s="2325"/>
      <c r="O56" s="2343" t="s">
        <v>2386</v>
      </c>
      <c r="P56" s="1569"/>
      <c r="Q56" s="1580"/>
      <c r="R56" s="1569"/>
    </row>
    <row r="57" spans="1:18" s="2035" customFormat="1" ht="43.5" thickBot="1">
      <c r="A57" s="2072"/>
      <c r="B57" s="2073"/>
      <c r="C57" s="2073"/>
      <c r="I57" s="3090" t="s">
        <v>2332</v>
      </c>
      <c r="J57" s="3100" t="s">
        <v>1656</v>
      </c>
      <c r="K57" s="3053" t="s">
        <v>2337</v>
      </c>
      <c r="L57" s="1884">
        <f ca="1">IF(L49&lt;J52,"——",L49-J52)</f>
        <v>0</v>
      </c>
      <c r="O57" s="2334" t="s">
        <v>2350</v>
      </c>
      <c r="P57" s="2335" t="s">
        <v>2351</v>
      </c>
      <c r="Q57" s="2336" t="s">
        <v>2352</v>
      </c>
      <c r="R57" s="2335" t="s">
        <v>2353</v>
      </c>
    </row>
    <row r="58" spans="1:18" s="2035" customFormat="1" ht="29.25" thickBot="1">
      <c r="A58" s="2072"/>
      <c r="B58" s="2073"/>
      <c r="C58" s="2073"/>
      <c r="I58" s="3091" t="s">
        <v>2333</v>
      </c>
      <c r="J58" s="3092" t="str">
        <f ca="1">IF(OR(M48="住宅",J52&lt;L49,J57="是"),"——",J52-L49)</f>
        <v>——</v>
      </c>
      <c r="K58" s="3053" t="s">
        <v>2338</v>
      </c>
      <c r="L58" s="1884">
        <f ca="1">IF(L49&lt;J52,"——",IF(L56="比较法",L50,IF(L56="基准地价",L51,L52)))</f>
        <v>0</v>
      </c>
      <c r="O58" s="2337" t="s">
        <v>2354</v>
      </c>
      <c r="P58" s="2338" t="s">
        <v>2380</v>
      </c>
      <c r="Q58" s="2339">
        <f ca="1">C41+J31</f>
        <v>0</v>
      </c>
      <c r="R58" s="2338" t="s">
        <v>2355</v>
      </c>
    </row>
    <row r="59" spans="1:18" s="2035" customFormat="1" ht="29.25" thickBot="1">
      <c r="A59" s="2072"/>
      <c r="B59" s="2073"/>
      <c r="C59" s="2073"/>
      <c r="I59" s="3091" t="s">
        <v>2334</v>
      </c>
      <c r="J59" s="3029" t="e">
        <f ca="1">IF(J56&lt;0.4,0.4,J56)</f>
        <v>#VALUE!</v>
      </c>
      <c r="K59" s="3053" t="s">
        <v>2339</v>
      </c>
      <c r="L59" s="1884">
        <f ca="1">IF(ISERROR(POWER(1+L53,L48-L49)*(POWER(1+L53,L49)-1)/(POWER(1+L53,L48)-1)),0,POWER(1+L53,L48-L49)*(POWER(1+L53,L49)-1)/(POWER(1+L53,L48)-1))</f>
        <v>0</v>
      </c>
      <c r="O59" s="2337" t="s">
        <v>2356</v>
      </c>
      <c r="P59" s="2338" t="s">
        <v>2387</v>
      </c>
      <c r="Q59" s="2339" t="e">
        <f ca="1">L61</f>
        <v>#DIV/0!</v>
      </c>
      <c r="R59" s="2342" t="s">
        <v>2389</v>
      </c>
    </row>
    <row r="60" spans="1:18" s="2035" customFormat="1" ht="29.25" thickBot="1">
      <c r="A60" s="2072"/>
      <c r="B60" s="2073"/>
      <c r="C60" s="2073"/>
      <c r="I60" s="3091" t="s">
        <v>2335</v>
      </c>
      <c r="J60" s="3092" t="str">
        <f ca="1">IF(OR(M48="住宅",J52&lt;L49,J57="是"),"——",ROUND(C30*J59,0))</f>
        <v>——</v>
      </c>
      <c r="K60" s="3053" t="s">
        <v>2340</v>
      </c>
      <c r="L60" s="1884">
        <f ca="1">IF(ISERROR(POWER(1+L53,L48-J52)*(POWER(1+L53,J52)-1)/(POWER(1+L53,L48)-1)),0,POWER(1+L53,L48-J52)*(POWER(1+L53,J52)-1)/(POWER(1+L53,L48)-1))</f>
        <v>0</v>
      </c>
      <c r="O60" s="2340" t="s">
        <v>2358</v>
      </c>
      <c r="P60" s="2338" t="s">
        <v>2388</v>
      </c>
      <c r="Q60" s="2339">
        <f>IF(L56="比较法",L50,IF(L56="基准地价",L51,0))</f>
        <v>0</v>
      </c>
      <c r="R60" s="2338" t="s">
        <v>2355</v>
      </c>
    </row>
    <row r="61" spans="1:18" s="2035" customFormat="1" ht="15.75" thickBot="1">
      <c r="A61" s="2072"/>
      <c r="B61" s="2073"/>
      <c r="C61" s="2073"/>
      <c r="I61" s="3093" t="s">
        <v>2336</v>
      </c>
      <c r="J61" s="3094" t="str">
        <f ca="1">IF(OR(M48="住宅",J52&lt;L49,J57="是"),"0",ROUND(J60/(1+J53)^J54,0))</f>
        <v>0</v>
      </c>
      <c r="K61" s="3095" t="s">
        <v>2341</v>
      </c>
      <c r="L61" s="3094" t="e">
        <f ca="1">IF(OR(M48="住宅",L49&lt;J52),0,ROUND(L58*(L59/L60-1),0))</f>
        <v>#DIV/0!</v>
      </c>
      <c r="O61" s="2340" t="s">
        <v>2359</v>
      </c>
      <c r="P61" s="2338" t="s">
        <v>2368</v>
      </c>
      <c r="Q61" s="2341">
        <f>L53</f>
        <v>0</v>
      </c>
      <c r="R61" s="2342"/>
    </row>
    <row r="62" spans="1:18" s="2035" customFormat="1" ht="20.25" thickBot="1">
      <c r="A62" s="2072"/>
      <c r="B62" s="2073"/>
      <c r="C62" s="2073"/>
      <c r="K62" s="2062"/>
      <c r="O62" s="2340" t="s">
        <v>2361</v>
      </c>
      <c r="P62" s="2338" t="s">
        <v>2369</v>
      </c>
      <c r="Q62" s="2339">
        <f ca="1">L59</f>
        <v>0</v>
      </c>
      <c r="R62" s="2342" t="s">
        <v>2370</v>
      </c>
    </row>
    <row r="63" spans="1:18" s="2035" customFormat="1" ht="20.25" thickBot="1">
      <c r="A63" s="2072"/>
      <c r="B63" s="2073"/>
      <c r="C63" s="2073"/>
      <c r="I63" s="3096" t="s">
        <v>2342</v>
      </c>
      <c r="J63" s="3097" t="s">
        <v>2343</v>
      </c>
      <c r="K63" s="3097" t="s">
        <v>2344</v>
      </c>
      <c r="L63" s="3097" t="s">
        <v>2325</v>
      </c>
      <c r="M63" s="3098" t="s">
        <v>2918</v>
      </c>
      <c r="O63" s="2340" t="s">
        <v>2363</v>
      </c>
      <c r="P63" s="2338" t="s">
        <v>2371</v>
      </c>
      <c r="Q63" s="2339">
        <f ca="1">L60</f>
        <v>0</v>
      </c>
      <c r="R63" s="2342" t="s">
        <v>2372</v>
      </c>
    </row>
    <row r="64" spans="1:18" s="2035" customFormat="1" ht="15.75" thickBot="1">
      <c r="A64" s="2072"/>
      <c r="B64" s="2073"/>
      <c r="C64" s="2073"/>
      <c r="I64" s="3096" t="s">
        <v>2345</v>
      </c>
      <c r="J64" s="3097">
        <v>70</v>
      </c>
      <c r="K64" s="3097">
        <v>50</v>
      </c>
      <c r="L64" s="3097">
        <v>80</v>
      </c>
      <c r="M64" s="3099">
        <v>0.02</v>
      </c>
      <c r="O64" s="2337" t="s">
        <v>2366</v>
      </c>
      <c r="P64" s="2338" t="s">
        <v>2383</v>
      </c>
      <c r="Q64" s="2339" t="e">
        <f ca="1">Q58+Q59</f>
        <v>#DIV/0!</v>
      </c>
      <c r="R64" s="2342" t="s">
        <v>2367</v>
      </c>
    </row>
    <row r="65" spans="1:18" s="2035" customFormat="1" ht="16.5" thickBot="1">
      <c r="A65" s="2072"/>
      <c r="B65" s="2073"/>
      <c r="C65" s="2073"/>
      <c r="I65" s="3096" t="s">
        <v>2346</v>
      </c>
      <c r="J65" s="3097">
        <v>50</v>
      </c>
      <c r="K65" s="3097">
        <v>35</v>
      </c>
      <c r="L65" s="3097">
        <v>60</v>
      </c>
      <c r="M65" s="846">
        <v>0</v>
      </c>
      <c r="O65" s="2343" t="s">
        <v>2390</v>
      </c>
      <c r="P65" s="1569"/>
      <c r="Q65" s="1580"/>
      <c r="R65" s="1569"/>
    </row>
    <row r="66" spans="1:18" s="2035" customFormat="1" ht="15.75" thickBot="1">
      <c r="A66" s="2072"/>
      <c r="B66" s="2073"/>
      <c r="C66" s="2073"/>
      <c r="I66" s="3096" t="s">
        <v>2347</v>
      </c>
      <c r="J66" s="3097">
        <v>40</v>
      </c>
      <c r="K66" s="3097">
        <v>30</v>
      </c>
      <c r="L66" s="3097">
        <v>50</v>
      </c>
      <c r="M66" s="3099">
        <v>0.02</v>
      </c>
      <c r="O66" s="2334" t="s">
        <v>2350</v>
      </c>
      <c r="P66" s="2335" t="s">
        <v>2351</v>
      </c>
      <c r="Q66" s="2336" t="s">
        <v>2352</v>
      </c>
      <c r="R66" s="2335" t="s">
        <v>2353</v>
      </c>
    </row>
    <row r="67" spans="1:18" s="2035" customFormat="1" ht="15.75" thickBot="1">
      <c r="A67" s="2072"/>
      <c r="B67" s="2073"/>
      <c r="C67" s="2073"/>
      <c r="K67" s="2062"/>
      <c r="O67" s="2337" t="s">
        <v>2354</v>
      </c>
      <c r="P67" s="2338" t="s">
        <v>2380</v>
      </c>
      <c r="Q67" s="2339">
        <f ca="1">C41+J31</f>
        <v>0</v>
      </c>
      <c r="R67" s="2338" t="s">
        <v>2355</v>
      </c>
    </row>
    <row r="68" spans="1:18" s="2035" customFormat="1" ht="20.25" thickBot="1">
      <c r="A68" s="2072"/>
      <c r="B68" s="2073"/>
      <c r="C68" s="2073"/>
      <c r="K68" s="2062"/>
      <c r="O68" s="2337" t="s">
        <v>2356</v>
      </c>
      <c r="P68" s="2338" t="s">
        <v>2387</v>
      </c>
      <c r="Q68" s="2339" t="e">
        <f ca="1">L61</f>
        <v>#DIV/0!</v>
      </c>
      <c r="R68" s="2342" t="s">
        <v>2389</v>
      </c>
    </row>
    <row r="69" spans="1:18" s="2035" customFormat="1" ht="21.75" thickBot="1">
      <c r="A69" s="2072"/>
      <c r="B69" s="2073"/>
      <c r="C69" s="2073"/>
      <c r="K69" s="2062"/>
      <c r="O69" s="2340" t="s">
        <v>2358</v>
      </c>
      <c r="P69" s="2338" t="s">
        <v>2388</v>
      </c>
      <c r="Q69" s="2344">
        <f ca="1">L52</f>
        <v>0</v>
      </c>
      <c r="R69" s="2345" t="s">
        <v>2391</v>
      </c>
    </row>
    <row r="70" spans="1:18" s="2035" customFormat="1" ht="20.25" thickBot="1">
      <c r="A70" s="2072"/>
      <c r="B70" s="2073"/>
      <c r="C70" s="2073"/>
      <c r="K70" s="2062"/>
      <c r="O70" s="2340" t="s">
        <v>2359</v>
      </c>
      <c r="P70" s="2346" t="s">
        <v>2373</v>
      </c>
      <c r="Q70" s="2339">
        <f ca="1">ROUND(Q71-Q72*Q73,0)</f>
        <v>0</v>
      </c>
      <c r="R70" s="2342"/>
    </row>
    <row r="71" spans="1:18" s="2035" customFormat="1" ht="15.75" thickBot="1">
      <c r="A71" s="2072"/>
      <c r="B71" s="2073"/>
      <c r="C71" s="2073"/>
      <c r="K71" s="2062"/>
      <c r="O71" s="2340" t="s">
        <v>2374</v>
      </c>
      <c r="P71" s="2346" t="s">
        <v>2375</v>
      </c>
      <c r="Q71" s="2339">
        <f ca="1">C42</f>
        <v>0</v>
      </c>
      <c r="R71" s="2338" t="s">
        <v>2355</v>
      </c>
    </row>
    <row r="72" spans="1:18" s="2035" customFormat="1" ht="15.75" thickBot="1">
      <c r="A72" s="2072"/>
      <c r="B72" s="2073"/>
      <c r="C72" s="2073"/>
      <c r="K72" s="2062"/>
      <c r="O72" s="2340" t="s">
        <v>2376</v>
      </c>
      <c r="P72" s="2346" t="s">
        <v>2377</v>
      </c>
      <c r="Q72" s="2339">
        <f ca="1">C15</f>
        <v>0</v>
      </c>
      <c r="R72" s="2338" t="s">
        <v>2355</v>
      </c>
    </row>
    <row r="73" spans="1:18" s="2035" customFormat="1" ht="15.75" thickBot="1">
      <c r="A73" s="2072"/>
      <c r="B73" s="2073"/>
      <c r="C73" s="2073"/>
      <c r="K73" s="2062"/>
      <c r="O73" s="2340" t="s">
        <v>2378</v>
      </c>
      <c r="P73" s="2346" t="s">
        <v>2379</v>
      </c>
      <c r="Q73" s="2341">
        <f ca="1">F43</f>
        <v>0</v>
      </c>
      <c r="R73" s="2342"/>
    </row>
    <row r="74" spans="1:18" s="2035" customFormat="1" ht="15.75" thickBot="1">
      <c r="A74" s="2072"/>
      <c r="B74" s="2073"/>
      <c r="C74" s="2073"/>
      <c r="K74" s="2062"/>
      <c r="O74" s="2340" t="s">
        <v>2361</v>
      </c>
      <c r="P74" s="2338" t="s">
        <v>2368</v>
      </c>
      <c r="Q74" s="2341">
        <f>L53</f>
        <v>0</v>
      </c>
      <c r="R74" s="2342"/>
    </row>
    <row r="75" spans="1:18" s="2035" customFormat="1" ht="20.25" thickBot="1">
      <c r="A75" s="2072"/>
      <c r="B75" s="2073"/>
      <c r="C75" s="2073"/>
      <c r="K75" s="2062"/>
      <c r="O75" s="2340" t="s">
        <v>2363</v>
      </c>
      <c r="P75" s="2338" t="s">
        <v>2369</v>
      </c>
      <c r="Q75" s="2339">
        <f ca="1">L59</f>
        <v>0</v>
      </c>
      <c r="R75" s="2342" t="s">
        <v>2370</v>
      </c>
    </row>
    <row r="76" spans="1:18" s="2035" customFormat="1" ht="20.25" thickBot="1">
      <c r="A76" s="2072"/>
      <c r="B76" s="2073"/>
      <c r="C76" s="2073"/>
      <c r="K76" s="2062"/>
      <c r="O76" s="2340" t="s">
        <v>2392</v>
      </c>
      <c r="P76" s="2338" t="s">
        <v>2371</v>
      </c>
      <c r="Q76" s="2339">
        <f ca="1">L60</f>
        <v>0</v>
      </c>
      <c r="R76" s="2342" t="s">
        <v>2372</v>
      </c>
    </row>
    <row r="77" spans="1:18" s="2035" customFormat="1" ht="15.75" thickBot="1">
      <c r="A77" s="2072"/>
      <c r="B77" s="2073"/>
      <c r="C77" s="2073"/>
      <c r="K77" s="2062"/>
      <c r="O77" s="2337" t="s">
        <v>2366</v>
      </c>
      <c r="P77" s="2338" t="s">
        <v>2383</v>
      </c>
      <c r="Q77" s="2339" t="e">
        <f ca="1">Q67+Q68</f>
        <v>#DIV/0!</v>
      </c>
      <c r="R77" s="2342" t="s">
        <v>2367</v>
      </c>
    </row>
    <row r="78" spans="1:18" s="2035" customFormat="1">
      <c r="A78" s="2072"/>
      <c r="B78" s="2073"/>
      <c r="C78" s="2073"/>
      <c r="K78" s="2062"/>
    </row>
    <row r="79" spans="1:18" s="2035" customFormat="1">
      <c r="A79" s="2072"/>
      <c r="B79" s="2073"/>
      <c r="C79" s="2073"/>
      <c r="K79" s="2062"/>
    </row>
    <row r="80" spans="1:18" s="2035" customFormat="1">
      <c r="A80" s="2072"/>
      <c r="B80" s="2073"/>
      <c r="C80" s="2073"/>
      <c r="K80" s="2062"/>
    </row>
    <row r="81" spans="1:11" s="2035" customFormat="1">
      <c r="A81" s="2072"/>
      <c r="B81" s="2073"/>
      <c r="C81" s="2073"/>
      <c r="K81" s="2062"/>
    </row>
    <row r="82" spans="1:11" s="2035" customFormat="1">
      <c r="A82" s="2072"/>
      <c r="B82" s="2073"/>
      <c r="C82" s="2073"/>
      <c r="K82" s="2062"/>
    </row>
    <row r="83" spans="1:11" s="2035" customFormat="1">
      <c r="A83" s="2072"/>
      <c r="B83" s="2073"/>
      <c r="C83" s="2073"/>
      <c r="K83" s="2062"/>
    </row>
    <row r="84" spans="1:11" s="2035" customFormat="1">
      <c r="A84" s="2072"/>
      <c r="B84" s="2073"/>
      <c r="C84" s="2073"/>
      <c r="K84" s="2062"/>
    </row>
    <row r="85" spans="1:11" s="2035" customFormat="1">
      <c r="A85" s="2072"/>
      <c r="B85" s="2073"/>
      <c r="C85" s="2073"/>
      <c r="K85" s="2062"/>
    </row>
    <row r="86" spans="1:11" s="2035" customFormat="1">
      <c r="A86" s="2072"/>
      <c r="B86" s="2073"/>
      <c r="C86" s="2073"/>
      <c r="K86" s="2062"/>
    </row>
    <row r="87" spans="1:11" s="2035" customFormat="1">
      <c r="A87" s="2072"/>
      <c r="B87" s="2073"/>
      <c r="C87" s="2073"/>
      <c r="K87" s="2062"/>
    </row>
    <row r="88" spans="1:11" s="2035" customFormat="1">
      <c r="A88" s="2072"/>
      <c r="B88" s="2073"/>
      <c r="C88" s="2073"/>
      <c r="K88" s="2062"/>
    </row>
    <row r="89" spans="1:11" s="2035" customFormat="1">
      <c r="A89" s="2072"/>
      <c r="B89" s="2073"/>
      <c r="C89" s="2073"/>
      <c r="K89" s="2062"/>
    </row>
    <row r="90" spans="1:11" s="2035" customFormat="1">
      <c r="A90" s="2072"/>
      <c r="B90" s="2073"/>
      <c r="C90" s="2073"/>
      <c r="K90" s="2062"/>
    </row>
    <row r="91" spans="1:11" s="2035" customFormat="1">
      <c r="A91" s="2072"/>
      <c r="B91" s="2073"/>
      <c r="C91" s="2073"/>
      <c r="K91" s="2062"/>
    </row>
    <row r="92" spans="1:11" s="2035" customFormat="1">
      <c r="A92" s="2072"/>
      <c r="B92" s="2073"/>
      <c r="C92" s="2073"/>
      <c r="K92" s="2062"/>
    </row>
    <row r="93" spans="1:11" s="2035" customFormat="1">
      <c r="A93" s="2072"/>
      <c r="B93" s="2073"/>
      <c r="C93" s="2073"/>
      <c r="K93" s="2062"/>
    </row>
    <row r="94" spans="1:11" s="2035" customFormat="1">
      <c r="A94" s="2072"/>
      <c r="B94" s="2073"/>
      <c r="C94" s="2073"/>
      <c r="K94" s="2062"/>
    </row>
  </sheetData>
  <sheetProtection password="C66D" sheet="1" objects="1" scenarios="1" formatCells="0" formatColumns="0" formatRows="0"/>
  <mergeCells count="4">
    <mergeCell ref="I36:I37"/>
    <mergeCell ref="B8:B11"/>
    <mergeCell ref="I8:I11"/>
    <mergeCell ref="K54:L54"/>
  </mergeCells>
  <phoneticPr fontId="6"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1" sqref="F41"/>
    </sheetView>
  </sheetViews>
  <sheetFormatPr defaultColWidth="9" defaultRowHeight="15"/>
  <cols>
    <col min="1" max="1" width="9" style="2036" customWidth="1"/>
    <col min="2" max="2" width="20.625" style="2075" customWidth="1"/>
    <col min="3" max="3" width="11.875" style="2075" customWidth="1"/>
    <col min="4" max="4" width="40.5" style="2036" customWidth="1"/>
    <col min="5" max="5" width="15.625" style="2036" customWidth="1"/>
    <col min="6" max="6" width="10.625" style="2036" customWidth="1"/>
    <col min="7" max="7" width="4.875" style="2036" customWidth="1"/>
    <col min="8" max="8" width="8.5" style="2036" customWidth="1"/>
    <col min="9" max="9" width="21.125" style="2036" customWidth="1"/>
    <col min="10" max="10" width="12.125" style="2036" customWidth="1"/>
    <col min="11" max="11" width="40.125" style="2076" customWidth="1"/>
    <col min="12" max="12" width="18.375" style="2036" customWidth="1"/>
    <col min="13" max="13" width="13" style="2036" customWidth="1"/>
    <col min="14" max="14" width="9.5" style="2035" bestFit="1" customWidth="1"/>
    <col min="15" max="15" width="5.875" style="2035" customWidth="1"/>
    <col min="16" max="16" width="27.625" style="2035" customWidth="1"/>
    <col min="17" max="17" width="13.625" style="2073" customWidth="1"/>
    <col min="18" max="18" width="23.5" style="2035" customWidth="1"/>
    <col min="19" max="19" width="1.5" style="2035" customWidth="1"/>
    <col min="20" max="33" width="9" style="2035"/>
    <col min="34" max="16384" width="9" style="2036"/>
  </cols>
  <sheetData>
    <row r="1" spans="1:33" s="2030" customFormat="1" ht="21">
      <c r="A1" s="832" t="s">
        <v>1703</v>
      </c>
      <c r="B1" s="738"/>
      <c r="C1" s="773" t="s">
        <v>3014</v>
      </c>
      <c r="D1" s="3052" t="s">
        <v>930</v>
      </c>
      <c r="E1" s="2326" t="s">
        <v>2349</v>
      </c>
      <c r="F1" s="2327">
        <f ca="1">J53</f>
        <v>40</v>
      </c>
      <c r="G1" s="774">
        <f>MATCH(C1,'数据-取费表'!A6:A16,0)+5</f>
        <v>6</v>
      </c>
      <c r="H1" s="2026"/>
      <c r="I1" s="2027"/>
      <c r="J1" s="2027"/>
      <c r="K1" s="2028"/>
      <c r="L1" s="2027"/>
      <c r="M1" s="2027"/>
      <c r="N1" s="2029"/>
      <c r="O1" s="2029"/>
      <c r="P1" s="2029"/>
      <c r="Q1" s="2331"/>
      <c r="R1" s="2029"/>
      <c r="S1" s="2029"/>
      <c r="T1" s="2029"/>
      <c r="U1" s="2029"/>
      <c r="V1" s="2029"/>
      <c r="W1" s="2029"/>
      <c r="X1" s="2029"/>
      <c r="Y1" s="2029"/>
      <c r="Z1" s="2029"/>
      <c r="AA1" s="2029"/>
      <c r="AB1" s="2029"/>
      <c r="AC1" s="2029"/>
      <c r="AD1" s="2029"/>
      <c r="AE1" s="2029"/>
      <c r="AF1" s="2029"/>
      <c r="AG1" s="2029"/>
    </row>
    <row r="2" spans="1:33" ht="18" customHeight="1">
      <c r="A2" s="423" t="s">
        <v>1704</v>
      </c>
      <c r="B2" s="775">
        <f ca="1">C40+J29+L46</f>
        <v>583649</v>
      </c>
      <c r="C2" s="2033"/>
      <c r="D2" s="2031"/>
      <c r="E2" s="2032"/>
      <c r="F2" s="2032"/>
      <c r="G2" s="1567"/>
      <c r="H2" s="2033"/>
      <c r="I2" s="2033"/>
      <c r="J2" s="2033"/>
      <c r="K2" s="2034"/>
      <c r="L2" s="2033"/>
      <c r="M2" s="2033"/>
    </row>
    <row r="3" spans="1:33" ht="18" customHeight="1" thickBot="1">
      <c r="A3" s="833" t="s">
        <v>1705</v>
      </c>
      <c r="B3" s="834">
        <f ca="1">IF(ISERROR(B2*10000/F43),0,ROUND(B2*10000/F43,0))</f>
        <v>16285</v>
      </c>
      <c r="C3" s="2033"/>
      <c r="D3" s="2031"/>
      <c r="E3" s="2032"/>
      <c r="F3" s="2032"/>
      <c r="G3" s="1567"/>
      <c r="H3" s="776" t="s">
        <v>694</v>
      </c>
      <c r="I3" s="1349"/>
      <c r="J3" s="1349"/>
      <c r="K3" s="1568"/>
      <c r="L3" s="1349"/>
      <c r="M3" s="1349"/>
    </row>
    <row r="4" spans="1:33" ht="18" customHeight="1">
      <c r="A4" s="777" t="s">
        <v>1706</v>
      </c>
      <c r="B4" s="778" t="s">
        <v>1707</v>
      </c>
      <c r="C4" s="778" t="s">
        <v>1708</v>
      </c>
      <c r="D4" s="778" t="s">
        <v>632</v>
      </c>
      <c r="E4" s="779" t="s">
        <v>1709</v>
      </c>
      <c r="F4" s="780"/>
      <c r="G4" s="1569"/>
      <c r="H4" s="777" t="s">
        <v>1710</v>
      </c>
      <c r="I4" s="778" t="s">
        <v>1711</v>
      </c>
      <c r="J4" s="778" t="s">
        <v>1712</v>
      </c>
      <c r="K4" s="778" t="s">
        <v>1713</v>
      </c>
      <c r="L4" s="779" t="s">
        <v>1714</v>
      </c>
      <c r="M4" s="780"/>
    </row>
    <row r="5" spans="1:33" ht="18" customHeight="1">
      <c r="A5" s="781">
        <v>1</v>
      </c>
      <c r="B5" s="782" t="s">
        <v>2433</v>
      </c>
      <c r="C5" s="55">
        <f ca="1">C6+C10+C12</f>
        <v>48330</v>
      </c>
      <c r="D5" s="2435" t="s">
        <v>2436</v>
      </c>
      <c r="E5" s="2429"/>
      <c r="F5" s="2430"/>
      <c r="G5" s="1569"/>
      <c r="H5" s="781">
        <v>1</v>
      </c>
      <c r="I5" s="782" t="s">
        <v>2433</v>
      </c>
      <c r="J5" s="55">
        <f ca="1">J6+J10+J12</f>
        <v>0</v>
      </c>
      <c r="K5" s="2435" t="s">
        <v>2436</v>
      </c>
      <c r="L5" s="2429"/>
      <c r="M5" s="2430"/>
    </row>
    <row r="6" spans="1:33" ht="18" customHeight="1">
      <c r="A6" s="1806" t="s">
        <v>1802</v>
      </c>
      <c r="B6" s="3863" t="s">
        <v>2438</v>
      </c>
      <c r="C6" s="783">
        <f ca="1">ROUND(F6*F8*F7*(1-F9)/10000,0)</f>
        <v>48270</v>
      </c>
      <c r="D6" s="2436" t="s">
        <v>2437</v>
      </c>
      <c r="E6" s="784" t="s">
        <v>1716</v>
      </c>
      <c r="F6" s="785">
        <f ca="1">INDIRECT("'数据-取费表'!u"&amp;$G$1)</f>
        <v>4.0999999999999996</v>
      </c>
      <c r="G6" s="1569"/>
      <c r="H6" s="2443" t="s">
        <v>2443</v>
      </c>
      <c r="I6" s="3863" t="s">
        <v>2438</v>
      </c>
      <c r="J6" s="783">
        <f ca="1">ROUND(M6*M8*M7*(1-M9)/10000,0)</f>
        <v>0</v>
      </c>
      <c r="K6" s="341" t="s">
        <v>1715</v>
      </c>
      <c r="L6" s="784" t="s">
        <v>1716</v>
      </c>
      <c r="M6" s="785">
        <f ca="1">INDIRECT("'数据-取费表'!z"&amp;$G$1)</f>
        <v>0</v>
      </c>
    </row>
    <row r="7" spans="1:33" ht="18" customHeight="1">
      <c r="A7" s="2439"/>
      <c r="B7" s="3864"/>
      <c r="C7" s="788"/>
      <c r="D7" s="789"/>
      <c r="E7" s="784" t="s">
        <v>1717</v>
      </c>
      <c r="F7" s="785">
        <f ca="1">IF(INDIRECT("'数据-取费表'!ah"&amp;$G$1)="",INDIRECT("'数据-取费表'!k"&amp;$G$1),INDIRECT("'数据-取费表'!ah"&amp;$G$1))</f>
        <v>358392.93</v>
      </c>
      <c r="G7" s="1569"/>
      <c r="H7" s="2428"/>
      <c r="I7" s="3864"/>
      <c r="J7" s="788"/>
      <c r="K7" s="789"/>
      <c r="L7" s="784" t="s">
        <v>1717</v>
      </c>
      <c r="M7" s="785">
        <f ca="1">F7</f>
        <v>358392.93</v>
      </c>
    </row>
    <row r="8" spans="1:33" ht="18" customHeight="1">
      <c r="A8" s="2432"/>
      <c r="B8" s="3865"/>
      <c r="C8" s="788"/>
      <c r="D8" s="789"/>
      <c r="E8" s="784" t="s">
        <v>1718</v>
      </c>
      <c r="F8" s="785">
        <f ca="1">INDIRECT("'数据-取费表'!ai"&amp;$G$1)</f>
        <v>365</v>
      </c>
      <c r="G8" s="1569"/>
      <c r="H8" s="2428"/>
      <c r="I8" s="3865"/>
      <c r="J8" s="788"/>
      <c r="K8" s="789"/>
      <c r="L8" s="784" t="s">
        <v>1718</v>
      </c>
      <c r="M8" s="785">
        <f ca="1">INDIRECT("'数据-取费表'!ai"&amp;$G$1)</f>
        <v>365</v>
      </c>
    </row>
    <row r="9" spans="1:33" ht="18" customHeight="1">
      <c r="A9" s="786"/>
      <c r="B9" s="3866"/>
      <c r="C9" s="788"/>
      <c r="D9" s="789"/>
      <c r="E9" s="784" t="s">
        <v>1719</v>
      </c>
      <c r="F9" s="794">
        <f ca="1">INDIRECT("'数据-取费表'!w"&amp;$G$1)</f>
        <v>0.1</v>
      </c>
      <c r="G9" s="1569"/>
      <c r="H9" s="2444"/>
      <c r="I9" s="3865"/>
      <c r="J9" s="788"/>
      <c r="K9" s="789"/>
      <c r="L9" s="795" t="s">
        <v>1719</v>
      </c>
      <c r="M9" s="796">
        <f ca="1">INDIRECT("'数据-取费表'!ab"&amp;$G$1)</f>
        <v>0</v>
      </c>
    </row>
    <row r="10" spans="1:33" ht="18" customHeight="1">
      <c r="A10" s="1806" t="s">
        <v>2441</v>
      </c>
      <c r="B10" s="2433" t="s">
        <v>2434</v>
      </c>
      <c r="C10" s="799">
        <f ca="1">ROUND(IF(F10="押一",C6/12*F11,IF(F10="押二",C6/12*2*F11,IF(F10="押三",C6/12*3*F11,C11*F11))),0)</f>
        <v>60</v>
      </c>
      <c r="D10" s="2440" t="s">
        <v>2949</v>
      </c>
      <c r="E10" s="2437" t="s">
        <v>2439</v>
      </c>
      <c r="F10" s="2560" t="s">
        <v>3021</v>
      </c>
      <c r="G10" s="1569"/>
      <c r="H10" s="2500" t="s">
        <v>2444</v>
      </c>
      <c r="I10" s="2505" t="s">
        <v>2434</v>
      </c>
      <c r="J10" s="783">
        <f ca="1">ROUND(IF(M10="押一",J6/12*M11,IF(M10="押二",J6/12*2*M11,IF(M10="押三",J6/12*3*M11,J11*M11))),0)</f>
        <v>0</v>
      </c>
      <c r="K10" s="2440" t="s">
        <v>2949</v>
      </c>
      <c r="L10" s="2437" t="s">
        <v>2439</v>
      </c>
      <c r="M10" s="2560"/>
    </row>
    <row r="11" spans="1:33" ht="18" customHeight="1">
      <c r="A11" s="790"/>
      <c r="B11" s="2434" t="s">
        <v>2548</v>
      </c>
      <c r="C11" s="2438"/>
      <c r="D11" s="789"/>
      <c r="E11" s="2437" t="s">
        <v>2440</v>
      </c>
      <c r="F11" s="796">
        <f ca="1">'数据-取费表'!B39</f>
        <v>1.4999999999999999E-2</v>
      </c>
      <c r="G11" s="1569"/>
      <c r="H11" s="2501"/>
      <c r="I11" s="2434" t="s">
        <v>2548</v>
      </c>
      <c r="J11" s="2438"/>
      <c r="K11" s="2502"/>
      <c r="L11" s="2437" t="s">
        <v>2440</v>
      </c>
      <c r="M11" s="2431">
        <f ca="1">'数据-取费表'!B39</f>
        <v>1.4999999999999999E-2</v>
      </c>
    </row>
    <row r="12" spans="1:33" ht="18" customHeight="1" thickBot="1">
      <c r="A12" s="2476" t="s">
        <v>2442</v>
      </c>
      <c r="B12" s="2477" t="s">
        <v>2435</v>
      </c>
      <c r="C12" s="2478"/>
      <c r="D12" s="2479"/>
      <c r="E12" s="2480"/>
      <c r="F12" s="2481"/>
      <c r="G12" s="1569"/>
      <c r="H12" s="2490" t="s">
        <v>2445</v>
      </c>
      <c r="I12" s="2503" t="s">
        <v>2435</v>
      </c>
      <c r="J12" s="2504"/>
      <c r="K12" s="2479"/>
      <c r="L12" s="2480"/>
      <c r="M12" s="2493"/>
    </row>
    <row r="13" spans="1:33" ht="18" customHeight="1" thickTop="1">
      <c r="A13" s="1805">
        <v>2</v>
      </c>
      <c r="B13" s="1803" t="s">
        <v>1720</v>
      </c>
      <c r="C13" s="792">
        <f ca="1">ROUND(C29*F13,0)</f>
        <v>354451</v>
      </c>
      <c r="D13" s="1810" t="s">
        <v>2272</v>
      </c>
      <c r="E13" s="1810" t="s">
        <v>1722</v>
      </c>
      <c r="F13" s="2475">
        <f ca="1">INDIRECT("'数据-取费表'!y"&amp;$G$1)</f>
        <v>1</v>
      </c>
      <c r="G13" s="1569"/>
      <c r="H13" s="1805">
        <v>2</v>
      </c>
      <c r="I13" s="1803" t="s">
        <v>1720</v>
      </c>
      <c r="J13" s="1795">
        <f ca="1">ROUND(J14*J15,0)</f>
        <v>0</v>
      </c>
      <c r="K13" s="1797" t="s">
        <v>1721</v>
      </c>
      <c r="L13" s="2491"/>
      <c r="M13" s="2492"/>
    </row>
    <row r="14" spans="1:33" ht="18" customHeight="1">
      <c r="A14" s="1624" t="s">
        <v>1862</v>
      </c>
      <c r="B14" s="784" t="s">
        <v>644</v>
      </c>
      <c r="C14" s="804">
        <f ca="1">INDIRECT("'数据-取费表'!m"&amp;$G$1)+INDIRECT("'数据-取费表'!t"&amp;$G$1)</f>
        <v>250875</v>
      </c>
      <c r="D14" s="1955" t="s">
        <v>1723</v>
      </c>
      <c r="E14" s="1956"/>
      <c r="F14" s="805"/>
      <c r="G14" s="1569"/>
      <c r="H14" s="1625" t="s">
        <v>1808</v>
      </c>
      <c r="I14" s="2192" t="s">
        <v>2800</v>
      </c>
      <c r="J14" s="53">
        <f ca="1">C29</f>
        <v>354451</v>
      </c>
      <c r="K14" s="26"/>
      <c r="L14" s="801"/>
      <c r="M14" s="802"/>
    </row>
    <row r="15" spans="1:33" s="2040" customFormat="1" ht="18" customHeight="1" thickBot="1">
      <c r="A15" s="1624" t="s">
        <v>1863</v>
      </c>
      <c r="B15" s="784" t="s">
        <v>646</v>
      </c>
      <c r="C15" s="53">
        <f ca="1">ROUND(C14*F15,0)</f>
        <v>12544</v>
      </c>
      <c r="D15" s="806" t="s">
        <v>1724</v>
      </c>
      <c r="E15" s="806" t="s">
        <v>1725</v>
      </c>
      <c r="F15" s="807">
        <f>'数据-取费表'!B33</f>
        <v>0.05</v>
      </c>
      <c r="G15" s="1570"/>
      <c r="H15" s="2490" t="s">
        <v>1867</v>
      </c>
      <c r="I15" s="2485" t="s">
        <v>1722</v>
      </c>
      <c r="J15" s="2494">
        <f ca="1">INDIRECT("'数据-取费表'!ad"&amp;$G$1)</f>
        <v>0</v>
      </c>
      <c r="K15" s="2495"/>
      <c r="L15" s="2496"/>
      <c r="M15" s="2497"/>
      <c r="N15" s="2039"/>
      <c r="O15" s="2039"/>
      <c r="P15" s="2039"/>
      <c r="Q15" s="2332"/>
      <c r="R15" s="2039"/>
      <c r="S15" s="2039"/>
      <c r="T15" s="2039"/>
      <c r="U15" s="2039"/>
      <c r="V15" s="2039"/>
      <c r="W15" s="2039"/>
      <c r="X15" s="2039"/>
      <c r="Y15" s="2039"/>
      <c r="Z15" s="2039"/>
      <c r="AA15" s="2039"/>
      <c r="AB15" s="2039"/>
      <c r="AC15" s="2039"/>
      <c r="AD15" s="2039"/>
      <c r="AE15" s="2039"/>
      <c r="AF15" s="2039"/>
      <c r="AG15" s="2039"/>
    </row>
    <row r="16" spans="1:33" ht="18" customHeight="1" thickTop="1">
      <c r="A16" s="1624" t="s">
        <v>1864</v>
      </c>
      <c r="B16" s="784" t="s">
        <v>649</v>
      </c>
      <c r="C16" s="53">
        <f ca="1">ROUND(INDIRECT("'数据-取费表'!m"&amp;$G$1)*F16,0)</f>
        <v>0</v>
      </c>
      <c r="D16" s="784" t="s">
        <v>1724</v>
      </c>
      <c r="E16" s="784" t="s">
        <v>1725</v>
      </c>
      <c r="F16" s="809">
        <f ca="1">IF(INDIRECT("'数据-取费表'!c"&amp;$G$1)="住宅",'数据-取费表'!B34,0)</f>
        <v>0</v>
      </c>
      <c r="G16" s="1569"/>
      <c r="H16" s="1805" t="s">
        <v>1726</v>
      </c>
      <c r="I16" s="1803" t="s">
        <v>1727</v>
      </c>
      <c r="J16" s="792">
        <f ca="1">ROUND(J17+J22+J23+J24,0)</f>
        <v>10066</v>
      </c>
      <c r="K16" s="1797" t="s">
        <v>1728</v>
      </c>
      <c r="L16" s="2425"/>
      <c r="M16" s="2430"/>
    </row>
    <row r="17" spans="1:33" s="2040" customFormat="1" ht="18" customHeight="1">
      <c r="A17" s="1624" t="s">
        <v>1865</v>
      </c>
      <c r="B17" s="784" t="s">
        <v>652</v>
      </c>
      <c r="C17" s="53">
        <f ca="1">ROUND(F17*(F43+INDIRECT("'数据-取费表'!S"&amp;$G$1))/10000,0)</f>
        <v>12544</v>
      </c>
      <c r="D17" s="784" t="s">
        <v>1729</v>
      </c>
      <c r="E17" s="784" t="s">
        <v>1730</v>
      </c>
      <c r="F17" s="56">
        <f>'数据-取费表'!B35</f>
        <v>350</v>
      </c>
      <c r="G17" s="1570"/>
      <c r="H17" s="1625" t="s">
        <v>1808</v>
      </c>
      <c r="I17" s="784" t="s">
        <v>655</v>
      </c>
      <c r="J17" s="3156">
        <f ca="1">ROUND(IF(项目基本情况!B11="自然人",J6*M17/(1+'数据-取费表'!C42),J18+J19+J20),0)</f>
        <v>2977</v>
      </c>
      <c r="K17" s="2424" t="s">
        <v>1731</v>
      </c>
      <c r="L17" s="2423" t="s">
        <v>1732</v>
      </c>
      <c r="M17" s="810" t="str">
        <f ca="1">IF(项目基本情况!B11="企业","",IF(INDIRECT("'数据-取费表'!c"&amp;$G$1)="住宅",5%,IF(M6*M7*M8/12/(1+'数据-取费表'!C42)&gt;20000,12%,7%)))</f>
        <v/>
      </c>
      <c r="N17" s="2039"/>
      <c r="O17" s="2039"/>
      <c r="P17" s="2039"/>
      <c r="Q17" s="2332"/>
      <c r="R17" s="2039"/>
      <c r="S17" s="2039"/>
      <c r="T17" s="2039"/>
      <c r="U17" s="2039"/>
      <c r="V17" s="2039"/>
      <c r="W17" s="2039"/>
      <c r="X17" s="2039"/>
      <c r="Y17" s="2039"/>
      <c r="Z17" s="2039"/>
      <c r="AA17" s="2039"/>
      <c r="AB17" s="2039"/>
      <c r="AC17" s="2039"/>
      <c r="AD17" s="2039"/>
      <c r="AE17" s="2039"/>
      <c r="AF17" s="2039"/>
      <c r="AG17" s="2039"/>
    </row>
    <row r="18" spans="1:33" s="2040" customFormat="1" ht="18" customHeight="1">
      <c r="A18" s="1624" t="s">
        <v>1866</v>
      </c>
      <c r="B18" s="784" t="s">
        <v>658</v>
      </c>
      <c r="C18" s="53">
        <f ca="1">ROUND(C14*F18,0)</f>
        <v>3763</v>
      </c>
      <c r="D18" s="784" t="s">
        <v>1724</v>
      </c>
      <c r="E18" s="784" t="s">
        <v>1725</v>
      </c>
      <c r="F18" s="809">
        <f>'数据-取费表'!B36</f>
        <v>1.4999999999999999E-2</v>
      </c>
      <c r="G18" s="1570"/>
      <c r="H18" s="1624" t="s">
        <v>1862</v>
      </c>
      <c r="I18" s="784" t="s">
        <v>1733</v>
      </c>
      <c r="J18" s="3156">
        <f ca="1">ROUND(J6*M18/(1+'数据-取费表'!C42),1)</f>
        <v>0</v>
      </c>
      <c r="K18" s="2423" t="s">
        <v>1734</v>
      </c>
      <c r="L18" s="784" t="s">
        <v>1725</v>
      </c>
      <c r="M18" s="809">
        <f>'数据-取费表'!B41</f>
        <v>5.6000000000000001E-2</v>
      </c>
      <c r="N18" s="2039"/>
      <c r="O18" s="2039"/>
      <c r="P18" s="2039"/>
      <c r="Q18" s="2332"/>
      <c r="R18" s="2039"/>
      <c r="S18" s="2039"/>
      <c r="T18" s="2039"/>
      <c r="U18" s="2039"/>
      <c r="V18" s="2039"/>
      <c r="W18" s="2039"/>
      <c r="X18" s="2039"/>
      <c r="Y18" s="2039"/>
      <c r="Z18" s="2039"/>
      <c r="AA18" s="2039"/>
      <c r="AB18" s="2039"/>
      <c r="AC18" s="2039"/>
      <c r="AD18" s="2039"/>
      <c r="AE18" s="2039"/>
      <c r="AF18" s="2039"/>
      <c r="AG18" s="2039"/>
    </row>
    <row r="19" spans="1:33" ht="18" customHeight="1">
      <c r="A19" s="1625" t="s">
        <v>1808</v>
      </c>
      <c r="B19" s="784" t="s">
        <v>661</v>
      </c>
      <c r="C19" s="53">
        <f ca="1">SUM(C14:C18)</f>
        <v>279726</v>
      </c>
      <c r="D19" s="261" t="s">
        <v>1735</v>
      </c>
      <c r="E19" s="1958"/>
      <c r="F19" s="56"/>
      <c r="G19" s="1569"/>
      <c r="H19" s="1624" t="s">
        <v>1863</v>
      </c>
      <c r="I19" s="784" t="s">
        <v>1736</v>
      </c>
      <c r="J19" s="3156">
        <f ca="1">IF(K19="按租金收入计税",ROUND(J6*M19/(1+'数据-取费表'!C42),1),ROUND(C29*F33*0.7,1))</f>
        <v>2977.4</v>
      </c>
      <c r="K19" s="811" t="s">
        <v>664</v>
      </c>
      <c r="L19" s="784" t="s">
        <v>1725</v>
      </c>
      <c r="M19" s="809">
        <f>IF(K19="按租金收入计税",'数据-取费表'!B51,'数据-取费表'!B50)</f>
        <v>1.2E-2</v>
      </c>
    </row>
    <row r="20" spans="1:33" s="2040" customFormat="1" ht="18" customHeight="1">
      <c r="A20" s="1625" t="s">
        <v>1867</v>
      </c>
      <c r="B20" s="784" t="s">
        <v>665</v>
      </c>
      <c r="C20" s="53">
        <f ca="1">ROUND(C19*F20,0)</f>
        <v>5595</v>
      </c>
      <c r="D20" s="812" t="s">
        <v>1737</v>
      </c>
      <c r="E20" s="784" t="s">
        <v>1725</v>
      </c>
      <c r="F20" s="809">
        <f>'数据-取费表'!B37</f>
        <v>0.02</v>
      </c>
      <c r="G20" s="1570"/>
      <c r="H20" s="1627" t="s">
        <v>1858</v>
      </c>
      <c r="I20" s="341" t="s">
        <v>1738</v>
      </c>
      <c r="J20" s="54">
        <f ca="1">ROUND(M20*M21/10000,0)</f>
        <v>0</v>
      </c>
      <c r="K20" s="814" t="s">
        <v>1739</v>
      </c>
      <c r="L20" s="784" t="s">
        <v>1740</v>
      </c>
      <c r="M20" s="640">
        <f>'数据-取费表'!B52</f>
        <v>0</v>
      </c>
      <c r="N20" s="2039"/>
      <c r="O20" s="2039"/>
      <c r="P20" s="2039"/>
      <c r="Q20" s="2332"/>
      <c r="R20" s="2039"/>
      <c r="S20" s="2039"/>
      <c r="T20" s="2039"/>
      <c r="U20" s="2039"/>
      <c r="V20" s="2039"/>
      <c r="W20" s="2039"/>
      <c r="X20" s="2039"/>
      <c r="Y20" s="2039"/>
      <c r="Z20" s="2039"/>
      <c r="AA20" s="2039"/>
      <c r="AB20" s="2039"/>
      <c r="AC20" s="2039"/>
      <c r="AD20" s="2039"/>
      <c r="AE20" s="2039"/>
      <c r="AF20" s="2039"/>
      <c r="AG20" s="2039"/>
    </row>
    <row r="21" spans="1:33" s="2040" customFormat="1" ht="18" customHeight="1">
      <c r="A21" s="1625" t="s">
        <v>1868</v>
      </c>
      <c r="B21" s="784" t="s">
        <v>1741</v>
      </c>
      <c r="C21" s="53" t="s">
        <v>1742</v>
      </c>
      <c r="D21" s="812" t="s">
        <v>2273</v>
      </c>
      <c r="E21" s="784" t="s">
        <v>1743</v>
      </c>
      <c r="F21" s="809">
        <f>'数据-取费表'!B38</f>
        <v>0.02</v>
      </c>
      <c r="G21" s="1570"/>
      <c r="H21" s="2445"/>
      <c r="I21" s="793"/>
      <c r="J21" s="69"/>
      <c r="K21" s="816"/>
      <c r="L21" s="784" t="s">
        <v>1744</v>
      </c>
      <c r="M21" s="785">
        <f ca="1">INDIRECT("'数据-取费表'!r"&amp;$G$1)</f>
        <v>238724.82</v>
      </c>
      <c r="N21" s="2039"/>
      <c r="O21" s="2039"/>
      <c r="P21" s="2039"/>
      <c r="Q21" s="2332"/>
      <c r="R21" s="2039"/>
      <c r="S21" s="2039"/>
      <c r="T21" s="2039"/>
      <c r="U21" s="2039"/>
      <c r="V21" s="2039"/>
      <c r="W21" s="2039"/>
      <c r="X21" s="2039"/>
      <c r="Y21" s="2039"/>
      <c r="Z21" s="2039"/>
      <c r="AA21" s="2039"/>
      <c r="AB21" s="2039"/>
      <c r="AC21" s="2039"/>
      <c r="AD21" s="2039"/>
      <c r="AE21" s="2039"/>
      <c r="AF21" s="2039"/>
      <c r="AG21" s="2039"/>
    </row>
    <row r="22" spans="1:33" ht="18" customHeight="1">
      <c r="A22" s="1625" t="s">
        <v>1869</v>
      </c>
      <c r="B22" s="784" t="s">
        <v>1745</v>
      </c>
      <c r="C22" s="53"/>
      <c r="D22" s="2511" t="str">
        <f>IF(F23&lt;=1,"单利计息。","复利计息。")&amp;"建造成本、管理费用、销售费用产生的利息。"</f>
        <v>复利计息。建造成本、管理费用、销售费用产生的利息。</v>
      </c>
      <c r="E22" s="1958"/>
      <c r="F22" s="56"/>
      <c r="G22" s="1569"/>
      <c r="H22" s="1625" t="s">
        <v>1867</v>
      </c>
      <c r="I22" s="784" t="s">
        <v>1746</v>
      </c>
      <c r="J22" s="53">
        <f ca="1">ROUND(J14*M22,0)</f>
        <v>7089</v>
      </c>
      <c r="K22" s="2423" t="s">
        <v>1747</v>
      </c>
      <c r="L22" s="784" t="s">
        <v>1725</v>
      </c>
      <c r="M22" s="817">
        <f ca="1">INDIRECT("'数据-取费表'!Ak"&amp;$G$1)</f>
        <v>0.02</v>
      </c>
    </row>
    <row r="23" spans="1:33" s="2040" customFormat="1" ht="18" customHeight="1">
      <c r="A23" s="1624" t="s">
        <v>1809</v>
      </c>
      <c r="B23" s="784" t="s">
        <v>2510</v>
      </c>
      <c r="C23" s="53">
        <f ca="1">ROUND(IF('数据-取费表'!B22&lt;=1,(C19+C20)*F24*F23/2,(C19+C20)*(POWER((1+F24),F23/2)-1)),0)</f>
        <v>13553</v>
      </c>
      <c r="D23" s="2510" t="str">
        <f>IF(F23&lt;=1,"(建造成本+管理费用)×利率×(建设周期÷2)","(建造成本+管理费用)×((1+利率)^(建设周期÷2)-1)")</f>
        <v>(建造成本+管理费用)×((1+利率)^(建设周期÷2)-1)</v>
      </c>
      <c r="E23" s="784" t="s">
        <v>1748</v>
      </c>
      <c r="F23" s="640">
        <f>'数据-取费表'!B20</f>
        <v>2</v>
      </c>
      <c r="G23" s="1570"/>
      <c r="H23" s="1625" t="s">
        <v>1868</v>
      </c>
      <c r="I23" s="784" t="s">
        <v>678</v>
      </c>
      <c r="J23" s="53">
        <f ca="1">ROUND(J13*M23,0)</f>
        <v>0</v>
      </c>
      <c r="K23" s="2423" t="s">
        <v>1749</v>
      </c>
      <c r="L23" s="784" t="s">
        <v>1725</v>
      </c>
      <c r="M23" s="818">
        <f ca="1">INDIRECT("'数据-取费表'!Al"&amp;$G$1)</f>
        <v>2E-3</v>
      </c>
      <c r="N23" s="2039"/>
      <c r="O23" s="2039"/>
      <c r="P23" s="2039"/>
      <c r="Q23" s="2332"/>
      <c r="R23" s="2039"/>
      <c r="S23" s="2039"/>
      <c r="T23" s="2039"/>
      <c r="U23" s="2039"/>
      <c r="V23" s="2039"/>
      <c r="W23" s="2039"/>
      <c r="X23" s="2039"/>
      <c r="Y23" s="2039"/>
      <c r="Z23" s="2039"/>
      <c r="AA23" s="2039"/>
      <c r="AB23" s="2039"/>
      <c r="AC23" s="2039"/>
      <c r="AD23" s="2039"/>
      <c r="AE23" s="2039"/>
      <c r="AF23" s="2039"/>
      <c r="AG23" s="2039"/>
    </row>
    <row r="24" spans="1:33" s="2040" customFormat="1" ht="18" customHeight="1" thickBot="1">
      <c r="A24" s="1624" t="s">
        <v>1810</v>
      </c>
      <c r="B24" s="784" t="s">
        <v>1750</v>
      </c>
      <c r="C24" s="53">
        <f ca="1">ROUND(IF('数据-取费表'!B22&lt;=1,F21*F24*F23/2,F21*(POWER((1+F24),F23/2)-1)),4)</f>
        <v>1E-3</v>
      </c>
      <c r="D24" s="2510" t="str">
        <f>IF(F23&lt;=1,"销售费用×利率×(建设周期÷2)","销售费用×((1+利率)^(建设周期÷2)-1)")</f>
        <v>销售费用×((1+利率)^(建设周期÷2)-1)</v>
      </c>
      <c r="E24" s="784" t="s">
        <v>1751</v>
      </c>
      <c r="F24" s="819">
        <f ca="1">'数据-取费表'!B40</f>
        <v>4.7500000000000001E-2</v>
      </c>
      <c r="G24" s="1570"/>
      <c r="H24" s="2490" t="s">
        <v>1869</v>
      </c>
      <c r="I24" s="2485" t="s">
        <v>665</v>
      </c>
      <c r="J24" s="2483">
        <f ca="1">ROUND(J5*M24,0)</f>
        <v>0</v>
      </c>
      <c r="K24" s="2484" t="s">
        <v>1752</v>
      </c>
      <c r="L24" s="2485" t="s">
        <v>1725</v>
      </c>
      <c r="M24" s="2481">
        <f ca="1">INDIRECT("'数据-取费表'!Am"&amp;$G$1)</f>
        <v>0.02</v>
      </c>
      <c r="N24" s="2039"/>
      <c r="O24" s="2039"/>
      <c r="P24" s="2039"/>
      <c r="Q24" s="2332"/>
      <c r="R24" s="2039"/>
      <c r="S24" s="2039"/>
      <c r="T24" s="2039"/>
      <c r="U24" s="2039"/>
      <c r="V24" s="2039"/>
      <c r="W24" s="2039"/>
      <c r="X24" s="2039"/>
      <c r="Y24" s="2039"/>
      <c r="Z24" s="2039"/>
      <c r="AA24" s="2039"/>
      <c r="AB24" s="2039"/>
      <c r="AC24" s="2039"/>
      <c r="AD24" s="2039"/>
      <c r="AE24" s="2039"/>
      <c r="AF24" s="2039"/>
      <c r="AG24" s="2039"/>
    </row>
    <row r="25" spans="1:33" ht="18" customHeight="1" thickTop="1">
      <c r="A25" s="1626" t="s">
        <v>1818</v>
      </c>
      <c r="B25" s="784" t="s">
        <v>683</v>
      </c>
      <c r="C25" s="53"/>
      <c r="D25" s="261" t="s">
        <v>1753</v>
      </c>
      <c r="E25" s="1958"/>
      <c r="F25" s="56"/>
      <c r="G25" s="1569"/>
      <c r="H25" s="1805" t="s">
        <v>1754</v>
      </c>
      <c r="I25" s="2937" t="s">
        <v>2796</v>
      </c>
      <c r="J25" s="792">
        <f ca="1">J5-J16</f>
        <v>-10066</v>
      </c>
      <c r="K25" s="2487" t="s">
        <v>1755</v>
      </c>
      <c r="L25" s="2488"/>
      <c r="M25" s="2489"/>
    </row>
    <row r="26" spans="1:33" ht="18" customHeight="1">
      <c r="A26" s="1624" t="s">
        <v>1809</v>
      </c>
      <c r="B26" s="784" t="s">
        <v>2413</v>
      </c>
      <c r="C26" s="53">
        <f ca="1">ROUND((C19+C20)*F26,0)</f>
        <v>28532</v>
      </c>
      <c r="D26" s="812" t="s">
        <v>1756</v>
      </c>
      <c r="E26" s="795" t="s">
        <v>1757</v>
      </c>
      <c r="F26" s="794">
        <f ca="1">INDIRECT("'数据-取费表'!q"&amp;$G$1)</f>
        <v>0.1</v>
      </c>
      <c r="G26" s="1569"/>
      <c r="H26" s="2441" t="s">
        <v>1758</v>
      </c>
      <c r="I26" s="2193" t="s">
        <v>2801</v>
      </c>
      <c r="J26" s="783">
        <f ca="1">IF(J5&lt;&gt;0,ROUND(J25*(1-((1+M28)/(1+M26))^M27)/(M26-M28),0),0)</f>
        <v>0</v>
      </c>
      <c r="K26" s="814" t="s">
        <v>1759</v>
      </c>
      <c r="L26" s="784" t="s">
        <v>2394</v>
      </c>
      <c r="M26" s="794">
        <f ca="1">INDIRECT("'数据-取费表'!I"&amp;$G$1)</f>
        <v>0.05</v>
      </c>
    </row>
    <row r="27" spans="1:33" ht="18" customHeight="1">
      <c r="A27" s="1624" t="s">
        <v>1810</v>
      </c>
      <c r="B27" s="784" t="s">
        <v>685</v>
      </c>
      <c r="C27" s="53">
        <f ca="1">ROUND(F21*F26,4)</f>
        <v>2E-3</v>
      </c>
      <c r="D27" s="812" t="s">
        <v>1760</v>
      </c>
      <c r="E27" s="806"/>
      <c r="F27" s="807"/>
      <c r="G27" s="1569"/>
      <c r="H27" s="2442"/>
      <c r="I27" s="787"/>
      <c r="J27" s="788"/>
      <c r="K27" s="821" t="s">
        <v>1761</v>
      </c>
      <c r="L27" s="784" t="s">
        <v>1762</v>
      </c>
      <c r="M27" s="822">
        <f ca="1">INDIRECT("'数据-取费表'!ag"&amp;$G$1)</f>
        <v>0</v>
      </c>
    </row>
    <row r="28" spans="1:33" s="2040" customFormat="1" ht="18" customHeight="1">
      <c r="A28" s="1626" t="s">
        <v>1819</v>
      </c>
      <c r="B28" s="784" t="s">
        <v>686</v>
      </c>
      <c r="C28" s="53">
        <f>ROUND(F28/(1+'数据-取费表'!C42),4)</f>
        <v>5.33E-2</v>
      </c>
      <c r="D28" s="812" t="s">
        <v>2274</v>
      </c>
      <c r="E28" s="784" t="s">
        <v>1763</v>
      </c>
      <c r="F28" s="809">
        <f>'数据-取费表'!B41</f>
        <v>5.6000000000000001E-2</v>
      </c>
      <c r="G28" s="1570"/>
      <c r="H28" s="1805"/>
      <c r="I28" s="791"/>
      <c r="J28" s="792"/>
      <c r="K28" s="816"/>
      <c r="L28" s="784" t="s">
        <v>1764</v>
      </c>
      <c r="M28" s="794">
        <f ca="1">INDIRECT("'数据-取费表'!aa"&amp;$G$1)</f>
        <v>0</v>
      </c>
      <c r="N28" s="2039"/>
      <c r="O28" s="2039"/>
      <c r="P28" s="2039"/>
      <c r="Q28" s="2332"/>
      <c r="R28" s="2039"/>
      <c r="S28" s="2039"/>
      <c r="T28" s="2039"/>
      <c r="U28" s="2039"/>
      <c r="V28" s="2039"/>
      <c r="W28" s="2039"/>
      <c r="X28" s="2039"/>
      <c r="Y28" s="2039"/>
      <c r="Z28" s="2039"/>
      <c r="AA28" s="2039"/>
      <c r="AB28" s="2039"/>
      <c r="AC28" s="2039"/>
      <c r="AD28" s="2039"/>
      <c r="AE28" s="2039"/>
      <c r="AF28" s="2039"/>
      <c r="AG28" s="2039"/>
    </row>
    <row r="29" spans="1:33" s="2040" customFormat="1" ht="18" customHeight="1" thickBot="1">
      <c r="A29" s="2482" t="s">
        <v>1870</v>
      </c>
      <c r="B29" s="2480" t="s">
        <v>2275</v>
      </c>
      <c r="C29" s="2483">
        <f ca="1">ROUND((C19+C20+C23+C26)/(1-F21-C24-C27-C28),0)</f>
        <v>354451</v>
      </c>
      <c r="D29" s="2484"/>
      <c r="E29" s="2485"/>
      <c r="F29" s="2486"/>
      <c r="G29" s="1570"/>
      <c r="H29" s="823" t="s">
        <v>1765</v>
      </c>
      <c r="I29" s="824" t="s">
        <v>1766</v>
      </c>
      <c r="J29" s="825">
        <f ca="1">ROUND(J26/(1+F40)^F41,0)</f>
        <v>0</v>
      </c>
      <c r="K29" s="826" t="s">
        <v>1767</v>
      </c>
      <c r="L29" s="827"/>
      <c r="M29" s="828">
        <f ca="1">INDIRECT("'数据-取费表'!k"&amp;$G$1)</f>
        <v>358392.93</v>
      </c>
      <c r="N29" s="2039"/>
      <c r="O29" s="2039"/>
      <c r="P29" s="2039"/>
      <c r="Q29" s="2332"/>
      <c r="R29" s="2039"/>
      <c r="S29" s="2039"/>
      <c r="T29" s="2039"/>
      <c r="U29" s="2039"/>
      <c r="V29" s="2039"/>
      <c r="W29" s="2039"/>
      <c r="X29" s="2039"/>
      <c r="Y29" s="2039"/>
      <c r="Z29" s="2039"/>
      <c r="AA29" s="2039"/>
      <c r="AB29" s="2039"/>
      <c r="AC29" s="2039"/>
      <c r="AD29" s="2039"/>
      <c r="AE29" s="2039"/>
      <c r="AF29" s="2039"/>
      <c r="AG29" s="2039"/>
    </row>
    <row r="30" spans="1:33" ht="18" customHeight="1" thickTop="1">
      <c r="A30" s="1805" t="s">
        <v>1871</v>
      </c>
      <c r="B30" s="1803" t="s">
        <v>1768</v>
      </c>
      <c r="C30" s="792">
        <f ca="1">ROUND(C31+C36+C37+C38,0)</f>
        <v>14316</v>
      </c>
      <c r="D30" s="1797" t="s">
        <v>1769</v>
      </c>
      <c r="E30" s="2425"/>
      <c r="F30" s="2430"/>
      <c r="G30" s="2038"/>
      <c r="H30" s="2041"/>
      <c r="I30" s="2042"/>
      <c r="J30" s="2043"/>
      <c r="K30" s="2044"/>
      <c r="L30" s="2045"/>
      <c r="M30" s="2046"/>
    </row>
    <row r="31" spans="1:33" ht="18" customHeight="1">
      <c r="A31" s="1625" t="s">
        <v>1808</v>
      </c>
      <c r="B31" s="784" t="s">
        <v>655</v>
      </c>
      <c r="C31" s="3156">
        <f ca="1">ROUND(IF(项目基本情况!B11="自然人",C6*F31/(1+'数据-取费表'!C42),C32+C33+C34),1)</f>
        <v>5551.8</v>
      </c>
      <c r="D31" s="1955" t="s">
        <v>1770</v>
      </c>
      <c r="E31" s="1953" t="s">
        <v>1771</v>
      </c>
      <c r="F31" s="810" t="str">
        <f ca="1">IF(项目基本情况!B11="企业","",IF(INDIRECT("'数据-取费表'!c"&amp;$G$1)="住宅",5%,IF(F6*F7*F8/12/(1+'数据-取费表'!C42)&gt;20000,12%,7%)))</f>
        <v/>
      </c>
      <c r="G31" s="2038"/>
      <c r="H31" s="2041"/>
      <c r="I31" s="2042"/>
      <c r="J31" s="2043"/>
      <c r="K31" s="2044"/>
      <c r="L31" s="2045"/>
      <c r="M31" s="2046"/>
    </row>
    <row r="32" spans="1:33" ht="18" customHeight="1">
      <c r="A32" s="1624" t="s">
        <v>1809</v>
      </c>
      <c r="B32" s="784" t="s">
        <v>1772</v>
      </c>
      <c r="C32" s="3156">
        <f ca="1">ROUND(C6*F32/(1+'数据-取费表'!C42),1)</f>
        <v>2574.4</v>
      </c>
      <c r="D32" s="1953" t="s">
        <v>1773</v>
      </c>
      <c r="E32" s="784" t="s">
        <v>1774</v>
      </c>
      <c r="F32" s="809">
        <f>'数据-取费表'!B41</f>
        <v>5.6000000000000001E-2</v>
      </c>
      <c r="G32" s="2038"/>
      <c r="H32" s="2047"/>
      <c r="I32" s="2048"/>
      <c r="J32" s="2049"/>
      <c r="K32" s="2050"/>
      <c r="L32" s="2051"/>
      <c r="M32" s="2052"/>
    </row>
    <row r="33" spans="1:18" ht="18" customHeight="1">
      <c r="A33" s="1624" t="s">
        <v>1810</v>
      </c>
      <c r="B33" s="784" t="s">
        <v>1775</v>
      </c>
      <c r="C33" s="3156">
        <f ca="1">IF(D33="按租金收入计税",ROUND(C6*F33/(1+'数据-取费表'!C42),1),IF(D33="按房产原值计税",ROUND(C29*F33*0.7,1),INDIRECT("'数据-取费表'!Aj"&amp;$G$1)))</f>
        <v>2977.4</v>
      </c>
      <c r="D33" s="811" t="s">
        <v>1658</v>
      </c>
      <c r="E33" s="784" t="s">
        <v>1774</v>
      </c>
      <c r="F33" s="809">
        <f>IF(D33="按租金收入计税",'数据-取费表'!B51,'数据-取费表'!B50)</f>
        <v>1.2E-2</v>
      </c>
      <c r="G33" s="2038"/>
      <c r="H33" s="2053"/>
      <c r="I33" s="2053"/>
      <c r="J33" s="2053"/>
      <c r="K33" s="2054"/>
      <c r="L33" s="2053"/>
      <c r="M33" s="2053"/>
    </row>
    <row r="34" spans="1:18" ht="18" customHeight="1">
      <c r="A34" s="1627" t="s">
        <v>1811</v>
      </c>
      <c r="B34" s="341" t="s">
        <v>1776</v>
      </c>
      <c r="C34" s="54">
        <f ca="1">ROUND(F34*F35/10000,1)</f>
        <v>0</v>
      </c>
      <c r="D34" s="814" t="s">
        <v>1777</v>
      </c>
      <c r="E34" s="784" t="s">
        <v>1778</v>
      </c>
      <c r="F34" s="640">
        <f>'数据-取费表'!B52</f>
        <v>0</v>
      </c>
      <c r="G34" s="2038"/>
      <c r="H34" s="2041"/>
      <c r="I34" s="835" t="s">
        <v>1791</v>
      </c>
      <c r="J34" s="836"/>
      <c r="K34" s="2056"/>
      <c r="L34" s="2055"/>
      <c r="M34" s="2055"/>
    </row>
    <row r="35" spans="1:18" ht="18" customHeight="1">
      <c r="A35" s="815"/>
      <c r="B35" s="793"/>
      <c r="C35" s="69"/>
      <c r="D35" s="816"/>
      <c r="E35" s="784" t="s">
        <v>1779</v>
      </c>
      <c r="F35" s="785">
        <f ca="1">INDIRECT("'数据-取费表'!r"&amp;$G$1)</f>
        <v>238724.82</v>
      </c>
      <c r="G35" s="2038"/>
      <c r="H35" s="2041"/>
      <c r="I35" s="837" t="s">
        <v>1792</v>
      </c>
      <c r="J35" s="838">
        <f ca="1">ROUND(C13*J36,0)</f>
        <v>24812</v>
      </c>
      <c r="K35" s="2054"/>
      <c r="L35" s="2053"/>
      <c r="M35" s="2053"/>
    </row>
    <row r="36" spans="1:18" ht="18" customHeight="1">
      <c r="A36" s="1625" t="s">
        <v>1867</v>
      </c>
      <c r="B36" s="784" t="s">
        <v>1780</v>
      </c>
      <c r="C36" s="53">
        <f ca="1">ROUND(C29*F36,1)</f>
        <v>7089</v>
      </c>
      <c r="D36" s="1953" t="s">
        <v>1781</v>
      </c>
      <c r="E36" s="784" t="s">
        <v>1774</v>
      </c>
      <c r="F36" s="817">
        <f ca="1">INDIRECT("'数据-取费表'!Ak"&amp;$G$1)</f>
        <v>0.02</v>
      </c>
      <c r="G36" s="2038"/>
      <c r="H36" s="2053"/>
      <c r="I36" s="839" t="s">
        <v>1793</v>
      </c>
      <c r="J36" s="840">
        <f ca="1">INDIRECT("'数据-取费表'!j"&amp;$G$1)</f>
        <v>7.0000000000000007E-2</v>
      </c>
      <c r="K36" s="2058"/>
      <c r="L36" s="2053"/>
      <c r="M36" s="2053"/>
    </row>
    <row r="37" spans="1:18" ht="18" customHeight="1">
      <c r="A37" s="1625" t="s">
        <v>1868</v>
      </c>
      <c r="B37" s="784" t="s">
        <v>678</v>
      </c>
      <c r="C37" s="53">
        <f ca="1">ROUND(C13*F37,1)</f>
        <v>708.9</v>
      </c>
      <c r="D37" s="1953" t="s">
        <v>1782</v>
      </c>
      <c r="E37" s="784" t="s">
        <v>1774</v>
      </c>
      <c r="F37" s="818">
        <f ca="1">INDIRECT("'数据-取费表'!Al"&amp;$G$1)</f>
        <v>2E-3</v>
      </c>
      <c r="G37" s="2038"/>
      <c r="H37" s="2053"/>
      <c r="I37" s="841" t="s">
        <v>1794</v>
      </c>
      <c r="J37" s="842"/>
      <c r="K37" s="2058"/>
      <c r="L37" s="2053"/>
      <c r="M37" s="2053"/>
    </row>
    <row r="38" spans="1:18" ht="18" customHeight="1" thickBot="1">
      <c r="A38" s="2490" t="s">
        <v>1869</v>
      </c>
      <c r="B38" s="2485" t="s">
        <v>665</v>
      </c>
      <c r="C38" s="2483">
        <f ca="1">ROUND(C5*F38,1)</f>
        <v>966.6</v>
      </c>
      <c r="D38" s="2484" t="s">
        <v>1783</v>
      </c>
      <c r="E38" s="2485" t="s">
        <v>1774</v>
      </c>
      <c r="F38" s="2481">
        <f ca="1">INDIRECT("'数据-取费表'!Am"&amp;$G$1)</f>
        <v>0.02</v>
      </c>
      <c r="G38" s="2038"/>
      <c r="H38" s="2053"/>
      <c r="I38" s="843" t="s">
        <v>1795</v>
      </c>
      <c r="J38" s="844"/>
      <c r="K38" s="2059"/>
      <c r="L38" s="2053"/>
      <c r="M38" s="2053"/>
    </row>
    <row r="39" spans="1:18" ht="24.6" customHeight="1" thickTop="1">
      <c r="A39" s="1805" t="s">
        <v>1872</v>
      </c>
      <c r="B39" s="2937" t="s">
        <v>2796</v>
      </c>
      <c r="C39" s="792">
        <f ca="1">C5-C30</f>
        <v>34014</v>
      </c>
      <c r="D39" s="2487" t="s">
        <v>1784</v>
      </c>
      <c r="E39" s="2488"/>
      <c r="F39" s="2489"/>
      <c r="G39" s="2038"/>
      <c r="H39" s="2053"/>
      <c r="I39" s="837" t="s">
        <v>1796</v>
      </c>
      <c r="J39" s="845">
        <f ca="1">ROUND(J35/C39,3)</f>
        <v>0.72899999999999998</v>
      </c>
      <c r="K39" s="2059"/>
      <c r="L39" s="2053"/>
      <c r="M39" s="2053"/>
    </row>
    <row r="40" spans="1:18" ht="18" customHeight="1">
      <c r="A40" s="781" t="s">
        <v>1873</v>
      </c>
      <c r="B40" s="2193" t="s">
        <v>2276</v>
      </c>
      <c r="C40" s="783">
        <f ca="1">ROUND(C39*(1-((1+F42)/(1+F40))^F41)/(F40-F42),0)</f>
        <v>583649</v>
      </c>
      <c r="D40" s="814" t="s">
        <v>1785</v>
      </c>
      <c r="E40" s="784" t="s">
        <v>2394</v>
      </c>
      <c r="F40" s="794">
        <f ca="1">INDIRECT("'数据-取费表'!I"&amp;$G$1)</f>
        <v>0.05</v>
      </c>
      <c r="G40" s="2038"/>
      <c r="H40" s="2038"/>
      <c r="I40" s="837" t="s">
        <v>1797</v>
      </c>
      <c r="J40" s="845">
        <f ca="1">1-J39</f>
        <v>0.27100000000000002</v>
      </c>
      <c r="K40" s="2059"/>
      <c r="L40" s="2038"/>
      <c r="M40" s="2038"/>
    </row>
    <row r="41" spans="1:18" ht="18" customHeight="1">
      <c r="A41" s="786"/>
      <c r="B41" s="787"/>
      <c r="C41" s="788"/>
      <c r="D41" s="821" t="s">
        <v>1786</v>
      </c>
      <c r="E41" s="784" t="s">
        <v>2939</v>
      </c>
      <c r="F41" s="822">
        <f ca="1">IF(INDIRECT("'数据-取费表'!af"&amp;$G$1)=0,INDIRECT("'数据-取费表'!ae"&amp;$G$1),INDIRECT("'数据-取费表'!af"&amp;$G$1))</f>
        <v>40</v>
      </c>
      <c r="G41" s="2038"/>
      <c r="H41" s="1964"/>
      <c r="I41" s="843" t="s">
        <v>1798</v>
      </c>
      <c r="J41" s="846"/>
      <c r="K41" s="2058"/>
      <c r="L41" s="1964"/>
      <c r="M41" s="1964"/>
    </row>
    <row r="42" spans="1:18" ht="18" customHeight="1">
      <c r="A42" s="790"/>
      <c r="B42" s="791"/>
      <c r="C42" s="792"/>
      <c r="D42" s="816"/>
      <c r="E42" s="784" t="s">
        <v>1787</v>
      </c>
      <c r="F42" s="794">
        <f ca="1">INDIRECT("'数据-取费表'!v"&amp;$G$1)</f>
        <v>0</v>
      </c>
      <c r="G42" s="2038"/>
      <c r="H42" s="1964"/>
      <c r="I42" s="847" t="s">
        <v>1799</v>
      </c>
      <c r="J42" s="845">
        <f ca="1">ROUND(C13/C40,3)</f>
        <v>0.60699999999999998</v>
      </c>
      <c r="K42" s="2058"/>
      <c r="L42" s="1964"/>
      <c r="M42" s="1964"/>
    </row>
    <row r="43" spans="1:18" ht="18" customHeight="1" thickBot="1">
      <c r="A43" s="823" t="s">
        <v>1765</v>
      </c>
      <c r="B43" s="824" t="s">
        <v>1788</v>
      </c>
      <c r="C43" s="825">
        <f ca="1">ROUND(C40*10000/F43,0)</f>
        <v>16285</v>
      </c>
      <c r="D43" s="826" t="s">
        <v>1789</v>
      </c>
      <c r="E43" s="827" t="s">
        <v>1790</v>
      </c>
      <c r="F43" s="828">
        <f ca="1">INDIRECT("'数据-取费表'!k"&amp;$G$1)</f>
        <v>358392.93</v>
      </c>
      <c r="G43" s="2038"/>
      <c r="H43" s="1964"/>
      <c r="I43" s="847" t="s">
        <v>1800</v>
      </c>
      <c r="J43" s="848">
        <f ca="1">1-J42</f>
        <v>0.39300000000000002</v>
      </c>
      <c r="K43" s="2058"/>
      <c r="L43" s="1964"/>
      <c r="M43" s="1964"/>
    </row>
    <row r="44" spans="1:18" s="2035" customFormat="1" ht="18" customHeight="1">
      <c r="A44" s="2061"/>
      <c r="B44" s="2061"/>
      <c r="C44" s="2078"/>
      <c r="D44" s="2061"/>
      <c r="E44" s="2061"/>
      <c r="F44" s="2061"/>
      <c r="K44" s="2062"/>
      <c r="Q44" s="2073"/>
    </row>
    <row r="45" spans="1:18" s="2035" customFormat="1" ht="18" customHeight="1" thickBot="1">
      <c r="A45" s="2061"/>
      <c r="B45" s="2061"/>
      <c r="C45" s="2078"/>
      <c r="D45" s="2061"/>
      <c r="E45" s="2061"/>
      <c r="F45" s="2061"/>
      <c r="K45" s="2062"/>
      <c r="Q45" s="2073"/>
    </row>
    <row r="46" spans="1:18" s="2035" customFormat="1" ht="18" customHeight="1" thickBot="1">
      <c r="A46" s="2191" t="s">
        <v>2270</v>
      </c>
      <c r="B46" s="2061"/>
      <c r="C46" s="2513">
        <f ca="1">C67-C40</f>
        <v>-768538</v>
      </c>
      <c r="D46" s="2061"/>
      <c r="E46" s="2061"/>
      <c r="F46" s="2061"/>
      <c r="I46" s="2317" t="s">
        <v>2318</v>
      </c>
      <c r="J46" s="2318"/>
      <c r="K46" s="2319"/>
      <c r="L46" s="3083" t="str">
        <f ca="1">IF(OR(M47="住宅",D1="土地（套用方法）"),0,IF(L48&gt;J51,L60,J60))</f>
        <v>0</v>
      </c>
      <c r="O46" s="2333" t="s">
        <v>2385</v>
      </c>
      <c r="P46" s="1569"/>
      <c r="Q46" s="1580"/>
      <c r="R46" s="1569"/>
    </row>
    <row r="47" spans="1:18" s="2035" customFormat="1" ht="18" customHeight="1" thickBot="1">
      <c r="A47" s="2311">
        <v>1</v>
      </c>
      <c r="B47" s="2312" t="s">
        <v>634</v>
      </c>
      <c r="C47" s="2513">
        <f ca="1">C48+C52+C54</f>
        <v>0</v>
      </c>
      <c r="D47" s="2061"/>
      <c r="E47" s="2061"/>
      <c r="F47" s="2061"/>
      <c r="I47" s="3074" t="s">
        <v>2319</v>
      </c>
      <c r="J47" s="2320" t="s">
        <v>3020</v>
      </c>
      <c r="K47" s="3080" t="s">
        <v>2324</v>
      </c>
      <c r="L47" s="3084">
        <f ca="1">INDIRECT("'数据-取费表'!d"&amp;$G$1)</f>
        <v>40</v>
      </c>
      <c r="M47" s="1580" t="str">
        <f>IF(ISNUMBER(FIND("住宅",C1)),"住宅","非住宅")</f>
        <v>非住宅</v>
      </c>
      <c r="O47" s="2334" t="s">
        <v>2350</v>
      </c>
      <c r="P47" s="2335" t="s">
        <v>2351</v>
      </c>
      <c r="Q47" s="2336" t="s">
        <v>2352</v>
      </c>
      <c r="R47" s="2335" t="s">
        <v>2353</v>
      </c>
    </row>
    <row r="48" spans="1:18" s="2035" customFormat="1" ht="18" customHeight="1" thickBot="1">
      <c r="A48" s="2581" t="s">
        <v>2512</v>
      </c>
      <c r="B48" s="2582" t="s">
        <v>2513</v>
      </c>
      <c r="C48" s="2313">
        <f ca="1">ROUND(F48*F50*F49*(1-F51)/10000,0)</f>
        <v>0</v>
      </c>
      <c r="D48" s="2314" t="s">
        <v>635</v>
      </c>
      <c r="E48" s="2315" t="s">
        <v>2271</v>
      </c>
      <c r="F48" s="2316"/>
      <c r="G48" s="2066"/>
      <c r="I48" s="3053" t="s">
        <v>2320</v>
      </c>
      <c r="J48" s="2321" t="s">
        <v>2325</v>
      </c>
      <c r="K48" s="3081" t="s">
        <v>2326</v>
      </c>
      <c r="L48" s="1884">
        <f ca="1">INDIRECT("'数据-取费表'!f"&amp;$G$1)</f>
        <v>40</v>
      </c>
      <c r="O48" s="2337" t="s">
        <v>2354</v>
      </c>
      <c r="P48" s="2338" t="s">
        <v>2380</v>
      </c>
      <c r="Q48" s="2339">
        <f ca="1">C40+J29</f>
        <v>583649</v>
      </c>
      <c r="R48" s="2338" t="s">
        <v>2355</v>
      </c>
    </row>
    <row r="49" spans="1:18" s="2035" customFormat="1" ht="18" customHeight="1" thickBot="1">
      <c r="A49" s="786"/>
      <c r="B49" s="787"/>
      <c r="C49" s="788"/>
      <c r="D49" s="789"/>
      <c r="E49" s="784" t="s">
        <v>1717</v>
      </c>
      <c r="F49" s="785">
        <f ca="1">F7</f>
        <v>358392.93</v>
      </c>
      <c r="G49" s="2066"/>
      <c r="H49" s="2069"/>
      <c r="I49" s="3053" t="s">
        <v>2321</v>
      </c>
      <c r="J49" s="2322"/>
      <c r="K49" s="3082" t="s">
        <v>2327</v>
      </c>
      <c r="L49" s="2323"/>
      <c r="O49" s="2337" t="s">
        <v>2356</v>
      </c>
      <c r="P49" s="2338" t="s">
        <v>2381</v>
      </c>
      <c r="Q49" s="2339" t="str">
        <f ca="1">J60</f>
        <v>0</v>
      </c>
      <c r="R49" s="2338" t="s">
        <v>2357</v>
      </c>
    </row>
    <row r="50" spans="1:18" s="2035" customFormat="1" ht="18" customHeight="1" thickBot="1">
      <c r="A50" s="786"/>
      <c r="B50" s="787"/>
      <c r="C50" s="788"/>
      <c r="D50" s="789"/>
      <c r="E50" s="784" t="s">
        <v>1718</v>
      </c>
      <c r="F50" s="785">
        <f ca="1">F8</f>
        <v>365</v>
      </c>
      <c r="G50" s="2071"/>
      <c r="H50" s="2069"/>
      <c r="I50" s="3053" t="s">
        <v>2322</v>
      </c>
      <c r="J50" s="3078">
        <f>SUMPRODUCT((I63:I65=J47)*(J62:L62=J48)*(J63:L65))</f>
        <v>60</v>
      </c>
      <c r="K50" s="3082" t="s">
        <v>2328</v>
      </c>
      <c r="L50" s="2323"/>
      <c r="O50" s="2340" t="s">
        <v>2358</v>
      </c>
      <c r="P50" s="2338" t="s">
        <v>2382</v>
      </c>
      <c r="Q50" s="2339">
        <f ca="1">C29</f>
        <v>354451</v>
      </c>
      <c r="R50" s="2338" t="s">
        <v>2355</v>
      </c>
    </row>
    <row r="51" spans="1:18" s="2035" customFormat="1" ht="18" customHeight="1" thickBot="1">
      <c r="A51" s="786"/>
      <c r="B51" s="787"/>
      <c r="C51" s="788"/>
      <c r="D51" s="789"/>
      <c r="E51" s="784" t="s">
        <v>639</v>
      </c>
      <c r="F51" s="2310"/>
      <c r="H51" s="2069"/>
      <c r="I51" s="3075" t="s">
        <v>2323</v>
      </c>
      <c r="J51" s="3079">
        <f>IF(J49="",J50,J49+J50-YEAR('数据-取费表'!B2))</f>
        <v>60</v>
      </c>
      <c r="K51" s="3053" t="s">
        <v>2329</v>
      </c>
      <c r="L51" s="3085">
        <f ca="1">ROUND(-PV(INDIRECT("'数据-取费表'!h"&amp;$G$1),L48,(C39-C13*J36),0),0)</f>
        <v>169339</v>
      </c>
      <c r="O51" s="2340" t="s">
        <v>2359</v>
      </c>
      <c r="P51" s="2338" t="s">
        <v>2360</v>
      </c>
      <c r="Q51" s="2341" t="e">
        <f ca="1">J58</f>
        <v>#VALUE!</v>
      </c>
      <c r="R51" s="2342"/>
    </row>
    <row r="52" spans="1:18" s="2035" customFormat="1" ht="18" customHeight="1" thickBot="1">
      <c r="A52" s="781" t="s">
        <v>2511</v>
      </c>
      <c r="B52" s="2433" t="s">
        <v>2434</v>
      </c>
      <c r="C52" s="799">
        <f ca="1">ROUND(IF(F52="押一",C48/12*F11,IF(F52="押二",C48/12*2*F11,IF(F52="押三",C48/12*3*F11,C53*F11))),0)</f>
        <v>0</v>
      </c>
      <c r="D52" s="2440" t="s">
        <v>2950</v>
      </c>
      <c r="E52" s="2437" t="s">
        <v>2439</v>
      </c>
      <c r="F52" s="2560"/>
      <c r="I52" s="3076" t="s">
        <v>2396</v>
      </c>
      <c r="J52" s="2324"/>
      <c r="K52" s="3076" t="s">
        <v>2395</v>
      </c>
      <c r="L52" s="2324"/>
      <c r="O52" s="2340" t="s">
        <v>2361</v>
      </c>
      <c r="P52" s="2338" t="s">
        <v>2362</v>
      </c>
      <c r="Q52" s="2341">
        <f>J52</f>
        <v>0</v>
      </c>
      <c r="R52" s="2342"/>
    </row>
    <row r="53" spans="1:18" s="2035" customFormat="1" ht="39.75" customHeight="1" thickBot="1">
      <c r="A53" s="786"/>
      <c r="B53" s="2434" t="s">
        <v>2548</v>
      </c>
      <c r="C53" s="2438"/>
      <c r="D53" s="2440"/>
      <c r="E53" s="2437"/>
      <c r="F53" s="800"/>
      <c r="I53" s="3077" t="s">
        <v>2953</v>
      </c>
      <c r="J53" s="3157">
        <f ca="1">IF(M47="住宅",MAX(J51,L48),MIN(J51,L48))</f>
        <v>40</v>
      </c>
      <c r="K53" s="3869" t="s">
        <v>2941</v>
      </c>
      <c r="L53" s="3870"/>
      <c r="O53" s="2340" t="s">
        <v>2363</v>
      </c>
      <c r="P53" s="2338" t="s">
        <v>2364</v>
      </c>
      <c r="Q53" s="2339">
        <f ca="1">J53</f>
        <v>40</v>
      </c>
      <c r="R53" s="2338" t="s">
        <v>2365</v>
      </c>
    </row>
    <row r="54" spans="1:18" s="2035" customFormat="1" ht="18" customHeight="1" thickBot="1">
      <c r="A54" s="2476" t="s">
        <v>2442</v>
      </c>
      <c r="B54" s="2477" t="s">
        <v>2435</v>
      </c>
      <c r="C54" s="2478"/>
      <c r="D54" s="2440"/>
      <c r="E54" s="2437"/>
      <c r="F54" s="800"/>
      <c r="I54" s="20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2"/>
      <c r="O54" s="2337" t="s">
        <v>2366</v>
      </c>
      <c r="P54" s="2338" t="s">
        <v>2383</v>
      </c>
      <c r="Q54" s="2339">
        <f ca="1">Q48+Q49</f>
        <v>583649</v>
      </c>
      <c r="R54" s="2342" t="s">
        <v>2367</v>
      </c>
    </row>
    <row r="55" spans="1:18" s="2035" customFormat="1" ht="18" customHeight="1" thickTop="1" thickBot="1">
      <c r="A55" s="797">
        <v>2</v>
      </c>
      <c r="B55" s="798" t="s">
        <v>643</v>
      </c>
      <c r="C55" s="799">
        <f ca="1">C13</f>
        <v>354451</v>
      </c>
      <c r="D55" s="795"/>
      <c r="E55" s="795"/>
      <c r="F55" s="800"/>
      <c r="I55" s="3088" t="s">
        <v>2330</v>
      </c>
      <c r="J55" s="3028" t="e">
        <f ca="1">ROUND(IF(J47="钢混",J57/J50,1-(1-2%)*(J50-J57)/J50),3)</f>
        <v>#VALUE!</v>
      </c>
      <c r="K55" s="3089" t="s">
        <v>2331</v>
      </c>
      <c r="L55" s="2325"/>
      <c r="O55" s="2343" t="s">
        <v>2386</v>
      </c>
      <c r="P55" s="1569"/>
      <c r="Q55" s="1580"/>
      <c r="R55" s="1569"/>
    </row>
    <row r="56" spans="1:18" s="2035" customFormat="1" ht="42.75" customHeight="1" thickBot="1">
      <c r="A56" s="1626"/>
      <c r="B56" s="2192" t="s">
        <v>2277</v>
      </c>
      <c r="C56" s="53">
        <f ca="1">C29</f>
        <v>354451</v>
      </c>
      <c r="D56" s="2578"/>
      <c r="E56" s="784"/>
      <c r="F56" s="809"/>
      <c r="I56" s="3090" t="s">
        <v>2332</v>
      </c>
      <c r="J56" s="3100" t="s">
        <v>1656</v>
      </c>
      <c r="K56" s="3053" t="s">
        <v>2337</v>
      </c>
      <c r="L56" s="1884" t="str">
        <f ca="1">IF(L48&lt;J51,"——",L48-J51)</f>
        <v>——</v>
      </c>
      <c r="O56" s="2334" t="s">
        <v>2350</v>
      </c>
      <c r="P56" s="2335" t="s">
        <v>2351</v>
      </c>
      <c r="Q56" s="2336" t="s">
        <v>2352</v>
      </c>
      <c r="R56" s="2335" t="s">
        <v>2353</v>
      </c>
    </row>
    <row r="57" spans="1:18" s="2035" customFormat="1" ht="28.5" customHeight="1" thickBot="1">
      <c r="A57" s="797" t="s">
        <v>1726</v>
      </c>
      <c r="B57" s="798" t="s">
        <v>650</v>
      </c>
      <c r="C57" s="799">
        <f ca="1">ROUND(C58+C63+C64+C65,0)</f>
        <v>10775</v>
      </c>
      <c r="D57" s="26" t="s">
        <v>1728</v>
      </c>
      <c r="E57" s="2579"/>
      <c r="F57" s="56"/>
      <c r="I57" s="3091" t="s">
        <v>2333</v>
      </c>
      <c r="J57" s="3092" t="str">
        <f ca="1">IF(OR(M47="住宅",J51&lt;L48,J56="是"),"——",J51-L48)</f>
        <v>——</v>
      </c>
      <c r="K57" s="3053" t="s">
        <v>2338</v>
      </c>
      <c r="L57" s="1884" t="str">
        <f ca="1">IF(L48&lt;J51,"——",IF(L55="比较法",L49,IF(L55="基准地价",L50,L51)))</f>
        <v>——</v>
      </c>
      <c r="O57" s="2337" t="s">
        <v>2354</v>
      </c>
      <c r="P57" s="2338" t="s">
        <v>2384</v>
      </c>
      <c r="Q57" s="2339">
        <f ca="1">C40+J29</f>
        <v>583649</v>
      </c>
      <c r="R57" s="2338" t="s">
        <v>2355</v>
      </c>
    </row>
    <row r="58" spans="1:18" s="2035" customFormat="1" ht="28.5" customHeight="1" thickBot="1">
      <c r="A58" s="1625" t="s">
        <v>1802</v>
      </c>
      <c r="B58" s="784" t="s">
        <v>655</v>
      </c>
      <c r="C58" s="53">
        <f ca="1">ROUND(IF(项目基本情况!B11="自然人",C47*F58,C59+C60+C61),1)</f>
        <v>2977.4</v>
      </c>
      <c r="D58" s="2577" t="s">
        <v>656</v>
      </c>
      <c r="E58" s="2578" t="s">
        <v>689</v>
      </c>
      <c r="F58" s="810" t="str">
        <f ca="1">IF(项目基本情况!B11="企业","",IF(INDIRECT("'数据-取费表'!c"&amp;$G$1)="住宅",5%,IF(F48*F49*F50/12/(1+'数据-取费表'!C42)&gt;20000,12%,7%)))</f>
        <v/>
      </c>
      <c r="I58" s="3091" t="s">
        <v>2334</v>
      </c>
      <c r="J58" s="3029" t="e">
        <f ca="1">IF(J55&lt;0.4,0.4,J55)</f>
        <v>#VALUE!</v>
      </c>
      <c r="K58" s="3053" t="s">
        <v>2339</v>
      </c>
      <c r="L58" s="1884" t="e">
        <f ca="1">ROUND(POWER(1+L52,L47-L48)*(POWER(1+L52,L48)-1)/(POWER(1+L52,L47)-1),4)</f>
        <v>#DIV/0!</v>
      </c>
      <c r="O58" s="2337" t="s">
        <v>2356</v>
      </c>
      <c r="P58" s="2338" t="s">
        <v>2387</v>
      </c>
      <c r="Q58" s="2339">
        <f ca="1">L60</f>
        <v>0</v>
      </c>
      <c r="R58" s="2342" t="s">
        <v>2389</v>
      </c>
    </row>
    <row r="59" spans="1:18" s="2035" customFormat="1" ht="28.5" customHeight="1" thickBot="1">
      <c r="A59" s="1624" t="s">
        <v>1809</v>
      </c>
      <c r="B59" s="784" t="s">
        <v>659</v>
      </c>
      <c r="C59" s="53">
        <f ca="1">ROUND(C47*F59/1.05,1)</f>
        <v>0</v>
      </c>
      <c r="D59" s="2578" t="s">
        <v>1734</v>
      </c>
      <c r="E59" s="784" t="s">
        <v>1725</v>
      </c>
      <c r="F59" s="809">
        <f t="shared" ref="F59:F65" si="0">F32</f>
        <v>5.6000000000000001E-2</v>
      </c>
      <c r="I59" s="3091" t="s">
        <v>2335</v>
      </c>
      <c r="J59" s="3092" t="str">
        <f ca="1">IF(OR(M47="住宅",J51&lt;L48,J56="是"),"——",ROUND(C29*J58,0))</f>
        <v>——</v>
      </c>
      <c r="K59" s="3053" t="str">
        <f>IF(D1="——","建筑物剩余耐用年限下的土地年期修正系数Kn","建设期及建筑物耐用年限下的土地年期修正系数Kn")</f>
        <v>建筑物剩余耐用年限下的土地年期修正系数Kn</v>
      </c>
      <c r="L59" s="1884" t="e">
        <f ca="1">ROUND(IF(D1="土地（套用方法）",POWER(1+L52,L47-(J51+'数据-取费表'!B20))*(POWER(1+L52,(J51+'数据-取费表'!B20))-1)/(POWER(1+L52,L47)-1),POWER(1+L52,L47-J51)*(POWER(1+L52,J51)-1)/(POWER(1+L52,L47)-1)),4)</f>
        <v>#DIV/0!</v>
      </c>
      <c r="O59" s="2340" t="s">
        <v>2358</v>
      </c>
      <c r="P59" s="2338" t="s">
        <v>2388</v>
      </c>
      <c r="Q59" s="2339">
        <f>IF(L55="比较法",L49,IF(L55="基准地价",L50,0))</f>
        <v>0</v>
      </c>
      <c r="R59" s="2338" t="s">
        <v>2355</v>
      </c>
    </row>
    <row r="60" spans="1:18" s="2035" customFormat="1" ht="18" customHeight="1" thickBot="1">
      <c r="A60" s="1624" t="s">
        <v>1810</v>
      </c>
      <c r="B60" s="784" t="s">
        <v>1736</v>
      </c>
      <c r="C60" s="53">
        <f ca="1">IF(D60="按租金收入计税",ROUND(C47*F60,1),IF(D60="按房产原值计税",ROUND(C56*F60*0.7,1),INDIRECT("'数据-取费表'!Aj"&amp;$G$1)))</f>
        <v>2977.4</v>
      </c>
      <c r="D60" s="2578" t="str">
        <f>D33</f>
        <v>按房产原值计税</v>
      </c>
      <c r="E60" s="784" t="s">
        <v>1725</v>
      </c>
      <c r="F60" s="809">
        <f t="shared" si="0"/>
        <v>1.2E-2</v>
      </c>
      <c r="I60" s="3093" t="s">
        <v>2336</v>
      </c>
      <c r="J60" s="3094" t="str">
        <f ca="1">IF(OR(M47="住宅",J51&lt;L48,J56="是"),"0",ROUND(J59/(1+J52)^J53,0))</f>
        <v>0</v>
      </c>
      <c r="K60" s="3095" t="s">
        <v>2341</v>
      </c>
      <c r="L60" s="3094">
        <f ca="1">IF(OR(M47="住宅",L48&lt;J51),0,ROUND(L57*(L58/L59-1),0))</f>
        <v>0</v>
      </c>
      <c r="O60" s="2340" t="s">
        <v>2359</v>
      </c>
      <c r="P60" s="2338" t="s">
        <v>2368</v>
      </c>
      <c r="Q60" s="2341">
        <f>L52</f>
        <v>0</v>
      </c>
      <c r="R60" s="2342"/>
    </row>
    <row r="61" spans="1:18" s="2035" customFormat="1" ht="18" customHeight="1" thickBot="1">
      <c r="A61" s="1627" t="s">
        <v>1811</v>
      </c>
      <c r="B61" s="341" t="s">
        <v>667</v>
      </c>
      <c r="C61" s="54">
        <f ca="1">ROUND(F61*F62/10000,1)</f>
        <v>0</v>
      </c>
      <c r="D61" s="814" t="s">
        <v>668</v>
      </c>
      <c r="E61" s="784" t="s">
        <v>669</v>
      </c>
      <c r="F61" s="640">
        <f t="shared" si="0"/>
        <v>0</v>
      </c>
      <c r="K61" s="2062"/>
      <c r="O61" s="2340" t="s">
        <v>2361</v>
      </c>
      <c r="P61" s="2338" t="s">
        <v>2369</v>
      </c>
      <c r="Q61" s="2339" t="e">
        <f ca="1">L58</f>
        <v>#DIV/0!</v>
      </c>
      <c r="R61" s="2342" t="s">
        <v>2370</v>
      </c>
    </row>
    <row r="62" spans="1:18" s="2035" customFormat="1" ht="15.75" thickBot="1">
      <c r="A62" s="815"/>
      <c r="B62" s="793"/>
      <c r="C62" s="69"/>
      <c r="D62" s="816"/>
      <c r="E62" s="784" t="s">
        <v>673</v>
      </c>
      <c r="F62" s="785">
        <f t="shared" ca="1" si="0"/>
        <v>238724.82</v>
      </c>
      <c r="I62" s="3096" t="s">
        <v>2342</v>
      </c>
      <c r="J62" s="3097" t="s">
        <v>2343</v>
      </c>
      <c r="K62" s="3097" t="s">
        <v>2344</v>
      </c>
      <c r="L62" s="3097" t="s">
        <v>2325</v>
      </c>
      <c r="M62" s="3098" t="s">
        <v>2918</v>
      </c>
      <c r="O62" s="2340" t="s">
        <v>2363</v>
      </c>
      <c r="P62" s="2338" t="str">
        <f>K59</f>
        <v>建筑物剩余耐用年限下的土地年期修正系数Kn</v>
      </c>
      <c r="Q62" s="2339" t="e">
        <f ca="1">L59</f>
        <v>#DIV/0!</v>
      </c>
      <c r="R62" s="2342" t="s">
        <v>2372</v>
      </c>
    </row>
    <row r="63" spans="1:18" s="2035" customFormat="1" ht="15.75" thickBot="1">
      <c r="A63" s="1625" t="s">
        <v>1867</v>
      </c>
      <c r="B63" s="784" t="s">
        <v>675</v>
      </c>
      <c r="C63" s="53">
        <f ca="1">ROUND(C56*F63,1)</f>
        <v>7089</v>
      </c>
      <c r="D63" s="2578" t="s">
        <v>1781</v>
      </c>
      <c r="E63" s="784" t="s">
        <v>1725</v>
      </c>
      <c r="F63" s="817">
        <f t="shared" ca="1" si="0"/>
        <v>0.02</v>
      </c>
      <c r="I63" s="3096" t="s">
        <v>2345</v>
      </c>
      <c r="J63" s="3097">
        <v>70</v>
      </c>
      <c r="K63" s="3097">
        <v>50</v>
      </c>
      <c r="L63" s="3097">
        <v>80</v>
      </c>
      <c r="M63" s="3099">
        <v>0.02</v>
      </c>
      <c r="O63" s="2337" t="s">
        <v>2366</v>
      </c>
      <c r="P63" s="2338" t="s">
        <v>2383</v>
      </c>
      <c r="Q63" s="2339">
        <f ca="1">Q57+Q58</f>
        <v>583649</v>
      </c>
      <c r="R63" s="2342" t="s">
        <v>2367</v>
      </c>
    </row>
    <row r="64" spans="1:18" s="2035" customFormat="1" ht="16.5" thickBot="1">
      <c r="A64" s="1625" t="s">
        <v>1868</v>
      </c>
      <c r="B64" s="784" t="s">
        <v>678</v>
      </c>
      <c r="C64" s="53">
        <f ca="1">ROUND(C55*F64,1)</f>
        <v>708.9</v>
      </c>
      <c r="D64" s="2578" t="s">
        <v>679</v>
      </c>
      <c r="E64" s="784" t="s">
        <v>1725</v>
      </c>
      <c r="F64" s="818">
        <f t="shared" ca="1" si="0"/>
        <v>2E-3</v>
      </c>
      <c r="I64" s="3096" t="s">
        <v>2346</v>
      </c>
      <c r="J64" s="3097">
        <v>50</v>
      </c>
      <c r="K64" s="3097">
        <v>35</v>
      </c>
      <c r="L64" s="3097">
        <v>60</v>
      </c>
      <c r="M64" s="846">
        <v>0</v>
      </c>
      <c r="O64" s="2343" t="s">
        <v>2390</v>
      </c>
      <c r="P64" s="1569"/>
      <c r="Q64" s="1580"/>
      <c r="R64" s="1569"/>
    </row>
    <row r="65" spans="1:18" s="2035" customFormat="1" ht="15.75" thickBot="1">
      <c r="A65" s="1625" t="s">
        <v>1869</v>
      </c>
      <c r="B65" s="784" t="s">
        <v>665</v>
      </c>
      <c r="C65" s="53">
        <f ca="1">ROUND(C47*F65,1)</f>
        <v>0</v>
      </c>
      <c r="D65" s="2578" t="s">
        <v>682</v>
      </c>
      <c r="E65" s="784" t="s">
        <v>1725</v>
      </c>
      <c r="F65" s="794">
        <f t="shared" ca="1" si="0"/>
        <v>0.02</v>
      </c>
      <c r="I65" s="3096" t="s">
        <v>2347</v>
      </c>
      <c r="J65" s="3097">
        <v>40</v>
      </c>
      <c r="K65" s="3097">
        <v>30</v>
      </c>
      <c r="L65" s="3097">
        <v>50</v>
      </c>
      <c r="M65" s="3099">
        <v>0.02</v>
      </c>
      <c r="O65" s="2334" t="s">
        <v>2350</v>
      </c>
      <c r="P65" s="2335" t="s">
        <v>2351</v>
      </c>
      <c r="Q65" s="2336" t="s">
        <v>2352</v>
      </c>
      <c r="R65" s="2335" t="s">
        <v>2353</v>
      </c>
    </row>
    <row r="66" spans="1:18" s="2035" customFormat="1" ht="24.75" thickBot="1">
      <c r="A66" s="797" t="s">
        <v>1754</v>
      </c>
      <c r="B66" s="2938" t="s">
        <v>2796</v>
      </c>
      <c r="C66" s="799">
        <f ca="1">C47-C57</f>
        <v>-10775</v>
      </c>
      <c r="D66" s="2577" t="s">
        <v>699</v>
      </c>
      <c r="E66" s="2576"/>
      <c r="F66" s="820"/>
      <c r="K66" s="2062"/>
      <c r="O66" s="2337" t="s">
        <v>2354</v>
      </c>
      <c r="P66" s="2338" t="s">
        <v>2384</v>
      </c>
      <c r="Q66" s="2339">
        <f ca="1">C40+J29</f>
        <v>583649</v>
      </c>
      <c r="R66" s="2338" t="s">
        <v>2355</v>
      </c>
    </row>
    <row r="67" spans="1:18" s="2035" customFormat="1" ht="20.25" thickBot="1">
      <c r="A67" s="781" t="s">
        <v>1758</v>
      </c>
      <c r="B67" s="2193" t="s">
        <v>2276</v>
      </c>
      <c r="C67" s="783">
        <f ca="1">ROUND(C66*(1-((1+F69)/(1+F67))^F68)/(F67-F69),0)</f>
        <v>-184889</v>
      </c>
      <c r="D67" s="814" t="s">
        <v>703</v>
      </c>
      <c r="E67" s="784" t="s">
        <v>704</v>
      </c>
      <c r="F67" s="794">
        <f ca="1">F40</f>
        <v>0.05</v>
      </c>
      <c r="K67" s="2062"/>
      <c r="O67" s="2337" t="s">
        <v>2356</v>
      </c>
      <c r="P67" s="2338" t="s">
        <v>2387</v>
      </c>
      <c r="Q67" s="2339">
        <f ca="1">L60</f>
        <v>0</v>
      </c>
      <c r="R67" s="2342" t="s">
        <v>2389</v>
      </c>
    </row>
    <row r="68" spans="1:18" ht="21.75" thickBot="1">
      <c r="A68" s="786"/>
      <c r="B68" s="787"/>
      <c r="C68" s="788"/>
      <c r="D68" s="821" t="s">
        <v>1786</v>
      </c>
      <c r="E68" s="784" t="s">
        <v>1762</v>
      </c>
      <c r="F68" s="822">
        <f ca="1">F41</f>
        <v>40</v>
      </c>
      <c r="O68" s="2340" t="s">
        <v>2358</v>
      </c>
      <c r="P68" s="2338" t="s">
        <v>2388</v>
      </c>
      <c r="Q68" s="2344">
        <f ca="1">L51</f>
        <v>169339</v>
      </c>
      <c r="R68" s="2345" t="s">
        <v>2391</v>
      </c>
    </row>
    <row r="69" spans="1:18" ht="20.25" thickBot="1">
      <c r="A69" s="790"/>
      <c r="B69" s="791"/>
      <c r="C69" s="792"/>
      <c r="D69" s="816"/>
      <c r="E69" s="784" t="s">
        <v>709</v>
      </c>
      <c r="F69" s="2310"/>
      <c r="O69" s="2340" t="s">
        <v>2359</v>
      </c>
      <c r="P69" s="2346" t="s">
        <v>2373</v>
      </c>
      <c r="Q69" s="2339">
        <f ca="1">ROUND(Q70-Q71*Q72,0)</f>
        <v>9202</v>
      </c>
      <c r="R69" s="2342"/>
    </row>
    <row r="70" spans="1:18" ht="15.75" thickBot="1">
      <c r="A70" s="823" t="s">
        <v>1765</v>
      </c>
      <c r="B70" s="824" t="s">
        <v>1788</v>
      </c>
      <c r="C70" s="825">
        <f ca="1">ROUND(C67*10000/F70,0)</f>
        <v>-5159</v>
      </c>
      <c r="D70" s="826" t="s">
        <v>1789</v>
      </c>
      <c r="E70" s="827" t="s">
        <v>1790</v>
      </c>
      <c r="F70" s="828">
        <f ca="1">F43</f>
        <v>358392.93</v>
      </c>
      <c r="O70" s="2340" t="s">
        <v>2374</v>
      </c>
      <c r="P70" s="2346" t="s">
        <v>2375</v>
      </c>
      <c r="Q70" s="2339">
        <f ca="1">C39</f>
        <v>34014</v>
      </c>
      <c r="R70" s="2338" t="s">
        <v>2355</v>
      </c>
    </row>
    <row r="71" spans="1:18" ht="15.75" thickBot="1">
      <c r="O71" s="2340" t="s">
        <v>2376</v>
      </c>
      <c r="P71" s="2346" t="s">
        <v>2377</v>
      </c>
      <c r="Q71" s="2339">
        <f ca="1">C13</f>
        <v>354451</v>
      </c>
      <c r="R71" s="2338" t="s">
        <v>2355</v>
      </c>
    </row>
    <row r="72" spans="1:18" ht="15.75" thickBot="1">
      <c r="O72" s="2340" t="s">
        <v>2378</v>
      </c>
      <c r="P72" s="2346" t="s">
        <v>2379</v>
      </c>
      <c r="Q72" s="2341">
        <f ca="1">J36</f>
        <v>7.0000000000000007E-2</v>
      </c>
      <c r="R72" s="2342"/>
    </row>
    <row r="73" spans="1:18" ht="15.75" thickBot="1">
      <c r="O73" s="2340" t="s">
        <v>2361</v>
      </c>
      <c r="P73" s="2338" t="s">
        <v>2368</v>
      </c>
      <c r="Q73" s="2341">
        <f>L52</f>
        <v>0</v>
      </c>
      <c r="R73" s="2342"/>
    </row>
    <row r="74" spans="1:18" ht="20.25" thickBot="1">
      <c r="O74" s="2340" t="s">
        <v>2363</v>
      </c>
      <c r="P74" s="2338" t="s">
        <v>2369</v>
      </c>
      <c r="Q74" s="2339" t="e">
        <f ca="1">L58</f>
        <v>#DIV/0!</v>
      </c>
      <c r="R74" s="2342" t="s">
        <v>2370</v>
      </c>
    </row>
    <row r="75" spans="1:18" ht="15.75" thickBot="1">
      <c r="O75" s="2340" t="s">
        <v>2392</v>
      </c>
      <c r="P75" s="2338" t="str">
        <f>K59</f>
        <v>建筑物剩余耐用年限下的土地年期修正系数Kn</v>
      </c>
      <c r="Q75" s="2339" t="e">
        <f ca="1">L59</f>
        <v>#DIV/0!</v>
      </c>
      <c r="R75" s="2342" t="s">
        <v>2372</v>
      </c>
    </row>
    <row r="76" spans="1:18" ht="15.75" thickBot="1">
      <c r="O76" s="2337" t="s">
        <v>2366</v>
      </c>
      <c r="P76" s="2338" t="s">
        <v>2383</v>
      </c>
      <c r="Q76" s="2339">
        <f ca="1">Q66+Q67</f>
        <v>583649</v>
      </c>
      <c r="R76" s="2342" t="s">
        <v>2367</v>
      </c>
    </row>
  </sheetData>
  <sheetProtection password="C66D" sheet="1" objects="1" scenarios="1" formatCells="0" formatColumns="0" formatRows="0"/>
  <mergeCells count="3">
    <mergeCell ref="K53:L53"/>
    <mergeCell ref="B6:B9"/>
    <mergeCell ref="I6:I9"/>
  </mergeCells>
  <phoneticPr fontId="6"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887" t="s">
        <v>2446</v>
      </c>
      <c r="B1" s="3888"/>
      <c r="C1" s="3889"/>
      <c r="D1" s="3890">
        <f>SUM(I10,I15,I20,I21,I23)</f>
        <v>0</v>
      </c>
      <c r="E1" s="3890"/>
      <c r="F1" s="3890"/>
      <c r="G1" s="3890"/>
      <c r="H1" s="3890"/>
      <c r="I1" s="3891"/>
    </row>
    <row r="2" spans="1:9">
      <c r="A2" s="3877" t="s">
        <v>2447</v>
      </c>
      <c r="B2" s="3878" t="s">
        <v>2448</v>
      </c>
      <c r="C2" s="3878"/>
      <c r="D2" s="2446" t="s">
        <v>2449</v>
      </c>
      <c r="E2" s="2446" t="s">
        <v>2450</v>
      </c>
      <c r="F2" s="2446" t="s">
        <v>2451</v>
      </c>
      <c r="G2" s="2446" t="s">
        <v>2452</v>
      </c>
      <c r="H2" s="2446" t="s">
        <v>2453</v>
      </c>
      <c r="I2" s="2447" t="s">
        <v>2454</v>
      </c>
    </row>
    <row r="3" spans="1:9">
      <c r="A3" s="3877"/>
      <c r="B3" s="3878" t="s">
        <v>2455</v>
      </c>
      <c r="C3" s="3878"/>
      <c r="D3" s="2448"/>
      <c r="E3" s="2446"/>
      <c r="F3" s="2449"/>
      <c r="G3" s="2449"/>
      <c r="H3" s="2450"/>
      <c r="I3" s="2451">
        <f>ROUND(D3*E3*F3*G3*H3/10000,0)</f>
        <v>0</v>
      </c>
    </row>
    <row r="4" spans="1:9">
      <c r="A4" s="3877"/>
      <c r="B4" s="3878" t="s">
        <v>2456</v>
      </c>
      <c r="C4" s="3878"/>
      <c r="D4" s="2448"/>
      <c r="E4" s="2446"/>
      <c r="F4" s="2449"/>
      <c r="G4" s="2449"/>
      <c r="H4" s="2450"/>
      <c r="I4" s="2451">
        <f t="shared" ref="I4:I9" si="0">ROUND(D4*E4*F4*G4*H4/10000,0)</f>
        <v>0</v>
      </c>
    </row>
    <row r="5" spans="1:9">
      <c r="A5" s="3877"/>
      <c r="B5" s="3878" t="s">
        <v>2457</v>
      </c>
      <c r="C5" s="3878"/>
      <c r="D5" s="2448"/>
      <c r="E5" s="2446"/>
      <c r="F5" s="2449"/>
      <c r="G5" s="2449"/>
      <c r="H5" s="2450"/>
      <c r="I5" s="2451">
        <f t="shared" si="0"/>
        <v>0</v>
      </c>
    </row>
    <row r="6" spans="1:9">
      <c r="A6" s="3877"/>
      <c r="B6" s="3878" t="s">
        <v>2458</v>
      </c>
      <c r="C6" s="3878"/>
      <c r="D6" s="2448"/>
      <c r="E6" s="2446"/>
      <c r="F6" s="2449"/>
      <c r="G6" s="2449"/>
      <c r="H6" s="2450"/>
      <c r="I6" s="2451">
        <f t="shared" si="0"/>
        <v>0</v>
      </c>
    </row>
    <row r="7" spans="1:9">
      <c r="A7" s="3877"/>
      <c r="B7" s="3878" t="s">
        <v>2459</v>
      </c>
      <c r="C7" s="3878"/>
      <c r="D7" s="2448"/>
      <c r="E7" s="2446"/>
      <c r="F7" s="2449"/>
      <c r="G7" s="2449"/>
      <c r="H7" s="2450"/>
      <c r="I7" s="2451">
        <f t="shared" si="0"/>
        <v>0</v>
      </c>
    </row>
    <row r="8" spans="1:9">
      <c r="A8" s="3877"/>
      <c r="B8" s="3878" t="s">
        <v>2460</v>
      </c>
      <c r="C8" s="3878"/>
      <c r="D8" s="2448"/>
      <c r="E8" s="2446"/>
      <c r="F8" s="2449"/>
      <c r="G8" s="2449"/>
      <c r="H8" s="2450"/>
      <c r="I8" s="2451">
        <f t="shared" si="0"/>
        <v>0</v>
      </c>
    </row>
    <row r="9" spans="1:9">
      <c r="A9" s="3877"/>
      <c r="B9" s="3878" t="s">
        <v>2461</v>
      </c>
      <c r="C9" s="3878"/>
      <c r="D9" s="2448"/>
      <c r="E9" s="2446"/>
      <c r="F9" s="2449"/>
      <c r="G9" s="2449"/>
      <c r="H9" s="2450"/>
      <c r="I9" s="2451">
        <f t="shared" si="0"/>
        <v>0</v>
      </c>
    </row>
    <row r="10" spans="1:9">
      <c r="A10" s="3877"/>
      <c r="B10" s="3879" t="s">
        <v>2462</v>
      </c>
      <c r="C10" s="3879"/>
      <c r="D10" s="2452">
        <v>527</v>
      </c>
      <c r="E10" s="2452" t="e">
        <f>ROUND(D1*10000/D10/H9,0)</f>
        <v>#DIV/0!</v>
      </c>
      <c r="F10" s="2453"/>
      <c r="G10" s="2453"/>
      <c r="H10" s="2454"/>
      <c r="I10" s="2455">
        <f>SUM(I3:I9)</f>
        <v>0</v>
      </c>
    </row>
    <row r="11" spans="1:9" ht="14.25">
      <c r="A11" s="3877" t="s">
        <v>2463</v>
      </c>
      <c r="B11" s="3878" t="s">
        <v>2464</v>
      </c>
      <c r="C11" s="3878"/>
      <c r="D11" s="2448" t="s">
        <v>2465</v>
      </c>
      <c r="E11" s="2448" t="s">
        <v>2466</v>
      </c>
      <c r="F11" s="2449" t="s">
        <v>2467</v>
      </c>
      <c r="G11" s="2449" t="s">
        <v>2468</v>
      </c>
      <c r="H11" s="2456" t="s">
        <v>2469</v>
      </c>
      <c r="I11" s="2447" t="s">
        <v>2470</v>
      </c>
    </row>
    <row r="12" spans="1:9">
      <c r="A12" s="3877"/>
      <c r="B12" s="3878" t="s">
        <v>2471</v>
      </c>
      <c r="C12" s="3878"/>
      <c r="D12" s="2448"/>
      <c r="E12" s="2448"/>
      <c r="F12" s="2449"/>
      <c r="G12" s="2450"/>
      <c r="H12" s="2457"/>
      <c r="I12" s="2447">
        <f>ROUND(D12*E12*F12*G12/10000,0)</f>
        <v>0</v>
      </c>
    </row>
    <row r="13" spans="1:9">
      <c r="A13" s="3877"/>
      <c r="B13" s="3878" t="s">
        <v>2472</v>
      </c>
      <c r="C13" s="3878"/>
      <c r="D13" s="2448"/>
      <c r="E13" s="2448"/>
      <c r="F13" s="2449"/>
      <c r="G13" s="2450"/>
      <c r="H13" s="2457"/>
      <c r="I13" s="2447">
        <f>ROUND(D13*E13*F13*G13/10000,0)</f>
        <v>0</v>
      </c>
    </row>
    <row r="14" spans="1:9">
      <c r="A14" s="3877"/>
      <c r="B14" s="3878" t="s">
        <v>2473</v>
      </c>
      <c r="C14" s="3878"/>
      <c r="D14" s="2448"/>
      <c r="E14" s="2448"/>
      <c r="F14" s="2449"/>
      <c r="G14" s="2450"/>
      <c r="H14" s="2457"/>
      <c r="I14" s="2447">
        <f>ROUND(D14*E14*F14*G14/10000,0)</f>
        <v>0</v>
      </c>
    </row>
    <row r="15" spans="1:9">
      <c r="A15" s="3877"/>
      <c r="B15" s="3879" t="s">
        <v>2462</v>
      </c>
      <c r="C15" s="3879"/>
      <c r="D15" s="2452"/>
      <c r="E15" s="2452">
        <f>SUM(E12:E14)</f>
        <v>0</v>
      </c>
      <c r="F15" s="2453"/>
      <c r="G15" s="2450"/>
      <c r="H15" s="2457"/>
      <c r="I15" s="2458">
        <f>SUM(I12:I14)</f>
        <v>0</v>
      </c>
    </row>
    <row r="16" spans="1:9" ht="24">
      <c r="A16" s="3877" t="s">
        <v>2474</v>
      </c>
      <c r="B16" s="3878" t="s">
        <v>2475</v>
      </c>
      <c r="C16" s="3878"/>
      <c r="D16" s="2448" t="s">
        <v>2476</v>
      </c>
      <c r="E16" s="2459" t="s">
        <v>2477</v>
      </c>
      <c r="F16" s="2449" t="s">
        <v>2478</v>
      </c>
      <c r="G16" s="2450" t="s">
        <v>2468</v>
      </c>
      <c r="H16" s="2456" t="s">
        <v>2469</v>
      </c>
      <c r="I16" s="2447" t="s">
        <v>2470</v>
      </c>
    </row>
    <row r="17" spans="1:9" ht="14.25">
      <c r="A17" s="3877"/>
      <c r="B17" s="3878" t="s">
        <v>2479</v>
      </c>
      <c r="C17" s="3878"/>
      <c r="D17" s="2448"/>
      <c r="E17" s="2448"/>
      <c r="F17" s="2449"/>
      <c r="G17" s="2450"/>
      <c r="H17" s="2460"/>
      <c r="I17" s="2461">
        <f>ROUND(D17*E17*F17*G17/10000,0)</f>
        <v>0</v>
      </c>
    </row>
    <row r="18" spans="1:9" ht="14.25">
      <c r="A18" s="3877"/>
      <c r="B18" s="3878" t="s">
        <v>2480</v>
      </c>
      <c r="C18" s="3878"/>
      <c r="D18" s="2448"/>
      <c r="E18" s="2448"/>
      <c r="F18" s="2449"/>
      <c r="G18" s="2450"/>
      <c r="H18" s="2460"/>
      <c r="I18" s="2461">
        <f>ROUND(D18*E18*F18*G18/10000,0)</f>
        <v>0</v>
      </c>
    </row>
    <row r="19" spans="1:9" ht="14.25">
      <c r="A19" s="3877"/>
      <c r="B19" s="3878" t="s">
        <v>2481</v>
      </c>
      <c r="C19" s="3878"/>
      <c r="D19" s="2448"/>
      <c r="E19" s="2448"/>
      <c r="F19" s="2449"/>
      <c r="G19" s="2450"/>
      <c r="H19" s="2460"/>
      <c r="I19" s="2461">
        <f>ROUND(D19*E19*F19*G19/10000,0)</f>
        <v>0</v>
      </c>
    </row>
    <row r="20" spans="1:9">
      <c r="A20" s="3877"/>
      <c r="B20" s="3879" t="s">
        <v>2462</v>
      </c>
      <c r="C20" s="3879"/>
      <c r="D20" s="2452">
        <f>SUM(D17:D19)</f>
        <v>0</v>
      </c>
      <c r="E20" s="2452"/>
      <c r="F20" s="2453"/>
      <c r="G20" s="2450"/>
      <c r="H20" s="2457"/>
      <c r="I20" s="2458">
        <f>SUM(I17:I19)</f>
        <v>0</v>
      </c>
    </row>
    <row r="21" spans="1:9">
      <c r="A21" s="3877" t="s">
        <v>2482</v>
      </c>
      <c r="B21" s="3880"/>
      <c r="C21" s="3880"/>
      <c r="D21" s="3880"/>
      <c r="E21" s="3880"/>
      <c r="F21" s="3880"/>
      <c r="G21" s="3880"/>
      <c r="H21" s="2462">
        <v>0.1</v>
      </c>
      <c r="I21" s="2455">
        <f>ROUND(I10*H21,0)</f>
        <v>0</v>
      </c>
    </row>
    <row r="22" spans="1:9" ht="14.25">
      <c r="A22" s="3881" t="s">
        <v>2483</v>
      </c>
      <c r="B22" s="3882"/>
      <c r="C22" s="3883"/>
      <c r="D22" s="2463" t="s">
        <v>2484</v>
      </c>
      <c r="E22" s="2463" t="s">
        <v>2485</v>
      </c>
      <c r="F22" s="2464" t="s">
        <v>2486</v>
      </c>
      <c r="G22" s="2464" t="s">
        <v>2487</v>
      </c>
      <c r="H22" s="2456" t="s">
        <v>2488</v>
      </c>
      <c r="I22" s="2447" t="s">
        <v>2489</v>
      </c>
    </row>
    <row r="23" spans="1:9" ht="14.25" thickBot="1">
      <c r="A23" s="3884"/>
      <c r="B23" s="3885"/>
      <c r="C23" s="3886"/>
      <c r="D23" s="2465"/>
      <c r="E23" s="2465"/>
      <c r="F23" s="2465"/>
      <c r="G23" s="2466"/>
      <c r="H23" s="2467"/>
      <c r="I23" s="2468">
        <f>ROUND(E23*D23*F23*(1-G23)/10000,0)</f>
        <v>0</v>
      </c>
    </row>
    <row r="26" spans="1:9">
      <c r="A26" s="2469" t="s">
        <v>2490</v>
      </c>
      <c r="B26" s="2469"/>
      <c r="C26" s="2469"/>
      <c r="D26" s="2469"/>
      <c r="E26" s="3874">
        <f>C27-C30-C31-C32</f>
        <v>0</v>
      </c>
      <c r="F26" s="3874"/>
      <c r="G26" s="3874"/>
      <c r="H26" s="2970" t="s">
        <v>2817</v>
      </c>
    </row>
    <row r="27" spans="1:9">
      <c r="A27" s="2470">
        <v>1</v>
      </c>
      <c r="B27" s="2471" t="s">
        <v>2491</v>
      </c>
      <c r="C27" s="2471"/>
      <c r="D27" s="2471"/>
      <c r="E27" s="3875"/>
      <c r="F27" s="3875"/>
      <c r="G27" s="3875"/>
    </row>
    <row r="28" spans="1:9">
      <c r="A28" s="2472" t="s">
        <v>2492</v>
      </c>
      <c r="B28" s="2471" t="s">
        <v>2493</v>
      </c>
      <c r="C28" s="2471"/>
      <c r="D28" s="2471"/>
      <c r="E28" s="3875"/>
      <c r="F28" s="3875"/>
      <c r="G28" s="3875"/>
    </row>
    <row r="29" spans="1:9">
      <c r="A29" s="2472" t="s">
        <v>2494</v>
      </c>
      <c r="B29" s="2471" t="s">
        <v>2435</v>
      </c>
      <c r="C29" s="2471"/>
      <c r="D29" s="2471"/>
      <c r="E29" s="2471" t="s">
        <v>2495</v>
      </c>
      <c r="F29" s="2471"/>
      <c r="G29" s="2471"/>
    </row>
    <row r="30" spans="1:9">
      <c r="A30" s="2470">
        <v>2</v>
      </c>
      <c r="B30" s="2471" t="s">
        <v>2496</v>
      </c>
      <c r="C30" s="2471">
        <f>C27*D30</f>
        <v>0</v>
      </c>
      <c r="D30" s="2473">
        <v>0.2</v>
      </c>
      <c r="E30" s="2471" t="s">
        <v>2497</v>
      </c>
      <c r="F30" s="2471"/>
      <c r="G30" s="2471"/>
    </row>
    <row r="31" spans="1:9">
      <c r="A31" s="2470">
        <v>3</v>
      </c>
      <c r="B31" s="2471" t="s">
        <v>2498</v>
      </c>
      <c r="C31" s="2471">
        <f>C25*D31</f>
        <v>0</v>
      </c>
      <c r="D31" s="2473">
        <v>0.15</v>
      </c>
      <c r="E31" s="2471" t="s">
        <v>2499</v>
      </c>
      <c r="F31" s="2471"/>
      <c r="G31" s="2471"/>
    </row>
    <row r="32" spans="1:9">
      <c r="A32" s="2470">
        <v>4</v>
      </c>
      <c r="B32" s="2471" t="s">
        <v>2500</v>
      </c>
      <c r="C32" s="2471">
        <f>C27*D32</f>
        <v>0</v>
      </c>
      <c r="D32" s="2473">
        <v>0.05</v>
      </c>
      <c r="E32" s="3876"/>
      <c r="F32" s="3876"/>
      <c r="G32" s="3876"/>
    </row>
    <row r="33" spans="1:7" hidden="1">
      <c r="A33" s="3871" t="s">
        <v>2501</v>
      </c>
      <c r="B33" s="3872"/>
      <c r="C33" s="3872"/>
      <c r="D33" s="3873"/>
      <c r="E33" s="3874"/>
      <c r="F33" s="3874"/>
      <c r="G33" s="3874"/>
    </row>
    <row r="34" spans="1:7" hidden="1">
      <c r="A34" s="2474">
        <v>1</v>
      </c>
      <c r="B34" s="2471" t="s">
        <v>2502</v>
      </c>
      <c r="C34" s="2471"/>
      <c r="D34" s="2471"/>
      <c r="E34" s="3875"/>
      <c r="F34" s="3875"/>
      <c r="G34" s="3875"/>
    </row>
    <row r="35" spans="1:7" hidden="1">
      <c r="A35" s="2474">
        <v>2</v>
      </c>
      <c r="B35" s="2471" t="s">
        <v>2503</v>
      </c>
      <c r="C35" s="2471"/>
      <c r="D35" s="2471"/>
      <c r="E35" s="3875"/>
      <c r="F35" s="3875"/>
      <c r="G35" s="3875"/>
    </row>
    <row r="36" spans="1:7" hidden="1">
      <c r="A36" s="2474">
        <v>3</v>
      </c>
      <c r="B36" s="2471" t="s">
        <v>2504</v>
      </c>
      <c r="C36" s="2471"/>
      <c r="D36" s="2471"/>
      <c r="E36" s="3875"/>
      <c r="F36" s="3875"/>
      <c r="G36" s="3875"/>
    </row>
    <row r="37" spans="1:7" hidden="1">
      <c r="A37" s="2474">
        <v>4</v>
      </c>
      <c r="B37" s="2471" t="s">
        <v>2505</v>
      </c>
      <c r="C37" s="2471"/>
      <c r="D37" s="2471"/>
      <c r="E37" s="3875"/>
      <c r="F37" s="3875"/>
      <c r="G37" s="3875"/>
    </row>
    <row r="38" spans="1:7" hidden="1">
      <c r="A38" s="3871" t="s">
        <v>2506</v>
      </c>
      <c r="B38" s="3872"/>
      <c r="C38" s="3872"/>
      <c r="D38" s="3873"/>
      <c r="E38" s="3874"/>
      <c r="F38" s="3874"/>
      <c r="G38" s="38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ColWidth="9" defaultRowHeight="15"/>
  <cols>
    <col min="1" max="1" width="9" style="2036" customWidth="1"/>
    <col min="2" max="2" width="20.625" style="2075" customWidth="1"/>
    <col min="3" max="3" width="11.875" style="2075" customWidth="1"/>
    <col min="4" max="4" width="40.5" style="2036" customWidth="1"/>
    <col min="5" max="5" width="15.625" style="2036" customWidth="1"/>
    <col min="6" max="6" width="10.625" style="2036" customWidth="1"/>
    <col min="7" max="7" width="4.875" style="2036" customWidth="1"/>
    <col min="8" max="8" width="8.5" style="2036" customWidth="1"/>
    <col min="9" max="9" width="21.125" style="2036" customWidth="1"/>
    <col min="10" max="10" width="12.125" style="2036" customWidth="1"/>
    <col min="11" max="11" width="40.125" style="2076" customWidth="1"/>
    <col min="12" max="12" width="18.375" style="2036" customWidth="1"/>
    <col min="13" max="13" width="13" style="2036" customWidth="1"/>
    <col min="14" max="14" width="9.5" style="2035" bestFit="1" customWidth="1"/>
    <col min="15" max="15" width="5.875" style="2035" customWidth="1"/>
    <col min="16" max="16" width="27.625" style="2035" customWidth="1"/>
    <col min="17" max="17" width="13.625" style="2073" customWidth="1"/>
    <col min="18" max="18" width="23.5" style="2035" customWidth="1"/>
    <col min="19" max="19" width="1.5" style="2035" customWidth="1"/>
    <col min="20" max="33" width="9" style="2035"/>
    <col min="34" max="16384" width="9" style="2036"/>
  </cols>
  <sheetData>
    <row r="1" spans="1:33" s="2030" customFormat="1" ht="21">
      <c r="A1" s="832" t="s">
        <v>1703</v>
      </c>
      <c r="B1" s="738"/>
      <c r="C1" s="773" t="s">
        <v>1655</v>
      </c>
      <c r="D1" s="3052" t="s">
        <v>930</v>
      </c>
      <c r="E1" s="2326" t="s">
        <v>848</v>
      </c>
      <c r="F1" s="2327">
        <f ca="1">J53</f>
        <v>50</v>
      </c>
      <c r="G1" s="774">
        <f>MATCH(C1,'数据-取费表'!A6:A16,0)+5</f>
        <v>7</v>
      </c>
      <c r="H1" s="2026"/>
      <c r="I1" s="2027"/>
      <c r="J1" s="2027"/>
      <c r="K1" s="2028"/>
      <c r="L1" s="2027"/>
      <c r="M1" s="2027"/>
      <c r="N1" s="2029"/>
      <c r="O1" s="2029"/>
      <c r="P1" s="2029"/>
      <c r="Q1" s="2331"/>
      <c r="R1" s="2029"/>
      <c r="S1" s="2029"/>
      <c r="T1" s="2029"/>
      <c r="U1" s="2029"/>
      <c r="V1" s="2029"/>
      <c r="W1" s="2029"/>
      <c r="X1" s="2029"/>
      <c r="Y1" s="2029"/>
      <c r="Z1" s="2029"/>
      <c r="AA1" s="2029"/>
      <c r="AB1" s="2029"/>
      <c r="AC1" s="2029"/>
      <c r="AD1" s="2029"/>
      <c r="AE1" s="2029"/>
      <c r="AF1" s="2029"/>
      <c r="AG1" s="2029"/>
    </row>
    <row r="2" spans="1:33" ht="18" customHeight="1">
      <c r="A2" s="423" t="s">
        <v>466</v>
      </c>
      <c r="B2" s="775">
        <f ca="1">C40+J29+L46</f>
        <v>335380</v>
      </c>
      <c r="C2" s="2033"/>
      <c r="D2" s="2031"/>
      <c r="E2" s="2032"/>
      <c r="F2" s="2032"/>
      <c r="G2" s="1567"/>
      <c r="H2" s="2033"/>
      <c r="I2" s="2033"/>
      <c r="J2" s="2033"/>
      <c r="K2" s="2034"/>
      <c r="L2" s="2033"/>
      <c r="M2" s="2033"/>
    </row>
    <row r="3" spans="1:33" ht="18" customHeight="1" thickBot="1">
      <c r="A3" s="833" t="s">
        <v>518</v>
      </c>
      <c r="B3" s="834">
        <f ca="1">IF(ISERROR(B2*10000/F43),0,ROUND(B2*10000/F43,0))</f>
        <v>16916</v>
      </c>
      <c r="C3" s="2033"/>
      <c r="D3" s="2031"/>
      <c r="E3" s="2032"/>
      <c r="F3" s="2032"/>
      <c r="G3" s="1567"/>
      <c r="H3" s="776" t="s">
        <v>694</v>
      </c>
      <c r="I3" s="1349"/>
      <c r="J3" s="1349"/>
      <c r="K3" s="1568"/>
      <c r="L3" s="1349"/>
      <c r="M3" s="1349"/>
    </row>
    <row r="4" spans="1:33" ht="18" customHeight="1">
      <c r="A4" s="777" t="s">
        <v>629</v>
      </c>
      <c r="B4" s="778" t="s">
        <v>630</v>
      </c>
      <c r="C4" s="778" t="s">
        <v>631</v>
      </c>
      <c r="D4" s="778" t="s">
        <v>632</v>
      </c>
      <c r="E4" s="779" t="s">
        <v>633</v>
      </c>
      <c r="F4" s="780"/>
      <c r="G4" s="1569"/>
      <c r="H4" s="777" t="s">
        <v>629</v>
      </c>
      <c r="I4" s="778" t="s">
        <v>630</v>
      </c>
      <c r="J4" s="778" t="s">
        <v>631</v>
      </c>
      <c r="K4" s="778" t="s">
        <v>632</v>
      </c>
      <c r="L4" s="779" t="s">
        <v>633</v>
      </c>
      <c r="M4" s="780"/>
    </row>
    <row r="5" spans="1:33" ht="18" customHeight="1">
      <c r="A5" s="781">
        <v>1</v>
      </c>
      <c r="B5" s="782" t="s">
        <v>2433</v>
      </c>
      <c r="C5" s="55">
        <f ca="1">C6+C10+C12</f>
        <v>26084</v>
      </c>
      <c r="D5" s="2435" t="s">
        <v>2436</v>
      </c>
      <c r="E5" s="2429"/>
      <c r="F5" s="2430"/>
      <c r="G5" s="1569"/>
      <c r="H5" s="781">
        <v>1</v>
      </c>
      <c r="I5" s="782" t="s">
        <v>2433</v>
      </c>
      <c r="J5" s="55">
        <f ca="1">J6+J10+J12</f>
        <v>0</v>
      </c>
      <c r="K5" s="2435" t="s">
        <v>2436</v>
      </c>
      <c r="L5" s="2429"/>
      <c r="M5" s="2430"/>
    </row>
    <row r="6" spans="1:33" ht="18" customHeight="1">
      <c r="A6" s="1806" t="s">
        <v>1802</v>
      </c>
      <c r="B6" s="3863" t="s">
        <v>2438</v>
      </c>
      <c r="C6" s="783">
        <f ca="1">ROUND(F6*F8*F7*(1-F9)/10000,0)</f>
        <v>26051</v>
      </c>
      <c r="D6" s="2436" t="s">
        <v>2437</v>
      </c>
      <c r="E6" s="784" t="s">
        <v>636</v>
      </c>
      <c r="F6" s="785">
        <f ca="1">INDIRECT("'数据-取费表'!u"&amp;$G$1)</f>
        <v>4</v>
      </c>
      <c r="G6" s="1569"/>
      <c r="H6" s="2443" t="s">
        <v>1802</v>
      </c>
      <c r="I6" s="3863" t="s">
        <v>2438</v>
      </c>
      <c r="J6" s="783">
        <f ca="1">ROUND(M6*M8*M7*(1-M9)/10000,0)</f>
        <v>0</v>
      </c>
      <c r="K6" s="341" t="s">
        <v>635</v>
      </c>
      <c r="L6" s="784" t="s">
        <v>636</v>
      </c>
      <c r="M6" s="785">
        <f ca="1">INDIRECT("'数据-取费表'!z"&amp;$G$1)</f>
        <v>0</v>
      </c>
    </row>
    <row r="7" spans="1:33" ht="18" customHeight="1">
      <c r="A7" s="2439"/>
      <c r="B7" s="3864"/>
      <c r="C7" s="788"/>
      <c r="D7" s="789"/>
      <c r="E7" s="784" t="s">
        <v>637</v>
      </c>
      <c r="F7" s="785">
        <f ca="1">IF(INDIRECT("'数据-取费表'!ah"&amp;$G$1)="",INDIRECT("'数据-取费表'!k"&amp;$G$1),INDIRECT("'数据-取费表'!ah"&amp;$G$1))</f>
        <v>198257.18</v>
      </c>
      <c r="G7" s="1569"/>
      <c r="H7" s="2428"/>
      <c r="I7" s="3864"/>
      <c r="J7" s="788"/>
      <c r="K7" s="789"/>
      <c r="L7" s="784" t="s">
        <v>637</v>
      </c>
      <c r="M7" s="785">
        <f ca="1">F7</f>
        <v>198257.18</v>
      </c>
    </row>
    <row r="8" spans="1:33" ht="18" customHeight="1">
      <c r="A8" s="2432"/>
      <c r="B8" s="3865"/>
      <c r="C8" s="788"/>
      <c r="D8" s="789"/>
      <c r="E8" s="784" t="s">
        <v>638</v>
      </c>
      <c r="F8" s="785">
        <f ca="1">INDIRECT("'数据-取费表'!ai"&amp;$G$1)</f>
        <v>365</v>
      </c>
      <c r="G8" s="1569"/>
      <c r="H8" s="2428"/>
      <c r="I8" s="3865"/>
      <c r="J8" s="788"/>
      <c r="K8" s="789"/>
      <c r="L8" s="784" t="s">
        <v>638</v>
      </c>
      <c r="M8" s="785">
        <f ca="1">INDIRECT("'数据-取费表'!ai"&amp;$G$1)</f>
        <v>365</v>
      </c>
    </row>
    <row r="9" spans="1:33" ht="18" customHeight="1">
      <c r="A9" s="786"/>
      <c r="B9" s="3866"/>
      <c r="C9" s="788"/>
      <c r="D9" s="789"/>
      <c r="E9" s="784" t="s">
        <v>639</v>
      </c>
      <c r="F9" s="794">
        <f ca="1">INDIRECT("'数据-取费表'!w"&amp;$G$1)</f>
        <v>0.1</v>
      </c>
      <c r="G9" s="1569"/>
      <c r="H9" s="2444"/>
      <c r="I9" s="3865"/>
      <c r="J9" s="788"/>
      <c r="K9" s="789"/>
      <c r="L9" s="795" t="s">
        <v>639</v>
      </c>
      <c r="M9" s="796">
        <f ca="1">INDIRECT("'数据-取费表'!ab"&amp;$G$1)</f>
        <v>0</v>
      </c>
    </row>
    <row r="10" spans="1:33" ht="18" customHeight="1">
      <c r="A10" s="1806" t="s">
        <v>1803</v>
      </c>
      <c r="B10" s="2433" t="s">
        <v>2434</v>
      </c>
      <c r="C10" s="799">
        <f ca="1">ROUND(IF(F10="押一",C6/12*F11,IF(F10="押二",C6/12*2*F11,IF(F10="押三",C6/12*3*F11,C11*F11))),0)</f>
        <v>33</v>
      </c>
      <c r="D10" s="2440" t="s">
        <v>2949</v>
      </c>
      <c r="E10" s="2437" t="s">
        <v>2439</v>
      </c>
      <c r="F10" s="2560" t="s">
        <v>3021</v>
      </c>
      <c r="G10" s="1569"/>
      <c r="H10" s="2500" t="s">
        <v>1803</v>
      </c>
      <c r="I10" s="2505" t="s">
        <v>2434</v>
      </c>
      <c r="J10" s="783">
        <f ca="1">ROUND(IF(M10="押一",J6/12*M11,IF(M10="押二",J6/12*2*M11,IF(M10="押三",J6/12*3*M11,J11*M11))),0)</f>
        <v>0</v>
      </c>
      <c r="K10" s="2440" t="s">
        <v>2949</v>
      </c>
      <c r="L10" s="2437" t="s">
        <v>2439</v>
      </c>
      <c r="M10" s="2560"/>
    </row>
    <row r="11" spans="1:33" ht="18" customHeight="1">
      <c r="A11" s="790"/>
      <c r="B11" s="2434" t="s">
        <v>2548</v>
      </c>
      <c r="C11" s="2438"/>
      <c r="D11" s="789"/>
      <c r="E11" s="2437" t="s">
        <v>2431</v>
      </c>
      <c r="F11" s="796">
        <f ca="1">'数据-取费表'!B39</f>
        <v>1.4999999999999999E-2</v>
      </c>
      <c r="G11" s="1569"/>
      <c r="H11" s="2501"/>
      <c r="I11" s="2434" t="s">
        <v>2548</v>
      </c>
      <c r="J11" s="2438"/>
      <c r="K11" s="2502"/>
      <c r="L11" s="2437" t="s">
        <v>2431</v>
      </c>
      <c r="M11" s="2431">
        <f ca="1">'数据-取费表'!B39</f>
        <v>1.4999999999999999E-2</v>
      </c>
    </row>
    <row r="12" spans="1:33" ht="18" customHeight="1" thickBot="1">
      <c r="A12" s="2476" t="s">
        <v>2442</v>
      </c>
      <c r="B12" s="2477" t="s">
        <v>2435</v>
      </c>
      <c r="C12" s="2478"/>
      <c r="D12" s="2479"/>
      <c r="E12" s="2480"/>
      <c r="F12" s="2481"/>
      <c r="G12" s="1569"/>
      <c r="H12" s="2490" t="s">
        <v>2442</v>
      </c>
      <c r="I12" s="2503" t="s">
        <v>2435</v>
      </c>
      <c r="J12" s="2504"/>
      <c r="K12" s="2479"/>
      <c r="L12" s="2480"/>
      <c r="M12" s="2493"/>
    </row>
    <row r="13" spans="1:33" ht="18" customHeight="1" thickTop="1">
      <c r="A13" s="1805">
        <v>2</v>
      </c>
      <c r="B13" s="1803" t="s">
        <v>643</v>
      </c>
      <c r="C13" s="792">
        <f ca="1">ROUND(C29*F13,0)</f>
        <v>190866</v>
      </c>
      <c r="D13" s="1810" t="s">
        <v>2272</v>
      </c>
      <c r="E13" s="1810" t="s">
        <v>642</v>
      </c>
      <c r="F13" s="2475">
        <f ca="1">INDIRECT("'数据-取费表'!y"&amp;$G$1)</f>
        <v>1</v>
      </c>
      <c r="G13" s="1569"/>
      <c r="H13" s="1805">
        <v>2</v>
      </c>
      <c r="I13" s="1803" t="s">
        <v>643</v>
      </c>
      <c r="J13" s="1795">
        <f ca="1">ROUND(J14*J15,0)</f>
        <v>0</v>
      </c>
      <c r="K13" s="1797" t="s">
        <v>641</v>
      </c>
      <c r="L13" s="2491"/>
      <c r="M13" s="2492"/>
    </row>
    <row r="14" spans="1:33" ht="18" customHeight="1">
      <c r="A14" s="1624" t="s">
        <v>1809</v>
      </c>
      <c r="B14" s="784" t="s">
        <v>644</v>
      </c>
      <c r="C14" s="804">
        <f ca="1">INDIRECT("'数据-取费表'!m"&amp;$G$1)+INDIRECT("'数据-取费表'!t"&amp;$G$1)</f>
        <v>128867</v>
      </c>
      <c r="D14" s="3162" t="s">
        <v>645</v>
      </c>
      <c r="E14" s="3161"/>
      <c r="F14" s="805"/>
      <c r="G14" s="1569"/>
      <c r="H14" s="1625" t="s">
        <v>1802</v>
      </c>
      <c r="I14" s="2192" t="s">
        <v>2799</v>
      </c>
      <c r="J14" s="53">
        <f ca="1">C29</f>
        <v>190866</v>
      </c>
      <c r="K14" s="26"/>
      <c r="L14" s="801"/>
      <c r="M14" s="802"/>
    </row>
    <row r="15" spans="1:33" s="2040" customFormat="1" ht="18" customHeight="1" thickBot="1">
      <c r="A15" s="1624" t="s">
        <v>1810</v>
      </c>
      <c r="B15" s="784" t="s">
        <v>646</v>
      </c>
      <c r="C15" s="53">
        <f ca="1">ROUND(C14*F15,0)</f>
        <v>6443</v>
      </c>
      <c r="D15" s="806" t="s">
        <v>647</v>
      </c>
      <c r="E15" s="806" t="s">
        <v>648</v>
      </c>
      <c r="F15" s="807">
        <f>'数据-取费表'!B33</f>
        <v>0.05</v>
      </c>
      <c r="G15" s="1570"/>
      <c r="H15" s="2490" t="s">
        <v>1867</v>
      </c>
      <c r="I15" s="2485" t="s">
        <v>642</v>
      </c>
      <c r="J15" s="2494">
        <f ca="1">INDIRECT("'数据-取费表'!ad"&amp;$G$1)</f>
        <v>0</v>
      </c>
      <c r="K15" s="2495"/>
      <c r="L15" s="2496"/>
      <c r="M15" s="2497"/>
      <c r="N15" s="2039"/>
      <c r="O15" s="2039"/>
      <c r="P15" s="2039"/>
      <c r="Q15" s="2332"/>
      <c r="R15" s="2039"/>
      <c r="S15" s="2039"/>
      <c r="T15" s="2039"/>
      <c r="U15" s="2039"/>
      <c r="V15" s="2039"/>
      <c r="W15" s="2039"/>
      <c r="X15" s="2039"/>
      <c r="Y15" s="2039"/>
      <c r="Z15" s="2039"/>
      <c r="AA15" s="2039"/>
      <c r="AB15" s="2039"/>
      <c r="AC15" s="2039"/>
      <c r="AD15" s="2039"/>
      <c r="AE15" s="2039"/>
      <c r="AF15" s="2039"/>
      <c r="AG15" s="2039"/>
    </row>
    <row r="16" spans="1:33" ht="18" customHeight="1" thickTop="1">
      <c r="A16" s="1624" t="s">
        <v>1811</v>
      </c>
      <c r="B16" s="784" t="s">
        <v>649</v>
      </c>
      <c r="C16" s="53">
        <f ca="1">ROUND(INDIRECT("'数据-取费表'!m"&amp;$G$1)*F16,0)</f>
        <v>0</v>
      </c>
      <c r="D16" s="784" t="s">
        <v>647</v>
      </c>
      <c r="E16" s="784" t="s">
        <v>648</v>
      </c>
      <c r="F16" s="809">
        <f ca="1">IF(INDIRECT("'数据-取费表'!c"&amp;$G$1)="住宅",'数据-取费表'!B34,0)</f>
        <v>0</v>
      </c>
      <c r="G16" s="1569"/>
      <c r="H16" s="1805" t="s">
        <v>1726</v>
      </c>
      <c r="I16" s="1803" t="s">
        <v>650</v>
      </c>
      <c r="J16" s="792">
        <f ca="1">ROUND(J17+J22+J23+J24,0)</f>
        <v>5420</v>
      </c>
      <c r="K16" s="1797" t="s">
        <v>651</v>
      </c>
      <c r="L16" s="3164"/>
      <c r="M16" s="2430"/>
    </row>
    <row r="17" spans="1:33" s="2040" customFormat="1" ht="18" customHeight="1">
      <c r="A17" s="1624" t="s">
        <v>1865</v>
      </c>
      <c r="B17" s="784" t="s">
        <v>652</v>
      </c>
      <c r="C17" s="53">
        <f ca="1">ROUND(F17*(F43+INDIRECT("'数据-取费表'!S"&amp;$G$1))/10000,0)</f>
        <v>6939</v>
      </c>
      <c r="D17" s="784" t="s">
        <v>653</v>
      </c>
      <c r="E17" s="784" t="s">
        <v>654</v>
      </c>
      <c r="F17" s="56">
        <f>'数据-取费表'!B35</f>
        <v>350</v>
      </c>
      <c r="G17" s="1570"/>
      <c r="H17" s="1625" t="s">
        <v>1802</v>
      </c>
      <c r="I17" s="784" t="s">
        <v>655</v>
      </c>
      <c r="J17" s="3156">
        <f ca="1">ROUND(IF(项目基本情况!B11="自然人",J6*M17/(1+'数据-取费表'!C42),J18+J19+J20),0)</f>
        <v>1603</v>
      </c>
      <c r="K17" s="3162" t="s">
        <v>656</v>
      </c>
      <c r="L17" s="3163" t="s">
        <v>657</v>
      </c>
      <c r="M17" s="810" t="str">
        <f ca="1">IF(项目基本情况!B11="企业","",IF(INDIRECT("'数据-取费表'!c"&amp;$G$1)="住宅",5%,IF(M6*M7*M8/12/(1+'数据-取费表'!C42)&gt;20000,12%,7%)))</f>
        <v/>
      </c>
      <c r="N17" s="2039"/>
      <c r="O17" s="2039"/>
      <c r="P17" s="2039"/>
      <c r="Q17" s="2332"/>
      <c r="R17" s="2039"/>
      <c r="S17" s="2039"/>
      <c r="T17" s="2039"/>
      <c r="U17" s="2039"/>
      <c r="V17" s="2039"/>
      <c r="W17" s="2039"/>
      <c r="X17" s="2039"/>
      <c r="Y17" s="2039"/>
      <c r="Z17" s="2039"/>
      <c r="AA17" s="2039"/>
      <c r="AB17" s="2039"/>
      <c r="AC17" s="2039"/>
      <c r="AD17" s="2039"/>
      <c r="AE17" s="2039"/>
      <c r="AF17" s="2039"/>
      <c r="AG17" s="2039"/>
    </row>
    <row r="18" spans="1:33" s="2040" customFormat="1" ht="18" customHeight="1">
      <c r="A18" s="1624" t="s">
        <v>1866</v>
      </c>
      <c r="B18" s="784" t="s">
        <v>658</v>
      </c>
      <c r="C18" s="53">
        <f ca="1">ROUND(C14*F18,0)</f>
        <v>1933</v>
      </c>
      <c r="D18" s="784" t="s">
        <v>647</v>
      </c>
      <c r="E18" s="784" t="s">
        <v>648</v>
      </c>
      <c r="F18" s="809">
        <f>'数据-取费表'!B36</f>
        <v>1.4999999999999999E-2</v>
      </c>
      <c r="G18" s="1570"/>
      <c r="H18" s="1624" t="s">
        <v>1809</v>
      </c>
      <c r="I18" s="784" t="s">
        <v>659</v>
      </c>
      <c r="J18" s="3156">
        <f ca="1">ROUND(J6*M18/(1+'数据-取费表'!C42),1)</f>
        <v>0</v>
      </c>
      <c r="K18" s="3163" t="s">
        <v>660</v>
      </c>
      <c r="L18" s="784" t="s">
        <v>648</v>
      </c>
      <c r="M18" s="809">
        <f>'数据-取费表'!B41</f>
        <v>5.6000000000000001E-2</v>
      </c>
      <c r="N18" s="2039"/>
      <c r="O18" s="2039"/>
      <c r="P18" s="2039"/>
      <c r="Q18" s="2332"/>
      <c r="R18" s="2039"/>
      <c r="S18" s="2039"/>
      <c r="T18" s="2039"/>
      <c r="U18" s="2039"/>
      <c r="V18" s="2039"/>
      <c r="W18" s="2039"/>
      <c r="X18" s="2039"/>
      <c r="Y18" s="2039"/>
      <c r="Z18" s="2039"/>
      <c r="AA18" s="2039"/>
      <c r="AB18" s="2039"/>
      <c r="AC18" s="2039"/>
      <c r="AD18" s="2039"/>
      <c r="AE18" s="2039"/>
      <c r="AF18" s="2039"/>
      <c r="AG18" s="2039"/>
    </row>
    <row r="19" spans="1:33" ht="18" customHeight="1">
      <c r="A19" s="1625" t="s">
        <v>1802</v>
      </c>
      <c r="B19" s="784" t="s">
        <v>661</v>
      </c>
      <c r="C19" s="53">
        <f ca="1">SUM(C14:C18)</f>
        <v>144182</v>
      </c>
      <c r="D19" s="261" t="s">
        <v>662</v>
      </c>
      <c r="E19" s="3165"/>
      <c r="F19" s="56"/>
      <c r="G19" s="1569"/>
      <c r="H19" s="1624" t="s">
        <v>1810</v>
      </c>
      <c r="I19" s="784" t="s">
        <v>663</v>
      </c>
      <c r="J19" s="3156">
        <f ca="1">IF(K19="按租金收入计税",ROUND(J6*M19/(1+'数据-取费表'!C42),1),ROUND(C29*F33*0.7,1))</f>
        <v>1603.3</v>
      </c>
      <c r="K19" s="811" t="s">
        <v>664</v>
      </c>
      <c r="L19" s="784" t="s">
        <v>648</v>
      </c>
      <c r="M19" s="809">
        <f>IF(K19="按租金收入计税",'数据-取费表'!B51,'数据-取费表'!B50)</f>
        <v>1.2E-2</v>
      </c>
    </row>
    <row r="20" spans="1:33" s="2040" customFormat="1" ht="18" customHeight="1">
      <c r="A20" s="1625" t="s">
        <v>1867</v>
      </c>
      <c r="B20" s="784" t="s">
        <v>665</v>
      </c>
      <c r="C20" s="53">
        <f ca="1">ROUND(C19*F20,0)</f>
        <v>2884</v>
      </c>
      <c r="D20" s="812" t="s">
        <v>666</v>
      </c>
      <c r="E20" s="784" t="s">
        <v>648</v>
      </c>
      <c r="F20" s="809">
        <f>'数据-取费表'!B37</f>
        <v>0.02</v>
      </c>
      <c r="G20" s="1570"/>
      <c r="H20" s="1627" t="s">
        <v>1811</v>
      </c>
      <c r="I20" s="341" t="s">
        <v>667</v>
      </c>
      <c r="J20" s="54">
        <f ca="1">ROUND(M20*M21/10000,0)</f>
        <v>0</v>
      </c>
      <c r="K20" s="814" t="s">
        <v>668</v>
      </c>
      <c r="L20" s="784" t="s">
        <v>669</v>
      </c>
      <c r="M20" s="640">
        <f>'数据-取费表'!B52</f>
        <v>0</v>
      </c>
      <c r="N20" s="2039"/>
      <c r="O20" s="2039"/>
      <c r="P20" s="2039"/>
      <c r="Q20" s="2332"/>
      <c r="R20" s="2039"/>
      <c r="S20" s="2039"/>
      <c r="T20" s="2039"/>
      <c r="U20" s="2039"/>
      <c r="V20" s="2039"/>
      <c r="W20" s="2039"/>
      <c r="X20" s="2039"/>
      <c r="Y20" s="2039"/>
      <c r="Z20" s="2039"/>
      <c r="AA20" s="2039"/>
      <c r="AB20" s="2039"/>
      <c r="AC20" s="2039"/>
      <c r="AD20" s="2039"/>
      <c r="AE20" s="2039"/>
      <c r="AF20" s="2039"/>
      <c r="AG20" s="2039"/>
    </row>
    <row r="21" spans="1:33" s="2040" customFormat="1" ht="18" customHeight="1">
      <c r="A21" s="1625" t="s">
        <v>1868</v>
      </c>
      <c r="B21" s="784" t="s">
        <v>670</v>
      </c>
      <c r="C21" s="53" t="s">
        <v>1742</v>
      </c>
      <c r="D21" s="812" t="s">
        <v>2273</v>
      </c>
      <c r="E21" s="784" t="s">
        <v>672</v>
      </c>
      <c r="F21" s="809">
        <f>'数据-取费表'!B38</f>
        <v>0.02</v>
      </c>
      <c r="G21" s="1570"/>
      <c r="H21" s="2445"/>
      <c r="I21" s="793"/>
      <c r="J21" s="69"/>
      <c r="K21" s="816"/>
      <c r="L21" s="784" t="s">
        <v>673</v>
      </c>
      <c r="M21" s="785">
        <f ca="1">INDIRECT("'数据-取费表'!r"&amp;$G$1)</f>
        <v>132058.71</v>
      </c>
      <c r="N21" s="2039"/>
      <c r="O21" s="2039"/>
      <c r="P21" s="2039"/>
      <c r="Q21" s="2332"/>
      <c r="R21" s="2039"/>
      <c r="S21" s="2039"/>
      <c r="T21" s="2039"/>
      <c r="U21" s="2039"/>
      <c r="V21" s="2039"/>
      <c r="W21" s="2039"/>
      <c r="X21" s="2039"/>
      <c r="Y21" s="2039"/>
      <c r="Z21" s="2039"/>
      <c r="AA21" s="2039"/>
      <c r="AB21" s="2039"/>
      <c r="AC21" s="2039"/>
      <c r="AD21" s="2039"/>
      <c r="AE21" s="2039"/>
      <c r="AF21" s="2039"/>
      <c r="AG21" s="2039"/>
    </row>
    <row r="22" spans="1:33" ht="18" customHeight="1">
      <c r="A22" s="1625" t="s">
        <v>1869</v>
      </c>
      <c r="B22" s="784" t="s">
        <v>674</v>
      </c>
      <c r="C22" s="53"/>
      <c r="D22" s="2511" t="str">
        <f>IF(F23&lt;=1,"单利计息。","复利计息。")&amp;"建造成本、管理费用、销售费用产生的利息。"</f>
        <v>复利计息。建造成本、管理费用、销售费用产生的利息。</v>
      </c>
      <c r="E22" s="3165"/>
      <c r="F22" s="56"/>
      <c r="G22" s="1569"/>
      <c r="H22" s="1625" t="s">
        <v>1867</v>
      </c>
      <c r="I22" s="784" t="s">
        <v>675</v>
      </c>
      <c r="J22" s="53">
        <f ca="1">ROUND(J14*M22,0)</f>
        <v>3817</v>
      </c>
      <c r="K22" s="3163" t="s">
        <v>676</v>
      </c>
      <c r="L22" s="784" t="s">
        <v>648</v>
      </c>
      <c r="M22" s="817">
        <f ca="1">INDIRECT("'数据-取费表'!Ak"&amp;$G$1)</f>
        <v>0.02</v>
      </c>
    </row>
    <row r="23" spans="1:33" s="2040" customFormat="1" ht="18" customHeight="1">
      <c r="A23" s="1624" t="s">
        <v>1809</v>
      </c>
      <c r="B23" s="784" t="s">
        <v>2412</v>
      </c>
      <c r="C23" s="53">
        <f ca="1">ROUND(IF('数据-取费表'!B22&lt;=1,(C19+C20)*F24*F23/2,(C19+C20)*(POWER((1+F24),F23/2)-1)),0)</f>
        <v>6986</v>
      </c>
      <c r="D23" s="2510" t="str">
        <f>IF(F23&lt;=1,"(建造成本+管理费用)×利率×(建设周期÷2)","(建造成本+管理费用)×((1+利率)^(建设周期÷2)-1)")</f>
        <v>(建造成本+管理费用)×((1+利率)^(建设周期÷2)-1)</v>
      </c>
      <c r="E23" s="784" t="s">
        <v>677</v>
      </c>
      <c r="F23" s="640">
        <f>'数据-取费表'!B20</f>
        <v>2</v>
      </c>
      <c r="G23" s="1570"/>
      <c r="H23" s="1625" t="s">
        <v>1868</v>
      </c>
      <c r="I23" s="784" t="s">
        <v>678</v>
      </c>
      <c r="J23" s="53">
        <f ca="1">ROUND(J13*M23,0)</f>
        <v>0</v>
      </c>
      <c r="K23" s="3163" t="s">
        <v>679</v>
      </c>
      <c r="L23" s="784" t="s">
        <v>648</v>
      </c>
      <c r="M23" s="818">
        <f ca="1">INDIRECT("'数据-取费表'!Al"&amp;$G$1)</f>
        <v>2E-3</v>
      </c>
      <c r="N23" s="2039"/>
      <c r="O23" s="2039"/>
      <c r="P23" s="2039"/>
      <c r="Q23" s="2332"/>
      <c r="R23" s="2039"/>
      <c r="S23" s="2039"/>
      <c r="T23" s="2039"/>
      <c r="U23" s="2039"/>
      <c r="V23" s="2039"/>
      <c r="W23" s="2039"/>
      <c r="X23" s="2039"/>
      <c r="Y23" s="2039"/>
      <c r="Z23" s="2039"/>
      <c r="AA23" s="2039"/>
      <c r="AB23" s="2039"/>
      <c r="AC23" s="2039"/>
      <c r="AD23" s="2039"/>
      <c r="AE23" s="2039"/>
      <c r="AF23" s="2039"/>
      <c r="AG23" s="2039"/>
    </row>
    <row r="24" spans="1:33" s="2040" customFormat="1" ht="18" customHeight="1" thickBot="1">
      <c r="A24" s="1624" t="s">
        <v>1810</v>
      </c>
      <c r="B24" s="784" t="s">
        <v>680</v>
      </c>
      <c r="C24" s="53">
        <f ca="1">ROUND(IF('数据-取费表'!B22&lt;=1,F21*F24*F23/2,F21*(POWER((1+F24),F23/2)-1)),4)</f>
        <v>1E-3</v>
      </c>
      <c r="D24" s="2510" t="str">
        <f>IF(F23&lt;=1,"销售费用×利率×(建设周期÷2)","销售费用×((1+利率)^(建设周期÷2)-1)")</f>
        <v>销售费用×((1+利率)^(建设周期÷2)-1)</v>
      </c>
      <c r="E24" s="784" t="s">
        <v>681</v>
      </c>
      <c r="F24" s="819">
        <f ca="1">'数据-取费表'!B40</f>
        <v>4.7500000000000001E-2</v>
      </c>
      <c r="G24" s="1570"/>
      <c r="H24" s="2490" t="s">
        <v>1869</v>
      </c>
      <c r="I24" s="2485" t="s">
        <v>665</v>
      </c>
      <c r="J24" s="2483">
        <f ca="1">ROUND(J5*M24,0)</f>
        <v>0</v>
      </c>
      <c r="K24" s="2484" t="s">
        <v>682</v>
      </c>
      <c r="L24" s="2485" t="s">
        <v>648</v>
      </c>
      <c r="M24" s="2481">
        <f ca="1">INDIRECT("'数据-取费表'!Am"&amp;$G$1)</f>
        <v>0.02</v>
      </c>
      <c r="N24" s="2039"/>
      <c r="O24" s="2039"/>
      <c r="P24" s="2039"/>
      <c r="Q24" s="2332"/>
      <c r="R24" s="2039"/>
      <c r="S24" s="2039"/>
      <c r="T24" s="2039"/>
      <c r="U24" s="2039"/>
      <c r="V24" s="2039"/>
      <c r="W24" s="2039"/>
      <c r="X24" s="2039"/>
      <c r="Y24" s="2039"/>
      <c r="Z24" s="2039"/>
      <c r="AA24" s="2039"/>
      <c r="AB24" s="2039"/>
      <c r="AC24" s="2039"/>
      <c r="AD24" s="2039"/>
      <c r="AE24" s="2039"/>
      <c r="AF24" s="2039"/>
      <c r="AG24" s="2039"/>
    </row>
    <row r="25" spans="1:33" ht="18" customHeight="1" thickTop="1">
      <c r="A25" s="1626" t="s">
        <v>1818</v>
      </c>
      <c r="B25" s="784" t="s">
        <v>683</v>
      </c>
      <c r="C25" s="53"/>
      <c r="D25" s="261" t="s">
        <v>684</v>
      </c>
      <c r="E25" s="3165"/>
      <c r="F25" s="56"/>
      <c r="G25" s="1569"/>
      <c r="H25" s="1805" t="s">
        <v>1754</v>
      </c>
      <c r="I25" s="2937" t="s">
        <v>2796</v>
      </c>
      <c r="J25" s="792">
        <f ca="1">J5-J16</f>
        <v>-5420</v>
      </c>
      <c r="K25" s="2487" t="s">
        <v>699</v>
      </c>
      <c r="L25" s="2488"/>
      <c r="M25" s="2489"/>
    </row>
    <row r="26" spans="1:33" ht="18" customHeight="1">
      <c r="A26" s="1624" t="s">
        <v>1809</v>
      </c>
      <c r="B26" s="784" t="s">
        <v>2413</v>
      </c>
      <c r="C26" s="53">
        <f ca="1">ROUND((C19+C20)*F26,0)</f>
        <v>22060</v>
      </c>
      <c r="D26" s="812" t="s">
        <v>700</v>
      </c>
      <c r="E26" s="795" t="s">
        <v>701</v>
      </c>
      <c r="F26" s="794">
        <f ca="1">INDIRECT("'数据-取费表'!q"&amp;$G$1)</f>
        <v>0.15</v>
      </c>
      <c r="G26" s="1569"/>
      <c r="H26" s="2441" t="s">
        <v>1758</v>
      </c>
      <c r="I26" s="2193" t="s">
        <v>2801</v>
      </c>
      <c r="J26" s="783">
        <f ca="1">IF(J5&lt;&gt;0,ROUND(J25*(1-((1+M28)/(1+M26))^M27)/(M26-M28),0),0)</f>
        <v>0</v>
      </c>
      <c r="K26" s="814" t="s">
        <v>703</v>
      </c>
      <c r="L26" s="784" t="s">
        <v>2394</v>
      </c>
      <c r="M26" s="794">
        <f ca="1">INDIRECT("'数据-取费表'!I"&amp;$G$1)</f>
        <v>0.05</v>
      </c>
    </row>
    <row r="27" spans="1:33" ht="18" customHeight="1">
      <c r="A27" s="1624" t="s">
        <v>1810</v>
      </c>
      <c r="B27" s="784" t="s">
        <v>685</v>
      </c>
      <c r="C27" s="53">
        <f ca="1">ROUND(F21*F26,4)</f>
        <v>3.0000000000000001E-3</v>
      </c>
      <c r="D27" s="812" t="s">
        <v>705</v>
      </c>
      <c r="E27" s="806"/>
      <c r="F27" s="807"/>
      <c r="G27" s="1569"/>
      <c r="H27" s="2442"/>
      <c r="I27" s="787"/>
      <c r="J27" s="788"/>
      <c r="K27" s="821" t="s">
        <v>706</v>
      </c>
      <c r="L27" s="784" t="s">
        <v>707</v>
      </c>
      <c r="M27" s="822">
        <f ca="1">INDIRECT("'数据-取费表'!ag"&amp;$G$1)</f>
        <v>0</v>
      </c>
    </row>
    <row r="28" spans="1:33" s="2040" customFormat="1" ht="18" customHeight="1">
      <c r="A28" s="1626" t="s">
        <v>1819</v>
      </c>
      <c r="B28" s="784" t="s">
        <v>686</v>
      </c>
      <c r="C28" s="53">
        <f>ROUND(F28/(1+'数据-取费表'!C42),4)</f>
        <v>5.33E-2</v>
      </c>
      <c r="D28" s="812" t="s">
        <v>2274</v>
      </c>
      <c r="E28" s="784" t="s">
        <v>648</v>
      </c>
      <c r="F28" s="809">
        <f>'数据-取费表'!B41</f>
        <v>5.6000000000000001E-2</v>
      </c>
      <c r="G28" s="1570"/>
      <c r="H28" s="1805"/>
      <c r="I28" s="791"/>
      <c r="J28" s="792"/>
      <c r="K28" s="816"/>
      <c r="L28" s="784" t="s">
        <v>709</v>
      </c>
      <c r="M28" s="794">
        <f ca="1">INDIRECT("'数据-取费表'!aa"&amp;$G$1)</f>
        <v>0</v>
      </c>
      <c r="N28" s="2039"/>
      <c r="O28" s="2039"/>
      <c r="P28" s="2039"/>
      <c r="Q28" s="2332"/>
      <c r="R28" s="2039"/>
      <c r="S28" s="2039"/>
      <c r="T28" s="2039"/>
      <c r="U28" s="2039"/>
      <c r="V28" s="2039"/>
      <c r="W28" s="2039"/>
      <c r="X28" s="2039"/>
      <c r="Y28" s="2039"/>
      <c r="Z28" s="2039"/>
      <c r="AA28" s="2039"/>
      <c r="AB28" s="2039"/>
      <c r="AC28" s="2039"/>
      <c r="AD28" s="2039"/>
      <c r="AE28" s="2039"/>
      <c r="AF28" s="2039"/>
      <c r="AG28" s="2039"/>
    </row>
    <row r="29" spans="1:33" s="2040" customFormat="1" ht="18" customHeight="1" thickBot="1">
      <c r="A29" s="2482" t="s">
        <v>1870</v>
      </c>
      <c r="B29" s="2480" t="s">
        <v>2275</v>
      </c>
      <c r="C29" s="2483">
        <f ca="1">ROUND((C19+C20+C23+C26)/(1-F21-C24-C27-C28),0)</f>
        <v>190866</v>
      </c>
      <c r="D29" s="2484"/>
      <c r="E29" s="2485"/>
      <c r="F29" s="2486"/>
      <c r="G29" s="1570"/>
      <c r="H29" s="823" t="s">
        <v>1765</v>
      </c>
      <c r="I29" s="824" t="s">
        <v>1766</v>
      </c>
      <c r="J29" s="825">
        <f ca="1">ROUND(J26/(1+F40)^F41,0)</f>
        <v>0</v>
      </c>
      <c r="K29" s="826" t="s">
        <v>687</v>
      </c>
      <c r="L29" s="827"/>
      <c r="M29" s="828">
        <f ca="1">INDIRECT("'数据-取费表'!k"&amp;$G$1)</f>
        <v>198257.18</v>
      </c>
      <c r="N29" s="2039"/>
      <c r="O29" s="2039"/>
      <c r="P29" s="2039"/>
      <c r="Q29" s="2332"/>
      <c r="R29" s="2039"/>
      <c r="S29" s="2039"/>
      <c r="T29" s="2039"/>
      <c r="U29" s="2039"/>
      <c r="V29" s="2039"/>
      <c r="W29" s="2039"/>
      <c r="X29" s="2039"/>
      <c r="Y29" s="2039"/>
      <c r="Z29" s="2039"/>
      <c r="AA29" s="2039"/>
      <c r="AB29" s="2039"/>
      <c r="AC29" s="2039"/>
      <c r="AD29" s="2039"/>
      <c r="AE29" s="2039"/>
      <c r="AF29" s="2039"/>
      <c r="AG29" s="2039"/>
    </row>
    <row r="30" spans="1:33" ht="18" customHeight="1" thickTop="1">
      <c r="A30" s="1805" t="s">
        <v>1726</v>
      </c>
      <c r="B30" s="1803" t="s">
        <v>650</v>
      </c>
      <c r="C30" s="792">
        <f ca="1">ROUND(C31+C36+C37+C38,0)</f>
        <v>7713</v>
      </c>
      <c r="D30" s="1797" t="s">
        <v>651</v>
      </c>
      <c r="E30" s="3164"/>
      <c r="F30" s="2430"/>
      <c r="G30" s="2038"/>
      <c r="H30" s="2041"/>
      <c r="I30" s="2042"/>
      <c r="J30" s="2043"/>
      <c r="K30" s="2044"/>
      <c r="L30" s="2045"/>
      <c r="M30" s="2046"/>
    </row>
    <row r="31" spans="1:33" ht="18" customHeight="1">
      <c r="A31" s="1625" t="s">
        <v>1802</v>
      </c>
      <c r="B31" s="784" t="s">
        <v>655</v>
      </c>
      <c r="C31" s="3156">
        <f ca="1">ROUND(IF(项目基本情况!B11="自然人",C6*F31/(1+'数据-取费表'!C42),C32+C33+C34),1)</f>
        <v>2992.7</v>
      </c>
      <c r="D31" s="3162" t="s">
        <v>656</v>
      </c>
      <c r="E31" s="3163" t="s">
        <v>689</v>
      </c>
      <c r="F31" s="810" t="str">
        <f ca="1">IF(项目基本情况!B11="企业","",IF(INDIRECT("'数据-取费表'!c"&amp;$G$1)="住宅",5%,IF(F6*F7*F8/12/(1+'数据-取费表'!C42)&gt;20000,12%,7%)))</f>
        <v/>
      </c>
      <c r="G31" s="2038"/>
      <c r="H31" s="2041"/>
      <c r="I31" s="2042"/>
      <c r="J31" s="2043"/>
      <c r="K31" s="2044"/>
      <c r="L31" s="2045"/>
      <c r="M31" s="2046"/>
    </row>
    <row r="32" spans="1:33" ht="18" customHeight="1">
      <c r="A32" s="1624" t="s">
        <v>1809</v>
      </c>
      <c r="B32" s="784" t="s">
        <v>659</v>
      </c>
      <c r="C32" s="3156">
        <f ca="1">ROUND(C6*F32/(1+'数据-取费表'!C42),1)</f>
        <v>1389.4</v>
      </c>
      <c r="D32" s="3163" t="s">
        <v>660</v>
      </c>
      <c r="E32" s="784" t="s">
        <v>648</v>
      </c>
      <c r="F32" s="809">
        <f>'数据-取费表'!B41</f>
        <v>5.6000000000000001E-2</v>
      </c>
      <c r="G32" s="2038"/>
      <c r="H32" s="2047"/>
      <c r="I32" s="2048"/>
      <c r="J32" s="2049"/>
      <c r="K32" s="2050"/>
      <c r="L32" s="2051"/>
      <c r="M32" s="2052"/>
    </row>
    <row r="33" spans="1:18" ht="18" customHeight="1">
      <c r="A33" s="1624" t="s">
        <v>1810</v>
      </c>
      <c r="B33" s="784" t="s">
        <v>663</v>
      </c>
      <c r="C33" s="3156">
        <f ca="1">IF(D33="按租金收入计税",ROUND(C6*F33/(1+'数据-取费表'!C42),1),IF(D33="按房产原值计税",ROUND(C29*F33*0.7,1),INDIRECT("'数据-取费表'!Aj"&amp;$G$1)))</f>
        <v>1603.3</v>
      </c>
      <c r="D33" s="811" t="s">
        <v>1658</v>
      </c>
      <c r="E33" s="784" t="s">
        <v>648</v>
      </c>
      <c r="F33" s="809">
        <f>IF(D33="按租金收入计税",'数据-取费表'!B51,'数据-取费表'!B50)</f>
        <v>1.2E-2</v>
      </c>
      <c r="G33" s="2038"/>
      <c r="H33" s="2053"/>
      <c r="I33" s="2053"/>
      <c r="J33" s="2053"/>
      <c r="K33" s="2054"/>
      <c r="L33" s="2053"/>
      <c r="M33" s="2053"/>
    </row>
    <row r="34" spans="1:18" ht="18" customHeight="1">
      <c r="A34" s="1627" t="s">
        <v>1811</v>
      </c>
      <c r="B34" s="341" t="s">
        <v>667</v>
      </c>
      <c r="C34" s="54">
        <f ca="1">ROUND(F34*F35/10000,1)</f>
        <v>0</v>
      </c>
      <c r="D34" s="814" t="s">
        <v>668</v>
      </c>
      <c r="E34" s="784" t="s">
        <v>669</v>
      </c>
      <c r="F34" s="640">
        <f>'数据-取费表'!B52</f>
        <v>0</v>
      </c>
      <c r="G34" s="2038"/>
      <c r="H34" s="2041"/>
      <c r="I34" s="835" t="s">
        <v>1791</v>
      </c>
      <c r="J34" s="836"/>
      <c r="K34" s="2056"/>
      <c r="L34" s="2055"/>
      <c r="M34" s="2055"/>
    </row>
    <row r="35" spans="1:18" ht="18" customHeight="1">
      <c r="A35" s="815"/>
      <c r="B35" s="793"/>
      <c r="C35" s="69"/>
      <c r="D35" s="816"/>
      <c r="E35" s="784" t="s">
        <v>673</v>
      </c>
      <c r="F35" s="785">
        <f ca="1">INDIRECT("'数据-取费表'!r"&amp;$G$1)</f>
        <v>132058.71</v>
      </c>
      <c r="G35" s="2038"/>
      <c r="H35" s="2041"/>
      <c r="I35" s="837" t="s">
        <v>1792</v>
      </c>
      <c r="J35" s="838">
        <f ca="1">ROUND(C13*J36,0)</f>
        <v>13361</v>
      </c>
      <c r="K35" s="2054"/>
      <c r="L35" s="2053"/>
      <c r="M35" s="2053"/>
    </row>
    <row r="36" spans="1:18" ht="18" customHeight="1">
      <c r="A36" s="1625" t="s">
        <v>1867</v>
      </c>
      <c r="B36" s="784" t="s">
        <v>675</v>
      </c>
      <c r="C36" s="53">
        <f ca="1">ROUND(C29*F36,1)</f>
        <v>3817.3</v>
      </c>
      <c r="D36" s="3163" t="s">
        <v>690</v>
      </c>
      <c r="E36" s="784" t="s">
        <v>648</v>
      </c>
      <c r="F36" s="817">
        <f ca="1">INDIRECT("'数据-取费表'!Ak"&amp;$G$1)</f>
        <v>0.02</v>
      </c>
      <c r="G36" s="2038"/>
      <c r="H36" s="2053"/>
      <c r="I36" s="839" t="s">
        <v>1793</v>
      </c>
      <c r="J36" s="840">
        <f ca="1">INDIRECT("'数据-取费表'!j"&amp;$G$1)</f>
        <v>7.0000000000000007E-2</v>
      </c>
      <c r="K36" s="2058"/>
      <c r="L36" s="2053"/>
      <c r="M36" s="2053"/>
    </row>
    <row r="37" spans="1:18" ht="18" customHeight="1">
      <c r="A37" s="1625" t="s">
        <v>1868</v>
      </c>
      <c r="B37" s="784" t="s">
        <v>678</v>
      </c>
      <c r="C37" s="53">
        <f ca="1">ROUND(C13*F37,1)</f>
        <v>381.7</v>
      </c>
      <c r="D37" s="3163" t="s">
        <v>679</v>
      </c>
      <c r="E37" s="784" t="s">
        <v>648</v>
      </c>
      <c r="F37" s="818">
        <f ca="1">INDIRECT("'数据-取费表'!Al"&amp;$G$1)</f>
        <v>2E-3</v>
      </c>
      <c r="G37" s="2038"/>
      <c r="H37" s="2053"/>
      <c r="I37" s="841" t="s">
        <v>1794</v>
      </c>
      <c r="J37" s="842"/>
      <c r="K37" s="2058"/>
      <c r="L37" s="2053"/>
      <c r="M37" s="2053"/>
    </row>
    <row r="38" spans="1:18" ht="18" customHeight="1" thickBot="1">
      <c r="A38" s="2490" t="s">
        <v>1869</v>
      </c>
      <c r="B38" s="2485" t="s">
        <v>665</v>
      </c>
      <c r="C38" s="2483">
        <f ca="1">ROUND(C5*F38,1)</f>
        <v>521.70000000000005</v>
      </c>
      <c r="D38" s="2484" t="s">
        <v>682</v>
      </c>
      <c r="E38" s="2485" t="s">
        <v>648</v>
      </c>
      <c r="F38" s="2481">
        <f ca="1">INDIRECT("'数据-取费表'!Am"&amp;$G$1)</f>
        <v>0.02</v>
      </c>
      <c r="G38" s="2038"/>
      <c r="H38" s="2053"/>
      <c r="I38" s="843" t="s">
        <v>1795</v>
      </c>
      <c r="J38" s="844"/>
      <c r="K38" s="2059"/>
      <c r="L38" s="2053"/>
      <c r="M38" s="2053"/>
    </row>
    <row r="39" spans="1:18" ht="24.6" customHeight="1" thickTop="1">
      <c r="A39" s="1805" t="s">
        <v>1754</v>
      </c>
      <c r="B39" s="2937" t="s">
        <v>2796</v>
      </c>
      <c r="C39" s="792">
        <f ca="1">C5-C30</f>
        <v>18371</v>
      </c>
      <c r="D39" s="2487" t="s">
        <v>699</v>
      </c>
      <c r="E39" s="2488"/>
      <c r="F39" s="2489"/>
      <c r="G39" s="2038"/>
      <c r="H39" s="2053"/>
      <c r="I39" s="837" t="s">
        <v>1796</v>
      </c>
      <c r="J39" s="845">
        <f ca="1">ROUND(J35/C39,3)</f>
        <v>0.72699999999999998</v>
      </c>
      <c r="K39" s="2059"/>
      <c r="L39" s="2053"/>
      <c r="M39" s="2053"/>
    </row>
    <row r="40" spans="1:18" ht="18" customHeight="1">
      <c r="A40" s="781" t="s">
        <v>1758</v>
      </c>
      <c r="B40" s="2193" t="s">
        <v>2276</v>
      </c>
      <c r="C40" s="783">
        <f ca="1">ROUND(C39*(1-((1+F42)/(1+F40))^F41)/(F40-F42),0)</f>
        <v>335380</v>
      </c>
      <c r="D40" s="814" t="s">
        <v>703</v>
      </c>
      <c r="E40" s="784" t="s">
        <v>2394</v>
      </c>
      <c r="F40" s="794">
        <f ca="1">INDIRECT("'数据-取费表'!I"&amp;$G$1)</f>
        <v>0.05</v>
      </c>
      <c r="G40" s="2038"/>
      <c r="H40" s="2038"/>
      <c r="I40" s="837" t="s">
        <v>1797</v>
      </c>
      <c r="J40" s="845">
        <f ca="1">1-J39</f>
        <v>0.27300000000000002</v>
      </c>
      <c r="K40" s="2059"/>
      <c r="L40" s="2038"/>
      <c r="M40" s="2038"/>
    </row>
    <row r="41" spans="1:18" ht="18" customHeight="1">
      <c r="A41" s="786"/>
      <c r="B41" s="787"/>
      <c r="C41" s="788"/>
      <c r="D41" s="821" t="s">
        <v>1786</v>
      </c>
      <c r="E41" s="784" t="s">
        <v>707</v>
      </c>
      <c r="F41" s="822">
        <f ca="1">IF(INDIRECT("'数据-取费表'!af"&amp;$G$1)=0,INDIRECT("'数据-取费表'!ae"&amp;$G$1),INDIRECT("'数据-取费表'!af"&amp;$G$1))</f>
        <v>50</v>
      </c>
      <c r="G41" s="2038"/>
      <c r="H41" s="1964"/>
      <c r="I41" s="843" t="s">
        <v>1798</v>
      </c>
      <c r="J41" s="846"/>
      <c r="K41" s="2058"/>
      <c r="L41" s="1964"/>
      <c r="M41" s="1964"/>
    </row>
    <row r="42" spans="1:18" ht="18" customHeight="1">
      <c r="A42" s="790"/>
      <c r="B42" s="791"/>
      <c r="C42" s="792"/>
      <c r="D42" s="816"/>
      <c r="E42" s="784" t="s">
        <v>709</v>
      </c>
      <c r="F42" s="794">
        <f ca="1">INDIRECT("'数据-取费表'!v"&amp;$G$1)</f>
        <v>0</v>
      </c>
      <c r="G42" s="2038"/>
      <c r="H42" s="1964"/>
      <c r="I42" s="847" t="s">
        <v>1799</v>
      </c>
      <c r="J42" s="845">
        <f ca="1">ROUND(C13/C40,3)</f>
        <v>0.56899999999999995</v>
      </c>
      <c r="K42" s="2058"/>
      <c r="L42" s="1964"/>
      <c r="M42" s="1964"/>
    </row>
    <row r="43" spans="1:18" ht="18" customHeight="1" thickBot="1">
      <c r="A43" s="823" t="s">
        <v>1765</v>
      </c>
      <c r="B43" s="824" t="s">
        <v>1788</v>
      </c>
      <c r="C43" s="825">
        <f ca="1">ROUND(C40*10000/F43,0)</f>
        <v>16916</v>
      </c>
      <c r="D43" s="826" t="s">
        <v>1789</v>
      </c>
      <c r="E43" s="827" t="s">
        <v>1790</v>
      </c>
      <c r="F43" s="828">
        <f ca="1">INDIRECT("'数据-取费表'!k"&amp;$G$1)</f>
        <v>198257.18</v>
      </c>
      <c r="G43" s="2038"/>
      <c r="H43" s="1964"/>
      <c r="I43" s="847" t="s">
        <v>1800</v>
      </c>
      <c r="J43" s="848">
        <f ca="1">1-J42</f>
        <v>0.43100000000000005</v>
      </c>
      <c r="K43" s="2058"/>
      <c r="L43" s="1964"/>
      <c r="M43" s="1964"/>
    </row>
    <row r="44" spans="1:18" s="2035" customFormat="1" ht="18" customHeight="1">
      <c r="A44" s="2061"/>
      <c r="B44" s="2061"/>
      <c r="C44" s="2078"/>
      <c r="D44" s="2061"/>
      <c r="E44" s="2061"/>
      <c r="F44" s="2061"/>
      <c r="K44" s="2062"/>
      <c r="Q44" s="2073"/>
    </row>
    <row r="45" spans="1:18" s="2035" customFormat="1" ht="18" customHeight="1" thickBot="1">
      <c r="A45" s="2061"/>
      <c r="B45" s="2061"/>
      <c r="C45" s="2078"/>
      <c r="D45" s="2061"/>
      <c r="E45" s="2061"/>
      <c r="F45" s="2061"/>
      <c r="K45" s="2062"/>
      <c r="Q45" s="2073"/>
    </row>
    <row r="46" spans="1:18" s="2035" customFormat="1" ht="18" customHeight="1" thickBot="1">
      <c r="A46" s="2191" t="s">
        <v>2270</v>
      </c>
      <c r="B46" s="2061"/>
      <c r="C46" s="2513">
        <f ca="1">C67-C40</f>
        <v>-441301</v>
      </c>
      <c r="D46" s="2061"/>
      <c r="E46" s="2061"/>
      <c r="F46" s="2061"/>
      <c r="I46" s="2317" t="s">
        <v>2318</v>
      </c>
      <c r="J46" s="2318"/>
      <c r="K46" s="2319"/>
      <c r="L46" s="3083" t="str">
        <f ca="1">IF(OR(M47="住宅",D1="土地（套用方法）"),0,IF(L48&gt;J51,L60,J60))</f>
        <v>0</v>
      </c>
      <c r="O46" s="2333" t="s">
        <v>2385</v>
      </c>
      <c r="P46" s="1569"/>
      <c r="Q46" s="1580"/>
      <c r="R46" s="1569"/>
    </row>
    <row r="47" spans="1:18" s="2035" customFormat="1" ht="18" customHeight="1" thickBot="1">
      <c r="A47" s="2311">
        <v>1</v>
      </c>
      <c r="B47" s="2312" t="s">
        <v>634</v>
      </c>
      <c r="C47" s="2513">
        <f ca="1">C48+C52+C54</f>
        <v>0</v>
      </c>
      <c r="D47" s="2061"/>
      <c r="E47" s="2061"/>
      <c r="F47" s="2061"/>
      <c r="I47" s="3074" t="s">
        <v>2319</v>
      </c>
      <c r="J47" s="2320" t="s">
        <v>3020</v>
      </c>
      <c r="K47" s="3080" t="s">
        <v>2324</v>
      </c>
      <c r="L47" s="3084">
        <f ca="1">INDIRECT("'数据-取费表'!d"&amp;$G$1)</f>
        <v>50</v>
      </c>
      <c r="M47" s="1580" t="str">
        <f>IF(ISNUMBER(FIND("住宅",C1)),"住宅","非住宅")</f>
        <v>非住宅</v>
      </c>
      <c r="O47" s="2334" t="s">
        <v>2350</v>
      </c>
      <c r="P47" s="2335" t="s">
        <v>2351</v>
      </c>
      <c r="Q47" s="2336" t="s">
        <v>2352</v>
      </c>
      <c r="R47" s="2335" t="s">
        <v>2353</v>
      </c>
    </row>
    <row r="48" spans="1:18" s="2035" customFormat="1" ht="18" customHeight="1" thickBot="1">
      <c r="A48" s="2581" t="s">
        <v>1848</v>
      </c>
      <c r="B48" s="2582" t="s">
        <v>2513</v>
      </c>
      <c r="C48" s="2313">
        <f ca="1">ROUND(F48*F50*F49*(1-F51)/10000,0)</f>
        <v>0</v>
      </c>
      <c r="D48" s="2314" t="s">
        <v>635</v>
      </c>
      <c r="E48" s="2315" t="s">
        <v>2271</v>
      </c>
      <c r="F48" s="2316"/>
      <c r="G48" s="2066"/>
      <c r="I48" s="3053" t="s">
        <v>2320</v>
      </c>
      <c r="J48" s="2321" t="s">
        <v>2325</v>
      </c>
      <c r="K48" s="3081" t="s">
        <v>2326</v>
      </c>
      <c r="L48" s="1884">
        <f ca="1">INDIRECT("'数据-取费表'!f"&amp;$G$1)</f>
        <v>50</v>
      </c>
      <c r="O48" s="2337" t="s">
        <v>2354</v>
      </c>
      <c r="P48" s="2338" t="s">
        <v>2380</v>
      </c>
      <c r="Q48" s="2339">
        <f ca="1">C40+J29</f>
        <v>335380</v>
      </c>
      <c r="R48" s="2338" t="s">
        <v>2355</v>
      </c>
    </row>
    <row r="49" spans="1:18" s="2035" customFormat="1" ht="18" customHeight="1" thickBot="1">
      <c r="A49" s="786"/>
      <c r="B49" s="787"/>
      <c r="C49" s="788"/>
      <c r="D49" s="789"/>
      <c r="E49" s="784" t="s">
        <v>637</v>
      </c>
      <c r="F49" s="785">
        <f ca="1">F7</f>
        <v>198257.18</v>
      </c>
      <c r="G49" s="2066"/>
      <c r="H49" s="2069"/>
      <c r="I49" s="3053" t="s">
        <v>2321</v>
      </c>
      <c r="J49" s="2322"/>
      <c r="K49" s="3082" t="s">
        <v>2327</v>
      </c>
      <c r="L49" s="2323"/>
      <c r="O49" s="2337" t="s">
        <v>2356</v>
      </c>
      <c r="P49" s="2338" t="s">
        <v>2381</v>
      </c>
      <c r="Q49" s="2339" t="str">
        <f ca="1">J60</f>
        <v>0</v>
      </c>
      <c r="R49" s="2338" t="s">
        <v>2357</v>
      </c>
    </row>
    <row r="50" spans="1:18" s="2035" customFormat="1" ht="18" customHeight="1" thickBot="1">
      <c r="A50" s="786"/>
      <c r="B50" s="787"/>
      <c r="C50" s="788"/>
      <c r="D50" s="789"/>
      <c r="E50" s="784" t="s">
        <v>638</v>
      </c>
      <c r="F50" s="785">
        <f ca="1">F8</f>
        <v>365</v>
      </c>
      <c r="G50" s="2071"/>
      <c r="H50" s="2069"/>
      <c r="I50" s="3053" t="s">
        <v>2322</v>
      </c>
      <c r="J50" s="3078">
        <f>SUMPRODUCT((I63:I65=J47)*(J62:L62=J48)*(J63:L65))</f>
        <v>60</v>
      </c>
      <c r="K50" s="3082" t="s">
        <v>2328</v>
      </c>
      <c r="L50" s="2323"/>
      <c r="O50" s="2340" t="s">
        <v>2358</v>
      </c>
      <c r="P50" s="2338" t="s">
        <v>2382</v>
      </c>
      <c r="Q50" s="2339">
        <f ca="1">C29</f>
        <v>190866</v>
      </c>
      <c r="R50" s="2338" t="s">
        <v>2355</v>
      </c>
    </row>
    <row r="51" spans="1:18" s="2035" customFormat="1" ht="18" customHeight="1" thickBot="1">
      <c r="A51" s="786"/>
      <c r="B51" s="787"/>
      <c r="C51" s="788"/>
      <c r="D51" s="789"/>
      <c r="E51" s="784" t="s">
        <v>639</v>
      </c>
      <c r="F51" s="2310"/>
      <c r="H51" s="2069"/>
      <c r="I51" s="3075" t="s">
        <v>2323</v>
      </c>
      <c r="J51" s="3079">
        <f>IF(J49="",J50,J49+J50-YEAR('数据-取费表'!B2))</f>
        <v>60</v>
      </c>
      <c r="K51" s="3053" t="s">
        <v>2329</v>
      </c>
      <c r="L51" s="3085">
        <f ca="1">ROUND(-PV(INDIRECT("'数据-取费表'!h"&amp;$G$1),L48,(C39-C13*J36),0),0)</f>
        <v>99015</v>
      </c>
      <c r="O51" s="2340" t="s">
        <v>2359</v>
      </c>
      <c r="P51" s="2338" t="s">
        <v>2360</v>
      </c>
      <c r="Q51" s="2341" t="e">
        <f ca="1">J58</f>
        <v>#VALUE!</v>
      </c>
      <c r="R51" s="2342"/>
    </row>
    <row r="52" spans="1:18" s="2035" customFormat="1" ht="18" customHeight="1" thickBot="1">
      <c r="A52" s="781" t="s">
        <v>2511</v>
      </c>
      <c r="B52" s="2433" t="s">
        <v>2434</v>
      </c>
      <c r="C52" s="799">
        <f ca="1">ROUND(IF(F52="押一",C48/12*F11,IF(F52="押二",C48/12*2*F11,IF(F52="押三",C48/12*3*F11,C53*F11))),0)</f>
        <v>0</v>
      </c>
      <c r="D52" s="2440" t="s">
        <v>2949</v>
      </c>
      <c r="E52" s="2437" t="s">
        <v>2439</v>
      </c>
      <c r="F52" s="2560"/>
      <c r="I52" s="3076" t="s">
        <v>2396</v>
      </c>
      <c r="J52" s="2324"/>
      <c r="K52" s="3076" t="s">
        <v>2395</v>
      </c>
      <c r="L52" s="2324"/>
      <c r="O52" s="2340" t="s">
        <v>2361</v>
      </c>
      <c r="P52" s="2338" t="s">
        <v>2362</v>
      </c>
      <c r="Q52" s="2341">
        <f>J52</f>
        <v>0</v>
      </c>
      <c r="R52" s="2342"/>
    </row>
    <row r="53" spans="1:18" s="2035" customFormat="1" ht="39.75" customHeight="1" thickBot="1">
      <c r="A53" s="786"/>
      <c r="B53" s="2434" t="s">
        <v>2548</v>
      </c>
      <c r="C53" s="2438"/>
      <c r="D53" s="2440"/>
      <c r="E53" s="2437"/>
      <c r="F53" s="800"/>
      <c r="I53" s="3077" t="s">
        <v>2953</v>
      </c>
      <c r="J53" s="3157">
        <f ca="1">IF(M47="住宅",MAX(J51,L48),MIN(J51,L48))</f>
        <v>50</v>
      </c>
      <c r="K53" s="3869" t="s">
        <v>2941</v>
      </c>
      <c r="L53" s="3870"/>
      <c r="O53" s="2340" t="s">
        <v>2363</v>
      </c>
      <c r="P53" s="2338" t="s">
        <v>2364</v>
      </c>
      <c r="Q53" s="2339">
        <f ca="1">J53</f>
        <v>50</v>
      </c>
      <c r="R53" s="2338" t="s">
        <v>2365</v>
      </c>
    </row>
    <row r="54" spans="1:18" s="2035" customFormat="1" ht="18" customHeight="1" thickBot="1">
      <c r="A54" s="2476" t="s">
        <v>2442</v>
      </c>
      <c r="B54" s="2477" t="s">
        <v>2435</v>
      </c>
      <c r="C54" s="2478"/>
      <c r="D54" s="2440"/>
      <c r="E54" s="2437"/>
      <c r="F54" s="800"/>
      <c r="I54" s="20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2"/>
      <c r="O54" s="2337" t="s">
        <v>2366</v>
      </c>
      <c r="P54" s="2338" t="s">
        <v>2383</v>
      </c>
      <c r="Q54" s="2339">
        <f ca="1">Q48+Q49</f>
        <v>335380</v>
      </c>
      <c r="R54" s="2342" t="s">
        <v>2367</v>
      </c>
    </row>
    <row r="55" spans="1:18" s="2035" customFormat="1" ht="18" customHeight="1" thickTop="1" thickBot="1">
      <c r="A55" s="797">
        <v>2</v>
      </c>
      <c r="B55" s="798" t="s">
        <v>643</v>
      </c>
      <c r="C55" s="799">
        <f ca="1">C13</f>
        <v>190866</v>
      </c>
      <c r="D55" s="795"/>
      <c r="E55" s="795"/>
      <c r="F55" s="800"/>
      <c r="I55" s="3088" t="s">
        <v>2330</v>
      </c>
      <c r="J55" s="3028" t="e">
        <f ca="1">ROUND(IF(J47="钢混",J57/J50,1-(1-2%)*(J50-J57)/J50),3)</f>
        <v>#VALUE!</v>
      </c>
      <c r="K55" s="3089" t="s">
        <v>2331</v>
      </c>
      <c r="L55" s="2325"/>
      <c r="O55" s="2343" t="s">
        <v>2386</v>
      </c>
      <c r="P55" s="1569"/>
      <c r="Q55" s="1580"/>
      <c r="R55" s="1569"/>
    </row>
    <row r="56" spans="1:18" s="2035" customFormat="1" ht="42.75" customHeight="1" thickBot="1">
      <c r="A56" s="1626"/>
      <c r="B56" s="2192" t="s">
        <v>2275</v>
      </c>
      <c r="C56" s="53">
        <f ca="1">C29</f>
        <v>190866</v>
      </c>
      <c r="D56" s="3163"/>
      <c r="E56" s="784"/>
      <c r="F56" s="809"/>
      <c r="I56" s="3090" t="s">
        <v>2332</v>
      </c>
      <c r="J56" s="3100" t="s">
        <v>1656</v>
      </c>
      <c r="K56" s="3053" t="s">
        <v>2337</v>
      </c>
      <c r="L56" s="1884" t="str">
        <f ca="1">IF(L48&lt;J51,"——",L48-J51)</f>
        <v>——</v>
      </c>
      <c r="O56" s="2334" t="s">
        <v>2350</v>
      </c>
      <c r="P56" s="2335" t="s">
        <v>2351</v>
      </c>
      <c r="Q56" s="2336" t="s">
        <v>2352</v>
      </c>
      <c r="R56" s="2335" t="s">
        <v>2353</v>
      </c>
    </row>
    <row r="57" spans="1:18" s="2035" customFormat="1" ht="28.5" customHeight="1" thickBot="1">
      <c r="A57" s="797" t="s">
        <v>1726</v>
      </c>
      <c r="B57" s="798" t="s">
        <v>650</v>
      </c>
      <c r="C57" s="799">
        <f ca="1">ROUND(C58+C63+C64+C65,0)</f>
        <v>5802</v>
      </c>
      <c r="D57" s="26" t="s">
        <v>651</v>
      </c>
      <c r="E57" s="3165"/>
      <c r="F57" s="56"/>
      <c r="I57" s="3091" t="s">
        <v>2333</v>
      </c>
      <c r="J57" s="3092" t="str">
        <f ca="1">IF(OR(M47="住宅",J51&lt;L48,J56="是"),"——",J51-L48)</f>
        <v>——</v>
      </c>
      <c r="K57" s="3053" t="s">
        <v>2338</v>
      </c>
      <c r="L57" s="1884" t="str">
        <f ca="1">IF(L48&lt;J51,"——",IF(L55="比较法",L49,IF(L55="基准地价",L50,L51)))</f>
        <v>——</v>
      </c>
      <c r="O57" s="2337" t="s">
        <v>2354</v>
      </c>
      <c r="P57" s="2338" t="s">
        <v>2380</v>
      </c>
      <c r="Q57" s="2339">
        <f ca="1">C40+J29</f>
        <v>335380</v>
      </c>
      <c r="R57" s="2338" t="s">
        <v>2355</v>
      </c>
    </row>
    <row r="58" spans="1:18" s="2035" customFormat="1" ht="28.5" customHeight="1" thickBot="1">
      <c r="A58" s="1625" t="s">
        <v>1802</v>
      </c>
      <c r="B58" s="784" t="s">
        <v>655</v>
      </c>
      <c r="C58" s="53">
        <f ca="1">ROUND(IF(项目基本情况!B11="自然人",C47*F58,C59+C60+C61),1)</f>
        <v>1603.3</v>
      </c>
      <c r="D58" s="3162" t="s">
        <v>656</v>
      </c>
      <c r="E58" s="3163" t="s">
        <v>689</v>
      </c>
      <c r="F58" s="810" t="str">
        <f ca="1">IF(项目基本情况!B11="企业","",IF(INDIRECT("'数据-取费表'!c"&amp;$G$1)="住宅",5%,IF(F48*F49*F50/12/(1+'数据-取费表'!C42)&gt;20000,12%,7%)))</f>
        <v/>
      </c>
      <c r="I58" s="3091" t="s">
        <v>2334</v>
      </c>
      <c r="J58" s="3029" t="e">
        <f ca="1">IF(J55&lt;0.4,0.4,J55)</f>
        <v>#VALUE!</v>
      </c>
      <c r="K58" s="3053" t="s">
        <v>2339</v>
      </c>
      <c r="L58" s="1884" t="e">
        <f ca="1">ROUND(POWER(1+L52,L47-L48)*(POWER(1+L52,L48)-1)/(POWER(1+L52,L47)-1),4)</f>
        <v>#DIV/0!</v>
      </c>
      <c r="O58" s="2337" t="s">
        <v>2356</v>
      </c>
      <c r="P58" s="2338" t="s">
        <v>2387</v>
      </c>
      <c r="Q58" s="2339">
        <f ca="1">L60</f>
        <v>0</v>
      </c>
      <c r="R58" s="2342" t="s">
        <v>2389</v>
      </c>
    </row>
    <row r="59" spans="1:18" s="2035" customFormat="1" ht="28.5" customHeight="1" thickBot="1">
      <c r="A59" s="1624" t="s">
        <v>1809</v>
      </c>
      <c r="B59" s="784" t="s">
        <v>659</v>
      </c>
      <c r="C59" s="53">
        <f ca="1">ROUND(C47*F59/1.05,1)</f>
        <v>0</v>
      </c>
      <c r="D59" s="3163" t="s">
        <v>660</v>
      </c>
      <c r="E59" s="784" t="s">
        <v>648</v>
      </c>
      <c r="F59" s="809">
        <f t="shared" ref="F59:F65" si="0">F32</f>
        <v>5.6000000000000001E-2</v>
      </c>
      <c r="I59" s="3091" t="s">
        <v>2335</v>
      </c>
      <c r="J59" s="3092" t="str">
        <f ca="1">IF(OR(M47="住宅",J51&lt;L48,J56="是"),"——",ROUND(C29*J58,0))</f>
        <v>——</v>
      </c>
      <c r="K59" s="3053" t="str">
        <f>IF(D1="——","建筑物剩余耐用年限下的土地年期修正系数Kn","建设期及建筑物耐用年限下的土地年期修正系数Kn")</f>
        <v>建筑物剩余耐用年限下的土地年期修正系数Kn</v>
      </c>
      <c r="L59" s="1884" t="e">
        <f ca="1">ROUND(IF(D1="土地（套用方法）",POWER(1+L52,L47-(J51+'数据-取费表'!B20))*(POWER(1+L52,(J51+'数据-取费表'!B20))-1)/(POWER(1+L52,L47)-1),POWER(1+L52,L47-J51)*(POWER(1+L52,J51)-1)/(POWER(1+L52,L47)-1)),4)</f>
        <v>#DIV/0!</v>
      </c>
      <c r="O59" s="2340" t="s">
        <v>2358</v>
      </c>
      <c r="P59" s="2338" t="s">
        <v>2388</v>
      </c>
      <c r="Q59" s="2339">
        <f>IF(L55="比较法",L49,IF(L55="基准地价",L50,0))</f>
        <v>0</v>
      </c>
      <c r="R59" s="2338" t="s">
        <v>2355</v>
      </c>
    </row>
    <row r="60" spans="1:18" s="2035" customFormat="1" ht="18" customHeight="1" thickBot="1">
      <c r="A60" s="1624" t="s">
        <v>1810</v>
      </c>
      <c r="B60" s="784" t="s">
        <v>663</v>
      </c>
      <c r="C60" s="53">
        <f ca="1">IF(D60="按租金收入计税",ROUND(C47*F60,1),IF(D60="按房产原值计税",ROUND(C56*F60*0.7,1),INDIRECT("'数据-取费表'!Aj"&amp;$G$1)))</f>
        <v>1603.3</v>
      </c>
      <c r="D60" s="3163" t="str">
        <f>D33</f>
        <v>按房产原值计税</v>
      </c>
      <c r="E60" s="784" t="s">
        <v>648</v>
      </c>
      <c r="F60" s="809">
        <f t="shared" si="0"/>
        <v>1.2E-2</v>
      </c>
      <c r="I60" s="3093" t="s">
        <v>2336</v>
      </c>
      <c r="J60" s="3094" t="str">
        <f ca="1">IF(OR(M47="住宅",J51&lt;L48,J56="是"),"0",ROUND(J59/(1+J52)^J53,0))</f>
        <v>0</v>
      </c>
      <c r="K60" s="3095" t="s">
        <v>2341</v>
      </c>
      <c r="L60" s="3094">
        <f ca="1">IF(OR(M47="住宅",L48&lt;J51),0,ROUND(L57*(L58/L59-1),0))</f>
        <v>0</v>
      </c>
      <c r="O60" s="2340" t="s">
        <v>2359</v>
      </c>
      <c r="P60" s="2338" t="s">
        <v>2368</v>
      </c>
      <c r="Q60" s="2341">
        <f>L52</f>
        <v>0</v>
      </c>
      <c r="R60" s="2342"/>
    </row>
    <row r="61" spans="1:18" s="2035" customFormat="1" ht="18" customHeight="1" thickBot="1">
      <c r="A61" s="1627" t="s">
        <v>1811</v>
      </c>
      <c r="B61" s="341" t="s">
        <v>667</v>
      </c>
      <c r="C61" s="54">
        <f ca="1">ROUND(F61*F62/10000,1)</f>
        <v>0</v>
      </c>
      <c r="D61" s="814" t="s">
        <v>668</v>
      </c>
      <c r="E61" s="784" t="s">
        <v>669</v>
      </c>
      <c r="F61" s="640">
        <f t="shared" si="0"/>
        <v>0</v>
      </c>
      <c r="K61" s="2062"/>
      <c r="O61" s="2340" t="s">
        <v>2361</v>
      </c>
      <c r="P61" s="2338" t="s">
        <v>2369</v>
      </c>
      <c r="Q61" s="2339" t="e">
        <f ca="1">L58</f>
        <v>#DIV/0!</v>
      </c>
      <c r="R61" s="2342" t="s">
        <v>2370</v>
      </c>
    </row>
    <row r="62" spans="1:18" s="2035" customFormat="1" ht="15.75" thickBot="1">
      <c r="A62" s="815"/>
      <c r="B62" s="793"/>
      <c r="C62" s="69"/>
      <c r="D62" s="816"/>
      <c r="E62" s="784" t="s">
        <v>673</v>
      </c>
      <c r="F62" s="785">
        <f t="shared" ca="1" si="0"/>
        <v>132058.71</v>
      </c>
      <c r="I62" s="3096" t="s">
        <v>2342</v>
      </c>
      <c r="J62" s="3097" t="s">
        <v>2343</v>
      </c>
      <c r="K62" s="3097" t="s">
        <v>2344</v>
      </c>
      <c r="L62" s="3097" t="s">
        <v>2325</v>
      </c>
      <c r="M62" s="3098" t="s">
        <v>2918</v>
      </c>
      <c r="O62" s="2340" t="s">
        <v>2363</v>
      </c>
      <c r="P62" s="2338" t="str">
        <f>K59</f>
        <v>建筑物剩余耐用年限下的土地年期修正系数Kn</v>
      </c>
      <c r="Q62" s="2339" t="e">
        <f ca="1">L59</f>
        <v>#DIV/0!</v>
      </c>
      <c r="R62" s="2342" t="s">
        <v>2372</v>
      </c>
    </row>
    <row r="63" spans="1:18" s="2035" customFormat="1" ht="15.75" thickBot="1">
      <c r="A63" s="1625" t="s">
        <v>1867</v>
      </c>
      <c r="B63" s="784" t="s">
        <v>675</v>
      </c>
      <c r="C63" s="53">
        <f ca="1">ROUND(C56*F63,1)</f>
        <v>3817.3</v>
      </c>
      <c r="D63" s="3163" t="s">
        <v>690</v>
      </c>
      <c r="E63" s="784" t="s">
        <v>648</v>
      </c>
      <c r="F63" s="817">
        <f t="shared" ca="1" si="0"/>
        <v>0.02</v>
      </c>
      <c r="I63" s="3096" t="s">
        <v>2345</v>
      </c>
      <c r="J63" s="3097">
        <v>70</v>
      </c>
      <c r="K63" s="3097">
        <v>50</v>
      </c>
      <c r="L63" s="3097">
        <v>80</v>
      </c>
      <c r="M63" s="3099">
        <v>0.02</v>
      </c>
      <c r="O63" s="2337" t="s">
        <v>2366</v>
      </c>
      <c r="P63" s="2338" t="s">
        <v>2383</v>
      </c>
      <c r="Q63" s="2339">
        <f ca="1">Q57+Q58</f>
        <v>335380</v>
      </c>
      <c r="R63" s="2342" t="s">
        <v>2367</v>
      </c>
    </row>
    <row r="64" spans="1:18" s="2035" customFormat="1" ht="16.5" thickBot="1">
      <c r="A64" s="1625" t="s">
        <v>1868</v>
      </c>
      <c r="B64" s="784" t="s">
        <v>678</v>
      </c>
      <c r="C64" s="53">
        <f ca="1">ROUND(C55*F64,1)</f>
        <v>381.7</v>
      </c>
      <c r="D64" s="3163" t="s">
        <v>679</v>
      </c>
      <c r="E64" s="784" t="s">
        <v>648</v>
      </c>
      <c r="F64" s="818">
        <f t="shared" ca="1" si="0"/>
        <v>2E-3</v>
      </c>
      <c r="I64" s="3096" t="s">
        <v>2346</v>
      </c>
      <c r="J64" s="3097">
        <v>50</v>
      </c>
      <c r="K64" s="3097">
        <v>35</v>
      </c>
      <c r="L64" s="3097">
        <v>60</v>
      </c>
      <c r="M64" s="846">
        <v>0</v>
      </c>
      <c r="O64" s="2343" t="s">
        <v>2390</v>
      </c>
      <c r="P64" s="1569"/>
      <c r="Q64" s="1580"/>
      <c r="R64" s="1569"/>
    </row>
    <row r="65" spans="1:18" s="2035" customFormat="1" ht="15.75" thickBot="1">
      <c r="A65" s="1625" t="s">
        <v>1869</v>
      </c>
      <c r="B65" s="784" t="s">
        <v>665</v>
      </c>
      <c r="C65" s="53">
        <f ca="1">ROUND(C47*F65,1)</f>
        <v>0</v>
      </c>
      <c r="D65" s="3163" t="s">
        <v>682</v>
      </c>
      <c r="E65" s="784" t="s">
        <v>648</v>
      </c>
      <c r="F65" s="794">
        <f t="shared" ca="1" si="0"/>
        <v>0.02</v>
      </c>
      <c r="I65" s="3096" t="s">
        <v>2347</v>
      </c>
      <c r="J65" s="3097">
        <v>40</v>
      </c>
      <c r="K65" s="3097">
        <v>30</v>
      </c>
      <c r="L65" s="3097">
        <v>50</v>
      </c>
      <c r="M65" s="3099">
        <v>0.02</v>
      </c>
      <c r="O65" s="2334" t="s">
        <v>2350</v>
      </c>
      <c r="P65" s="2335" t="s">
        <v>2351</v>
      </c>
      <c r="Q65" s="2336" t="s">
        <v>2352</v>
      </c>
      <c r="R65" s="2335" t="s">
        <v>2353</v>
      </c>
    </row>
    <row r="66" spans="1:18" s="2035" customFormat="1" ht="24.75" thickBot="1">
      <c r="A66" s="797" t="s">
        <v>1754</v>
      </c>
      <c r="B66" s="2938" t="s">
        <v>2796</v>
      </c>
      <c r="C66" s="799">
        <f ca="1">C47-C57</f>
        <v>-5802</v>
      </c>
      <c r="D66" s="3162" t="s">
        <v>699</v>
      </c>
      <c r="E66" s="3160"/>
      <c r="F66" s="820"/>
      <c r="K66" s="2062"/>
      <c r="O66" s="2337" t="s">
        <v>2354</v>
      </c>
      <c r="P66" s="2338" t="s">
        <v>2380</v>
      </c>
      <c r="Q66" s="2339">
        <f ca="1">C40+J29</f>
        <v>335380</v>
      </c>
      <c r="R66" s="2338" t="s">
        <v>2355</v>
      </c>
    </row>
    <row r="67" spans="1:18" s="2035" customFormat="1" ht="20.25" thickBot="1">
      <c r="A67" s="781" t="s">
        <v>1758</v>
      </c>
      <c r="B67" s="2193" t="s">
        <v>2276</v>
      </c>
      <c r="C67" s="783">
        <f ca="1">ROUND(C66*(1-((1+F69)/(1+F67))^F68)/(F67-F69),0)</f>
        <v>-105921</v>
      </c>
      <c r="D67" s="814" t="s">
        <v>703</v>
      </c>
      <c r="E67" s="784" t="s">
        <v>704</v>
      </c>
      <c r="F67" s="794">
        <f ca="1">F40</f>
        <v>0.05</v>
      </c>
      <c r="K67" s="2062"/>
      <c r="O67" s="2337" t="s">
        <v>2356</v>
      </c>
      <c r="P67" s="2338" t="s">
        <v>2387</v>
      </c>
      <c r="Q67" s="2339">
        <f ca="1">L60</f>
        <v>0</v>
      </c>
      <c r="R67" s="2342" t="s">
        <v>2389</v>
      </c>
    </row>
    <row r="68" spans="1:18" ht="21.75" thickBot="1">
      <c r="A68" s="786"/>
      <c r="B68" s="787"/>
      <c r="C68" s="788"/>
      <c r="D68" s="821" t="s">
        <v>1786</v>
      </c>
      <c r="E68" s="784" t="s">
        <v>707</v>
      </c>
      <c r="F68" s="822">
        <f ca="1">F41</f>
        <v>50</v>
      </c>
      <c r="O68" s="2340" t="s">
        <v>2358</v>
      </c>
      <c r="P68" s="2338" t="s">
        <v>2388</v>
      </c>
      <c r="Q68" s="2344">
        <f ca="1">L51</f>
        <v>99015</v>
      </c>
      <c r="R68" s="2345" t="s">
        <v>2391</v>
      </c>
    </row>
    <row r="69" spans="1:18" ht="20.25" thickBot="1">
      <c r="A69" s="790"/>
      <c r="B69" s="791"/>
      <c r="C69" s="792"/>
      <c r="D69" s="816"/>
      <c r="E69" s="784" t="s">
        <v>709</v>
      </c>
      <c r="F69" s="2310"/>
      <c r="O69" s="2340" t="s">
        <v>2359</v>
      </c>
      <c r="P69" s="2346" t="s">
        <v>2373</v>
      </c>
      <c r="Q69" s="2339">
        <f ca="1">ROUND(Q70-Q71*Q72,0)</f>
        <v>5010</v>
      </c>
      <c r="R69" s="2342"/>
    </row>
    <row r="70" spans="1:18" ht="15.75" thickBot="1">
      <c r="A70" s="823" t="s">
        <v>1765</v>
      </c>
      <c r="B70" s="824" t="s">
        <v>1788</v>
      </c>
      <c r="C70" s="825">
        <f ca="1">ROUND(C67*10000/F70,0)</f>
        <v>-5343</v>
      </c>
      <c r="D70" s="826" t="s">
        <v>1789</v>
      </c>
      <c r="E70" s="827" t="s">
        <v>1790</v>
      </c>
      <c r="F70" s="828">
        <f ca="1">F43</f>
        <v>198257.18</v>
      </c>
      <c r="O70" s="2340" t="s">
        <v>2374</v>
      </c>
      <c r="P70" s="2346" t="s">
        <v>2375</v>
      </c>
      <c r="Q70" s="2339">
        <f ca="1">C39</f>
        <v>18371</v>
      </c>
      <c r="R70" s="2338" t="s">
        <v>2355</v>
      </c>
    </row>
    <row r="71" spans="1:18" ht="15.75" thickBot="1">
      <c r="O71" s="2340" t="s">
        <v>2376</v>
      </c>
      <c r="P71" s="2346" t="s">
        <v>2377</v>
      </c>
      <c r="Q71" s="2339">
        <f ca="1">C13</f>
        <v>190866</v>
      </c>
      <c r="R71" s="2338" t="s">
        <v>2355</v>
      </c>
    </row>
    <row r="72" spans="1:18" ht="15.75" thickBot="1">
      <c r="O72" s="2340" t="s">
        <v>2378</v>
      </c>
      <c r="P72" s="2346" t="s">
        <v>2379</v>
      </c>
      <c r="Q72" s="2341">
        <f ca="1">J36</f>
        <v>7.0000000000000007E-2</v>
      </c>
      <c r="R72" s="2342"/>
    </row>
    <row r="73" spans="1:18" ht="15.75" thickBot="1">
      <c r="O73" s="2340" t="s">
        <v>2361</v>
      </c>
      <c r="P73" s="2338" t="s">
        <v>2368</v>
      </c>
      <c r="Q73" s="2341">
        <f>L52</f>
        <v>0</v>
      </c>
      <c r="R73" s="2342"/>
    </row>
    <row r="74" spans="1:18" ht="20.25" thickBot="1">
      <c r="O74" s="2340" t="s">
        <v>2363</v>
      </c>
      <c r="P74" s="2338" t="s">
        <v>2369</v>
      </c>
      <c r="Q74" s="2339" t="e">
        <f ca="1">L58</f>
        <v>#DIV/0!</v>
      </c>
      <c r="R74" s="2342" t="s">
        <v>2370</v>
      </c>
    </row>
    <row r="75" spans="1:18" ht="15.75" thickBot="1">
      <c r="O75" s="2340" t="s">
        <v>2392</v>
      </c>
      <c r="P75" s="2338" t="str">
        <f>K59</f>
        <v>建筑物剩余耐用年限下的土地年期修正系数Kn</v>
      </c>
      <c r="Q75" s="2339" t="e">
        <f ca="1">L59</f>
        <v>#DIV/0!</v>
      </c>
      <c r="R75" s="2342" t="s">
        <v>2372</v>
      </c>
    </row>
    <row r="76" spans="1:18" ht="15.75" thickBot="1">
      <c r="O76" s="2337" t="s">
        <v>2366</v>
      </c>
      <c r="P76" s="2338" t="s">
        <v>2383</v>
      </c>
      <c r="Q76" s="2339">
        <f ca="1">Q66+Q67</f>
        <v>335380</v>
      </c>
      <c r="R76" s="2342" t="s">
        <v>2367</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794"/>
  <sheetViews>
    <sheetView zoomScale="80" zoomScaleNormal="80" workbookViewId="0">
      <selection activeCell="M57" sqref="M57"/>
    </sheetView>
  </sheetViews>
  <sheetFormatPr defaultColWidth="8.875" defaultRowHeight="14.25"/>
  <cols>
    <col min="1" max="1" width="10.5" style="3206" customWidth="1"/>
    <col min="2" max="2" width="15.625" style="3206" customWidth="1"/>
    <col min="3" max="3" width="14.375" style="3206" customWidth="1"/>
    <col min="4" max="4" width="12.125" style="3206" customWidth="1"/>
    <col min="5" max="5" width="14.375" style="3206" customWidth="1"/>
    <col min="6" max="6" width="12.125" style="3206" customWidth="1"/>
    <col min="7" max="7" width="14.5" style="3206" customWidth="1"/>
    <col min="8" max="8" width="12.125" style="3206" customWidth="1"/>
    <col min="9" max="9" width="14.5" style="3206" customWidth="1"/>
    <col min="10" max="10" width="12.125" style="3206" customWidth="1"/>
    <col min="11" max="11" width="12.125" style="3512" customWidth="1"/>
    <col min="12" max="12" width="12.125" style="3513" customWidth="1"/>
    <col min="13" max="15" width="12.125" style="3206" customWidth="1"/>
    <col min="16" max="16" width="4.625" style="3206" customWidth="1"/>
    <col min="17" max="17" width="19.5" style="3206" customWidth="1"/>
    <col min="18" max="22" width="6.125" style="3206" customWidth="1"/>
    <col min="23" max="23" width="5.625" style="3206" customWidth="1"/>
    <col min="24" max="24" width="4.125" style="3206" customWidth="1"/>
    <col min="25" max="25" width="3.5" style="3206" customWidth="1"/>
    <col min="26" max="26" width="19.625" style="3206" customWidth="1"/>
    <col min="27" max="28" width="9.375" style="3206" customWidth="1"/>
    <col min="29" max="256" width="9" style="3206"/>
    <col min="257" max="257" width="10.5" style="3206" customWidth="1"/>
    <col min="258" max="258" width="15.625" style="3206" customWidth="1"/>
    <col min="259" max="259" width="14.375" style="3206" customWidth="1"/>
    <col min="260" max="260" width="12.125" style="3206" customWidth="1"/>
    <col min="261" max="261" width="14.375" style="3206" customWidth="1"/>
    <col min="262" max="262" width="12.125" style="3206" customWidth="1"/>
    <col min="263" max="263" width="14.5" style="3206" customWidth="1"/>
    <col min="264" max="264" width="12.125" style="3206" customWidth="1"/>
    <col min="265" max="265" width="14.5" style="3206" customWidth="1"/>
    <col min="266" max="271" width="12.125" style="3206" customWidth="1"/>
    <col min="272" max="272" width="4.625" style="3206" customWidth="1"/>
    <col min="273" max="273" width="19.5" style="3206" customWidth="1"/>
    <col min="274" max="278" width="6.125" style="3206" customWidth="1"/>
    <col min="279" max="279" width="5.625" style="3206" customWidth="1"/>
    <col min="280" max="280" width="4.125" style="3206" customWidth="1"/>
    <col min="281" max="281" width="3.5" style="3206" customWidth="1"/>
    <col min="282" max="282" width="19.625" style="3206" customWidth="1"/>
    <col min="283" max="284" width="9.375" style="3206" customWidth="1"/>
    <col min="285" max="512" width="9" style="3206"/>
    <col min="513" max="513" width="10.5" style="3206" customWidth="1"/>
    <col min="514" max="514" width="15.625" style="3206" customWidth="1"/>
    <col min="515" max="515" width="14.375" style="3206" customWidth="1"/>
    <col min="516" max="516" width="12.125" style="3206" customWidth="1"/>
    <col min="517" max="517" width="14.375" style="3206" customWidth="1"/>
    <col min="518" max="518" width="12.125" style="3206" customWidth="1"/>
    <col min="519" max="519" width="14.5" style="3206" customWidth="1"/>
    <col min="520" max="520" width="12.125" style="3206" customWidth="1"/>
    <col min="521" max="521" width="14.5" style="3206" customWidth="1"/>
    <col min="522" max="527" width="12.125" style="3206" customWidth="1"/>
    <col min="528" max="528" width="4.625" style="3206" customWidth="1"/>
    <col min="529" max="529" width="19.5" style="3206" customWidth="1"/>
    <col min="530" max="534" width="6.125" style="3206" customWidth="1"/>
    <col min="535" max="535" width="5.625" style="3206" customWidth="1"/>
    <col min="536" max="536" width="4.125" style="3206" customWidth="1"/>
    <col min="537" max="537" width="3.5" style="3206" customWidth="1"/>
    <col min="538" max="538" width="19.625" style="3206" customWidth="1"/>
    <col min="539" max="540" width="9.375" style="3206" customWidth="1"/>
    <col min="541" max="768" width="9" style="3206"/>
    <col min="769" max="769" width="10.5" style="3206" customWidth="1"/>
    <col min="770" max="770" width="15.625" style="3206" customWidth="1"/>
    <col min="771" max="771" width="14.375" style="3206" customWidth="1"/>
    <col min="772" max="772" width="12.125" style="3206" customWidth="1"/>
    <col min="773" max="773" width="14.375" style="3206" customWidth="1"/>
    <col min="774" max="774" width="12.125" style="3206" customWidth="1"/>
    <col min="775" max="775" width="14.5" style="3206" customWidth="1"/>
    <col min="776" max="776" width="12.125" style="3206" customWidth="1"/>
    <col min="777" max="777" width="14.5" style="3206" customWidth="1"/>
    <col min="778" max="783" width="12.125" style="3206" customWidth="1"/>
    <col min="784" max="784" width="4.625" style="3206" customWidth="1"/>
    <col min="785" max="785" width="19.5" style="3206" customWidth="1"/>
    <col min="786" max="790" width="6.125" style="3206" customWidth="1"/>
    <col min="791" max="791" width="5.625" style="3206" customWidth="1"/>
    <col min="792" max="792" width="4.125" style="3206" customWidth="1"/>
    <col min="793" max="793" width="3.5" style="3206" customWidth="1"/>
    <col min="794" max="794" width="19.625" style="3206" customWidth="1"/>
    <col min="795" max="796" width="9.375" style="3206" customWidth="1"/>
    <col min="797" max="1024" width="9" style="3206"/>
    <col min="1025" max="1025" width="10.5" style="3206" customWidth="1"/>
    <col min="1026" max="1026" width="15.625" style="3206" customWidth="1"/>
    <col min="1027" max="1027" width="14.375" style="3206" customWidth="1"/>
    <col min="1028" max="1028" width="12.125" style="3206" customWidth="1"/>
    <col min="1029" max="1029" width="14.375" style="3206" customWidth="1"/>
    <col min="1030" max="1030" width="12.125" style="3206" customWidth="1"/>
    <col min="1031" max="1031" width="14.5" style="3206" customWidth="1"/>
    <col min="1032" max="1032" width="12.125" style="3206" customWidth="1"/>
    <col min="1033" max="1033" width="14.5" style="3206" customWidth="1"/>
    <col min="1034" max="1039" width="12.125" style="3206" customWidth="1"/>
    <col min="1040" max="1040" width="4.625" style="3206" customWidth="1"/>
    <col min="1041" max="1041" width="19.5" style="3206" customWidth="1"/>
    <col min="1042" max="1046" width="6.125" style="3206" customWidth="1"/>
    <col min="1047" max="1047" width="5.625" style="3206" customWidth="1"/>
    <col min="1048" max="1048" width="4.125" style="3206" customWidth="1"/>
    <col min="1049" max="1049" width="3.5" style="3206" customWidth="1"/>
    <col min="1050" max="1050" width="19.625" style="3206" customWidth="1"/>
    <col min="1051" max="1052" width="9.375" style="3206" customWidth="1"/>
    <col min="1053" max="1280" width="9" style="3206"/>
    <col min="1281" max="1281" width="10.5" style="3206" customWidth="1"/>
    <col min="1282" max="1282" width="15.625" style="3206" customWidth="1"/>
    <col min="1283" max="1283" width="14.375" style="3206" customWidth="1"/>
    <col min="1284" max="1284" width="12.125" style="3206" customWidth="1"/>
    <col min="1285" max="1285" width="14.375" style="3206" customWidth="1"/>
    <col min="1286" max="1286" width="12.125" style="3206" customWidth="1"/>
    <col min="1287" max="1287" width="14.5" style="3206" customWidth="1"/>
    <col min="1288" max="1288" width="12.125" style="3206" customWidth="1"/>
    <col min="1289" max="1289" width="14.5" style="3206" customWidth="1"/>
    <col min="1290" max="1295" width="12.125" style="3206" customWidth="1"/>
    <col min="1296" max="1296" width="4.625" style="3206" customWidth="1"/>
    <col min="1297" max="1297" width="19.5" style="3206" customWidth="1"/>
    <col min="1298" max="1302" width="6.125" style="3206" customWidth="1"/>
    <col min="1303" max="1303" width="5.625" style="3206" customWidth="1"/>
    <col min="1304" max="1304" width="4.125" style="3206" customWidth="1"/>
    <col min="1305" max="1305" width="3.5" style="3206" customWidth="1"/>
    <col min="1306" max="1306" width="19.625" style="3206" customWidth="1"/>
    <col min="1307" max="1308" width="9.375" style="3206" customWidth="1"/>
    <col min="1309" max="1536" width="9" style="3206"/>
    <col min="1537" max="1537" width="10.5" style="3206" customWidth="1"/>
    <col min="1538" max="1538" width="15.625" style="3206" customWidth="1"/>
    <col min="1539" max="1539" width="14.375" style="3206" customWidth="1"/>
    <col min="1540" max="1540" width="12.125" style="3206" customWidth="1"/>
    <col min="1541" max="1541" width="14.375" style="3206" customWidth="1"/>
    <col min="1542" max="1542" width="12.125" style="3206" customWidth="1"/>
    <col min="1543" max="1543" width="14.5" style="3206" customWidth="1"/>
    <col min="1544" max="1544" width="12.125" style="3206" customWidth="1"/>
    <col min="1545" max="1545" width="14.5" style="3206" customWidth="1"/>
    <col min="1546" max="1551" width="12.125" style="3206" customWidth="1"/>
    <col min="1552" max="1552" width="4.625" style="3206" customWidth="1"/>
    <col min="1553" max="1553" width="19.5" style="3206" customWidth="1"/>
    <col min="1554" max="1558" width="6.125" style="3206" customWidth="1"/>
    <col min="1559" max="1559" width="5.625" style="3206" customWidth="1"/>
    <col min="1560" max="1560" width="4.125" style="3206" customWidth="1"/>
    <col min="1561" max="1561" width="3.5" style="3206" customWidth="1"/>
    <col min="1562" max="1562" width="19.625" style="3206" customWidth="1"/>
    <col min="1563" max="1564" width="9.375" style="3206" customWidth="1"/>
    <col min="1565" max="1792" width="9" style="3206"/>
    <col min="1793" max="1793" width="10.5" style="3206" customWidth="1"/>
    <col min="1794" max="1794" width="15.625" style="3206" customWidth="1"/>
    <col min="1795" max="1795" width="14.375" style="3206" customWidth="1"/>
    <col min="1796" max="1796" width="12.125" style="3206" customWidth="1"/>
    <col min="1797" max="1797" width="14.375" style="3206" customWidth="1"/>
    <col min="1798" max="1798" width="12.125" style="3206" customWidth="1"/>
    <col min="1799" max="1799" width="14.5" style="3206" customWidth="1"/>
    <col min="1800" max="1800" width="12.125" style="3206" customWidth="1"/>
    <col min="1801" max="1801" width="14.5" style="3206" customWidth="1"/>
    <col min="1802" max="1807" width="12.125" style="3206" customWidth="1"/>
    <col min="1808" max="1808" width="4.625" style="3206" customWidth="1"/>
    <col min="1809" max="1809" width="19.5" style="3206" customWidth="1"/>
    <col min="1810" max="1814" width="6.125" style="3206" customWidth="1"/>
    <col min="1815" max="1815" width="5.625" style="3206" customWidth="1"/>
    <col min="1816" max="1816" width="4.125" style="3206" customWidth="1"/>
    <col min="1817" max="1817" width="3.5" style="3206" customWidth="1"/>
    <col min="1818" max="1818" width="19.625" style="3206" customWidth="1"/>
    <col min="1819" max="1820" width="9.375" style="3206" customWidth="1"/>
    <col min="1821" max="2048" width="9" style="3206"/>
    <col min="2049" max="2049" width="10.5" style="3206" customWidth="1"/>
    <col min="2050" max="2050" width="15.625" style="3206" customWidth="1"/>
    <col min="2051" max="2051" width="14.375" style="3206" customWidth="1"/>
    <col min="2052" max="2052" width="12.125" style="3206" customWidth="1"/>
    <col min="2053" max="2053" width="14.375" style="3206" customWidth="1"/>
    <col min="2054" max="2054" width="12.125" style="3206" customWidth="1"/>
    <col min="2055" max="2055" width="14.5" style="3206" customWidth="1"/>
    <col min="2056" max="2056" width="12.125" style="3206" customWidth="1"/>
    <col min="2057" max="2057" width="14.5" style="3206" customWidth="1"/>
    <col min="2058" max="2063" width="12.125" style="3206" customWidth="1"/>
    <col min="2064" max="2064" width="4.625" style="3206" customWidth="1"/>
    <col min="2065" max="2065" width="19.5" style="3206" customWidth="1"/>
    <col min="2066" max="2070" width="6.125" style="3206" customWidth="1"/>
    <col min="2071" max="2071" width="5.625" style="3206" customWidth="1"/>
    <col min="2072" max="2072" width="4.125" style="3206" customWidth="1"/>
    <col min="2073" max="2073" width="3.5" style="3206" customWidth="1"/>
    <col min="2074" max="2074" width="19.625" style="3206" customWidth="1"/>
    <col min="2075" max="2076" width="9.375" style="3206" customWidth="1"/>
    <col min="2077" max="2304" width="9" style="3206"/>
    <col min="2305" max="2305" width="10.5" style="3206" customWidth="1"/>
    <col min="2306" max="2306" width="15.625" style="3206" customWidth="1"/>
    <col min="2307" max="2307" width="14.375" style="3206" customWidth="1"/>
    <col min="2308" max="2308" width="12.125" style="3206" customWidth="1"/>
    <col min="2309" max="2309" width="14.375" style="3206" customWidth="1"/>
    <col min="2310" max="2310" width="12.125" style="3206" customWidth="1"/>
    <col min="2311" max="2311" width="14.5" style="3206" customWidth="1"/>
    <col min="2312" max="2312" width="12.125" style="3206" customWidth="1"/>
    <col min="2313" max="2313" width="14.5" style="3206" customWidth="1"/>
    <col min="2314" max="2319" width="12.125" style="3206" customWidth="1"/>
    <col min="2320" max="2320" width="4.625" style="3206" customWidth="1"/>
    <col min="2321" max="2321" width="19.5" style="3206" customWidth="1"/>
    <col min="2322" max="2326" width="6.125" style="3206" customWidth="1"/>
    <col min="2327" max="2327" width="5.625" style="3206" customWidth="1"/>
    <col min="2328" max="2328" width="4.125" style="3206" customWidth="1"/>
    <col min="2329" max="2329" width="3.5" style="3206" customWidth="1"/>
    <col min="2330" max="2330" width="19.625" style="3206" customWidth="1"/>
    <col min="2331" max="2332" width="9.375" style="3206" customWidth="1"/>
    <col min="2333" max="2560" width="9" style="3206"/>
    <col min="2561" max="2561" width="10.5" style="3206" customWidth="1"/>
    <col min="2562" max="2562" width="15.625" style="3206" customWidth="1"/>
    <col min="2563" max="2563" width="14.375" style="3206" customWidth="1"/>
    <col min="2564" max="2564" width="12.125" style="3206" customWidth="1"/>
    <col min="2565" max="2565" width="14.375" style="3206" customWidth="1"/>
    <col min="2566" max="2566" width="12.125" style="3206" customWidth="1"/>
    <col min="2567" max="2567" width="14.5" style="3206" customWidth="1"/>
    <col min="2568" max="2568" width="12.125" style="3206" customWidth="1"/>
    <col min="2569" max="2569" width="14.5" style="3206" customWidth="1"/>
    <col min="2570" max="2575" width="12.125" style="3206" customWidth="1"/>
    <col min="2576" max="2576" width="4.625" style="3206" customWidth="1"/>
    <col min="2577" max="2577" width="19.5" style="3206" customWidth="1"/>
    <col min="2578" max="2582" width="6.125" style="3206" customWidth="1"/>
    <col min="2583" max="2583" width="5.625" style="3206" customWidth="1"/>
    <col min="2584" max="2584" width="4.125" style="3206" customWidth="1"/>
    <col min="2585" max="2585" width="3.5" style="3206" customWidth="1"/>
    <col min="2586" max="2586" width="19.625" style="3206" customWidth="1"/>
    <col min="2587" max="2588" width="9.375" style="3206" customWidth="1"/>
    <col min="2589" max="2816" width="9" style="3206"/>
    <col min="2817" max="2817" width="10.5" style="3206" customWidth="1"/>
    <col min="2818" max="2818" width="15.625" style="3206" customWidth="1"/>
    <col min="2819" max="2819" width="14.375" style="3206" customWidth="1"/>
    <col min="2820" max="2820" width="12.125" style="3206" customWidth="1"/>
    <col min="2821" max="2821" width="14.375" style="3206" customWidth="1"/>
    <col min="2822" max="2822" width="12.125" style="3206" customWidth="1"/>
    <col min="2823" max="2823" width="14.5" style="3206" customWidth="1"/>
    <col min="2824" max="2824" width="12.125" style="3206" customWidth="1"/>
    <col min="2825" max="2825" width="14.5" style="3206" customWidth="1"/>
    <col min="2826" max="2831" width="12.125" style="3206" customWidth="1"/>
    <col min="2832" max="2832" width="4.625" style="3206" customWidth="1"/>
    <col min="2833" max="2833" width="19.5" style="3206" customWidth="1"/>
    <col min="2834" max="2838" width="6.125" style="3206" customWidth="1"/>
    <col min="2839" max="2839" width="5.625" style="3206" customWidth="1"/>
    <col min="2840" max="2840" width="4.125" style="3206" customWidth="1"/>
    <col min="2841" max="2841" width="3.5" style="3206" customWidth="1"/>
    <col min="2842" max="2842" width="19.625" style="3206" customWidth="1"/>
    <col min="2843" max="2844" width="9.375" style="3206" customWidth="1"/>
    <col min="2845" max="3072" width="9" style="3206"/>
    <col min="3073" max="3073" width="10.5" style="3206" customWidth="1"/>
    <col min="3074" max="3074" width="15.625" style="3206" customWidth="1"/>
    <col min="3075" max="3075" width="14.375" style="3206" customWidth="1"/>
    <col min="3076" max="3076" width="12.125" style="3206" customWidth="1"/>
    <col min="3077" max="3077" width="14.375" style="3206" customWidth="1"/>
    <col min="3078" max="3078" width="12.125" style="3206" customWidth="1"/>
    <col min="3079" max="3079" width="14.5" style="3206" customWidth="1"/>
    <col min="3080" max="3080" width="12.125" style="3206" customWidth="1"/>
    <col min="3081" max="3081" width="14.5" style="3206" customWidth="1"/>
    <col min="3082" max="3087" width="12.125" style="3206" customWidth="1"/>
    <col min="3088" max="3088" width="4.625" style="3206" customWidth="1"/>
    <col min="3089" max="3089" width="19.5" style="3206" customWidth="1"/>
    <col min="3090" max="3094" width="6.125" style="3206" customWidth="1"/>
    <col min="3095" max="3095" width="5.625" style="3206" customWidth="1"/>
    <col min="3096" max="3096" width="4.125" style="3206" customWidth="1"/>
    <col min="3097" max="3097" width="3.5" style="3206" customWidth="1"/>
    <col min="3098" max="3098" width="19.625" style="3206" customWidth="1"/>
    <col min="3099" max="3100" width="9.375" style="3206" customWidth="1"/>
    <col min="3101" max="3328" width="9" style="3206"/>
    <col min="3329" max="3329" width="10.5" style="3206" customWidth="1"/>
    <col min="3330" max="3330" width="15.625" style="3206" customWidth="1"/>
    <col min="3331" max="3331" width="14.375" style="3206" customWidth="1"/>
    <col min="3332" max="3332" width="12.125" style="3206" customWidth="1"/>
    <col min="3333" max="3333" width="14.375" style="3206" customWidth="1"/>
    <col min="3334" max="3334" width="12.125" style="3206" customWidth="1"/>
    <col min="3335" max="3335" width="14.5" style="3206" customWidth="1"/>
    <col min="3336" max="3336" width="12.125" style="3206" customWidth="1"/>
    <col min="3337" max="3337" width="14.5" style="3206" customWidth="1"/>
    <col min="3338" max="3343" width="12.125" style="3206" customWidth="1"/>
    <col min="3344" max="3344" width="4.625" style="3206" customWidth="1"/>
    <col min="3345" max="3345" width="19.5" style="3206" customWidth="1"/>
    <col min="3346" max="3350" width="6.125" style="3206" customWidth="1"/>
    <col min="3351" max="3351" width="5.625" style="3206" customWidth="1"/>
    <col min="3352" max="3352" width="4.125" style="3206" customWidth="1"/>
    <col min="3353" max="3353" width="3.5" style="3206" customWidth="1"/>
    <col min="3354" max="3354" width="19.625" style="3206" customWidth="1"/>
    <col min="3355" max="3356" width="9.375" style="3206" customWidth="1"/>
    <col min="3357" max="3584" width="9" style="3206"/>
    <col min="3585" max="3585" width="10.5" style="3206" customWidth="1"/>
    <col min="3586" max="3586" width="15.625" style="3206" customWidth="1"/>
    <col min="3587" max="3587" width="14.375" style="3206" customWidth="1"/>
    <col min="3588" max="3588" width="12.125" style="3206" customWidth="1"/>
    <col min="3589" max="3589" width="14.375" style="3206" customWidth="1"/>
    <col min="3590" max="3590" width="12.125" style="3206" customWidth="1"/>
    <col min="3591" max="3591" width="14.5" style="3206" customWidth="1"/>
    <col min="3592" max="3592" width="12.125" style="3206" customWidth="1"/>
    <col min="3593" max="3593" width="14.5" style="3206" customWidth="1"/>
    <col min="3594" max="3599" width="12.125" style="3206" customWidth="1"/>
    <col min="3600" max="3600" width="4.625" style="3206" customWidth="1"/>
    <col min="3601" max="3601" width="19.5" style="3206" customWidth="1"/>
    <col min="3602" max="3606" width="6.125" style="3206" customWidth="1"/>
    <col min="3607" max="3607" width="5.625" style="3206" customWidth="1"/>
    <col min="3608" max="3608" width="4.125" style="3206" customWidth="1"/>
    <col min="3609" max="3609" width="3.5" style="3206" customWidth="1"/>
    <col min="3610" max="3610" width="19.625" style="3206" customWidth="1"/>
    <col min="3611" max="3612" width="9.375" style="3206" customWidth="1"/>
    <col min="3613" max="3840" width="9" style="3206"/>
    <col min="3841" max="3841" width="10.5" style="3206" customWidth="1"/>
    <col min="3842" max="3842" width="15.625" style="3206" customWidth="1"/>
    <col min="3843" max="3843" width="14.375" style="3206" customWidth="1"/>
    <col min="3844" max="3844" width="12.125" style="3206" customWidth="1"/>
    <col min="3845" max="3845" width="14.375" style="3206" customWidth="1"/>
    <col min="3846" max="3846" width="12.125" style="3206" customWidth="1"/>
    <col min="3847" max="3847" width="14.5" style="3206" customWidth="1"/>
    <col min="3848" max="3848" width="12.125" style="3206" customWidth="1"/>
    <col min="3849" max="3849" width="14.5" style="3206" customWidth="1"/>
    <col min="3850" max="3855" width="12.125" style="3206" customWidth="1"/>
    <col min="3856" max="3856" width="4.625" style="3206" customWidth="1"/>
    <col min="3857" max="3857" width="19.5" style="3206" customWidth="1"/>
    <col min="3858" max="3862" width="6.125" style="3206" customWidth="1"/>
    <col min="3863" max="3863" width="5.625" style="3206" customWidth="1"/>
    <col min="3864" max="3864" width="4.125" style="3206" customWidth="1"/>
    <col min="3865" max="3865" width="3.5" style="3206" customWidth="1"/>
    <col min="3866" max="3866" width="19.625" style="3206" customWidth="1"/>
    <col min="3867" max="3868" width="9.375" style="3206" customWidth="1"/>
    <col min="3869" max="4096" width="9" style="3206"/>
    <col min="4097" max="4097" width="10.5" style="3206" customWidth="1"/>
    <col min="4098" max="4098" width="15.625" style="3206" customWidth="1"/>
    <col min="4099" max="4099" width="14.375" style="3206" customWidth="1"/>
    <col min="4100" max="4100" width="12.125" style="3206" customWidth="1"/>
    <col min="4101" max="4101" width="14.375" style="3206" customWidth="1"/>
    <col min="4102" max="4102" width="12.125" style="3206" customWidth="1"/>
    <col min="4103" max="4103" width="14.5" style="3206" customWidth="1"/>
    <col min="4104" max="4104" width="12.125" style="3206" customWidth="1"/>
    <col min="4105" max="4105" width="14.5" style="3206" customWidth="1"/>
    <col min="4106" max="4111" width="12.125" style="3206" customWidth="1"/>
    <col min="4112" max="4112" width="4.625" style="3206" customWidth="1"/>
    <col min="4113" max="4113" width="19.5" style="3206" customWidth="1"/>
    <col min="4114" max="4118" width="6.125" style="3206" customWidth="1"/>
    <col min="4119" max="4119" width="5.625" style="3206" customWidth="1"/>
    <col min="4120" max="4120" width="4.125" style="3206" customWidth="1"/>
    <col min="4121" max="4121" width="3.5" style="3206" customWidth="1"/>
    <col min="4122" max="4122" width="19.625" style="3206" customWidth="1"/>
    <col min="4123" max="4124" width="9.375" style="3206" customWidth="1"/>
    <col min="4125" max="4352" width="9" style="3206"/>
    <col min="4353" max="4353" width="10.5" style="3206" customWidth="1"/>
    <col min="4354" max="4354" width="15.625" style="3206" customWidth="1"/>
    <col min="4355" max="4355" width="14.375" style="3206" customWidth="1"/>
    <col min="4356" max="4356" width="12.125" style="3206" customWidth="1"/>
    <col min="4357" max="4357" width="14.375" style="3206" customWidth="1"/>
    <col min="4358" max="4358" width="12.125" style="3206" customWidth="1"/>
    <col min="4359" max="4359" width="14.5" style="3206" customWidth="1"/>
    <col min="4360" max="4360" width="12.125" style="3206" customWidth="1"/>
    <col min="4361" max="4361" width="14.5" style="3206" customWidth="1"/>
    <col min="4362" max="4367" width="12.125" style="3206" customWidth="1"/>
    <col min="4368" max="4368" width="4.625" style="3206" customWidth="1"/>
    <col min="4369" max="4369" width="19.5" style="3206" customWidth="1"/>
    <col min="4370" max="4374" width="6.125" style="3206" customWidth="1"/>
    <col min="4375" max="4375" width="5.625" style="3206" customWidth="1"/>
    <col min="4376" max="4376" width="4.125" style="3206" customWidth="1"/>
    <col min="4377" max="4377" width="3.5" style="3206" customWidth="1"/>
    <col min="4378" max="4378" width="19.625" style="3206" customWidth="1"/>
    <col min="4379" max="4380" width="9.375" style="3206" customWidth="1"/>
    <col min="4381" max="4608" width="9" style="3206"/>
    <col min="4609" max="4609" width="10.5" style="3206" customWidth="1"/>
    <col min="4610" max="4610" width="15.625" style="3206" customWidth="1"/>
    <col min="4611" max="4611" width="14.375" style="3206" customWidth="1"/>
    <col min="4612" max="4612" width="12.125" style="3206" customWidth="1"/>
    <col min="4613" max="4613" width="14.375" style="3206" customWidth="1"/>
    <col min="4614" max="4614" width="12.125" style="3206" customWidth="1"/>
    <col min="4615" max="4615" width="14.5" style="3206" customWidth="1"/>
    <col min="4616" max="4616" width="12.125" style="3206" customWidth="1"/>
    <col min="4617" max="4617" width="14.5" style="3206" customWidth="1"/>
    <col min="4618" max="4623" width="12.125" style="3206" customWidth="1"/>
    <col min="4624" max="4624" width="4.625" style="3206" customWidth="1"/>
    <col min="4625" max="4625" width="19.5" style="3206" customWidth="1"/>
    <col min="4626" max="4630" width="6.125" style="3206" customWidth="1"/>
    <col min="4631" max="4631" width="5.625" style="3206" customWidth="1"/>
    <col min="4632" max="4632" width="4.125" style="3206" customWidth="1"/>
    <col min="4633" max="4633" width="3.5" style="3206" customWidth="1"/>
    <col min="4634" max="4634" width="19.625" style="3206" customWidth="1"/>
    <col min="4635" max="4636" width="9.375" style="3206" customWidth="1"/>
    <col min="4637" max="4864" width="9" style="3206"/>
    <col min="4865" max="4865" width="10.5" style="3206" customWidth="1"/>
    <col min="4866" max="4866" width="15.625" style="3206" customWidth="1"/>
    <col min="4867" max="4867" width="14.375" style="3206" customWidth="1"/>
    <col min="4868" max="4868" width="12.125" style="3206" customWidth="1"/>
    <col min="4869" max="4869" width="14.375" style="3206" customWidth="1"/>
    <col min="4870" max="4870" width="12.125" style="3206" customWidth="1"/>
    <col min="4871" max="4871" width="14.5" style="3206" customWidth="1"/>
    <col min="4872" max="4872" width="12.125" style="3206" customWidth="1"/>
    <col min="4873" max="4873" width="14.5" style="3206" customWidth="1"/>
    <col min="4874" max="4879" width="12.125" style="3206" customWidth="1"/>
    <col min="4880" max="4880" width="4.625" style="3206" customWidth="1"/>
    <col min="4881" max="4881" width="19.5" style="3206" customWidth="1"/>
    <col min="4882" max="4886" width="6.125" style="3206" customWidth="1"/>
    <col min="4887" max="4887" width="5.625" style="3206" customWidth="1"/>
    <col min="4888" max="4888" width="4.125" style="3206" customWidth="1"/>
    <col min="4889" max="4889" width="3.5" style="3206" customWidth="1"/>
    <col min="4890" max="4890" width="19.625" style="3206" customWidth="1"/>
    <col min="4891" max="4892" width="9.375" style="3206" customWidth="1"/>
    <col min="4893" max="5120" width="9" style="3206"/>
    <col min="5121" max="5121" width="10.5" style="3206" customWidth="1"/>
    <col min="5122" max="5122" width="15.625" style="3206" customWidth="1"/>
    <col min="5123" max="5123" width="14.375" style="3206" customWidth="1"/>
    <col min="5124" max="5124" width="12.125" style="3206" customWidth="1"/>
    <col min="5125" max="5125" width="14.375" style="3206" customWidth="1"/>
    <col min="5126" max="5126" width="12.125" style="3206" customWidth="1"/>
    <col min="5127" max="5127" width="14.5" style="3206" customWidth="1"/>
    <col min="5128" max="5128" width="12.125" style="3206" customWidth="1"/>
    <col min="5129" max="5129" width="14.5" style="3206" customWidth="1"/>
    <col min="5130" max="5135" width="12.125" style="3206" customWidth="1"/>
    <col min="5136" max="5136" width="4.625" style="3206" customWidth="1"/>
    <col min="5137" max="5137" width="19.5" style="3206" customWidth="1"/>
    <col min="5138" max="5142" width="6.125" style="3206" customWidth="1"/>
    <col min="5143" max="5143" width="5.625" style="3206" customWidth="1"/>
    <col min="5144" max="5144" width="4.125" style="3206" customWidth="1"/>
    <col min="5145" max="5145" width="3.5" style="3206" customWidth="1"/>
    <col min="5146" max="5146" width="19.625" style="3206" customWidth="1"/>
    <col min="5147" max="5148" width="9.375" style="3206" customWidth="1"/>
    <col min="5149" max="5376" width="9" style="3206"/>
    <col min="5377" max="5377" width="10.5" style="3206" customWidth="1"/>
    <col min="5378" max="5378" width="15.625" style="3206" customWidth="1"/>
    <col min="5379" max="5379" width="14.375" style="3206" customWidth="1"/>
    <col min="5380" max="5380" width="12.125" style="3206" customWidth="1"/>
    <col min="5381" max="5381" width="14.375" style="3206" customWidth="1"/>
    <col min="5382" max="5382" width="12.125" style="3206" customWidth="1"/>
    <col min="5383" max="5383" width="14.5" style="3206" customWidth="1"/>
    <col min="5384" max="5384" width="12.125" style="3206" customWidth="1"/>
    <col min="5385" max="5385" width="14.5" style="3206" customWidth="1"/>
    <col min="5386" max="5391" width="12.125" style="3206" customWidth="1"/>
    <col min="5392" max="5392" width="4.625" style="3206" customWidth="1"/>
    <col min="5393" max="5393" width="19.5" style="3206" customWidth="1"/>
    <col min="5394" max="5398" width="6.125" style="3206" customWidth="1"/>
    <col min="5399" max="5399" width="5.625" style="3206" customWidth="1"/>
    <col min="5400" max="5400" width="4.125" style="3206" customWidth="1"/>
    <col min="5401" max="5401" width="3.5" style="3206" customWidth="1"/>
    <col min="5402" max="5402" width="19.625" style="3206" customWidth="1"/>
    <col min="5403" max="5404" width="9.375" style="3206" customWidth="1"/>
    <col min="5405" max="5632" width="9" style="3206"/>
    <col min="5633" max="5633" width="10.5" style="3206" customWidth="1"/>
    <col min="5634" max="5634" width="15.625" style="3206" customWidth="1"/>
    <col min="5635" max="5635" width="14.375" style="3206" customWidth="1"/>
    <col min="5636" max="5636" width="12.125" style="3206" customWidth="1"/>
    <col min="5637" max="5637" width="14.375" style="3206" customWidth="1"/>
    <col min="5638" max="5638" width="12.125" style="3206" customWidth="1"/>
    <col min="5639" max="5639" width="14.5" style="3206" customWidth="1"/>
    <col min="5640" max="5640" width="12.125" style="3206" customWidth="1"/>
    <col min="5641" max="5641" width="14.5" style="3206" customWidth="1"/>
    <col min="5642" max="5647" width="12.125" style="3206" customWidth="1"/>
    <col min="5648" max="5648" width="4.625" style="3206" customWidth="1"/>
    <col min="5649" max="5649" width="19.5" style="3206" customWidth="1"/>
    <col min="5650" max="5654" width="6.125" style="3206" customWidth="1"/>
    <col min="5655" max="5655" width="5.625" style="3206" customWidth="1"/>
    <col min="5656" max="5656" width="4.125" style="3206" customWidth="1"/>
    <col min="5657" max="5657" width="3.5" style="3206" customWidth="1"/>
    <col min="5658" max="5658" width="19.625" style="3206" customWidth="1"/>
    <col min="5659" max="5660" width="9.375" style="3206" customWidth="1"/>
    <col min="5661" max="5888" width="9" style="3206"/>
    <col min="5889" max="5889" width="10.5" style="3206" customWidth="1"/>
    <col min="5890" max="5890" width="15.625" style="3206" customWidth="1"/>
    <col min="5891" max="5891" width="14.375" style="3206" customWidth="1"/>
    <col min="5892" max="5892" width="12.125" style="3206" customWidth="1"/>
    <col min="5893" max="5893" width="14.375" style="3206" customWidth="1"/>
    <col min="5894" max="5894" width="12.125" style="3206" customWidth="1"/>
    <col min="5895" max="5895" width="14.5" style="3206" customWidth="1"/>
    <col min="5896" max="5896" width="12.125" style="3206" customWidth="1"/>
    <col min="5897" max="5897" width="14.5" style="3206" customWidth="1"/>
    <col min="5898" max="5903" width="12.125" style="3206" customWidth="1"/>
    <col min="5904" max="5904" width="4.625" style="3206" customWidth="1"/>
    <col min="5905" max="5905" width="19.5" style="3206" customWidth="1"/>
    <col min="5906" max="5910" width="6.125" style="3206" customWidth="1"/>
    <col min="5911" max="5911" width="5.625" style="3206" customWidth="1"/>
    <col min="5912" max="5912" width="4.125" style="3206" customWidth="1"/>
    <col min="5913" max="5913" width="3.5" style="3206" customWidth="1"/>
    <col min="5914" max="5914" width="19.625" style="3206" customWidth="1"/>
    <col min="5915" max="5916" width="9.375" style="3206" customWidth="1"/>
    <col min="5917" max="6144" width="9" style="3206"/>
    <col min="6145" max="6145" width="10.5" style="3206" customWidth="1"/>
    <col min="6146" max="6146" width="15.625" style="3206" customWidth="1"/>
    <col min="6147" max="6147" width="14.375" style="3206" customWidth="1"/>
    <col min="6148" max="6148" width="12.125" style="3206" customWidth="1"/>
    <col min="6149" max="6149" width="14.375" style="3206" customWidth="1"/>
    <col min="6150" max="6150" width="12.125" style="3206" customWidth="1"/>
    <col min="6151" max="6151" width="14.5" style="3206" customWidth="1"/>
    <col min="6152" max="6152" width="12.125" style="3206" customWidth="1"/>
    <col min="6153" max="6153" width="14.5" style="3206" customWidth="1"/>
    <col min="6154" max="6159" width="12.125" style="3206" customWidth="1"/>
    <col min="6160" max="6160" width="4.625" style="3206" customWidth="1"/>
    <col min="6161" max="6161" width="19.5" style="3206" customWidth="1"/>
    <col min="6162" max="6166" width="6.125" style="3206" customWidth="1"/>
    <col min="6167" max="6167" width="5.625" style="3206" customWidth="1"/>
    <col min="6168" max="6168" width="4.125" style="3206" customWidth="1"/>
    <col min="6169" max="6169" width="3.5" style="3206" customWidth="1"/>
    <col min="6170" max="6170" width="19.625" style="3206" customWidth="1"/>
    <col min="6171" max="6172" width="9.375" style="3206" customWidth="1"/>
    <col min="6173" max="6400" width="9" style="3206"/>
    <col min="6401" max="6401" width="10.5" style="3206" customWidth="1"/>
    <col min="6402" max="6402" width="15.625" style="3206" customWidth="1"/>
    <col min="6403" max="6403" width="14.375" style="3206" customWidth="1"/>
    <col min="6404" max="6404" width="12.125" style="3206" customWidth="1"/>
    <col min="6405" max="6405" width="14.375" style="3206" customWidth="1"/>
    <col min="6406" max="6406" width="12.125" style="3206" customWidth="1"/>
    <col min="6407" max="6407" width="14.5" style="3206" customWidth="1"/>
    <col min="6408" max="6408" width="12.125" style="3206" customWidth="1"/>
    <col min="6409" max="6409" width="14.5" style="3206" customWidth="1"/>
    <col min="6410" max="6415" width="12.125" style="3206" customWidth="1"/>
    <col min="6416" max="6416" width="4.625" style="3206" customWidth="1"/>
    <col min="6417" max="6417" width="19.5" style="3206" customWidth="1"/>
    <col min="6418" max="6422" width="6.125" style="3206" customWidth="1"/>
    <col min="6423" max="6423" width="5.625" style="3206" customWidth="1"/>
    <col min="6424" max="6424" width="4.125" style="3206" customWidth="1"/>
    <col min="6425" max="6425" width="3.5" style="3206" customWidth="1"/>
    <col min="6426" max="6426" width="19.625" style="3206" customWidth="1"/>
    <col min="6427" max="6428" width="9.375" style="3206" customWidth="1"/>
    <col min="6429" max="6656" width="9" style="3206"/>
    <col min="6657" max="6657" width="10.5" style="3206" customWidth="1"/>
    <col min="6658" max="6658" width="15.625" style="3206" customWidth="1"/>
    <col min="6659" max="6659" width="14.375" style="3206" customWidth="1"/>
    <col min="6660" max="6660" width="12.125" style="3206" customWidth="1"/>
    <col min="6661" max="6661" width="14.375" style="3206" customWidth="1"/>
    <col min="6662" max="6662" width="12.125" style="3206" customWidth="1"/>
    <col min="6663" max="6663" width="14.5" style="3206" customWidth="1"/>
    <col min="6664" max="6664" width="12.125" style="3206" customWidth="1"/>
    <col min="6665" max="6665" width="14.5" style="3206" customWidth="1"/>
    <col min="6666" max="6671" width="12.125" style="3206" customWidth="1"/>
    <col min="6672" max="6672" width="4.625" style="3206" customWidth="1"/>
    <col min="6673" max="6673" width="19.5" style="3206" customWidth="1"/>
    <col min="6674" max="6678" width="6.125" style="3206" customWidth="1"/>
    <col min="6679" max="6679" width="5.625" style="3206" customWidth="1"/>
    <col min="6680" max="6680" width="4.125" style="3206" customWidth="1"/>
    <col min="6681" max="6681" width="3.5" style="3206" customWidth="1"/>
    <col min="6682" max="6682" width="19.625" style="3206" customWidth="1"/>
    <col min="6683" max="6684" width="9.375" style="3206" customWidth="1"/>
    <col min="6685" max="6912" width="9" style="3206"/>
    <col min="6913" max="6913" width="10.5" style="3206" customWidth="1"/>
    <col min="6914" max="6914" width="15.625" style="3206" customWidth="1"/>
    <col min="6915" max="6915" width="14.375" style="3206" customWidth="1"/>
    <col min="6916" max="6916" width="12.125" style="3206" customWidth="1"/>
    <col min="6917" max="6917" width="14.375" style="3206" customWidth="1"/>
    <col min="6918" max="6918" width="12.125" style="3206" customWidth="1"/>
    <col min="6919" max="6919" width="14.5" style="3206" customWidth="1"/>
    <col min="6920" max="6920" width="12.125" style="3206" customWidth="1"/>
    <col min="6921" max="6921" width="14.5" style="3206" customWidth="1"/>
    <col min="6922" max="6927" width="12.125" style="3206" customWidth="1"/>
    <col min="6928" max="6928" width="4.625" style="3206" customWidth="1"/>
    <col min="6929" max="6929" width="19.5" style="3206" customWidth="1"/>
    <col min="6930" max="6934" width="6.125" style="3206" customWidth="1"/>
    <col min="6935" max="6935" width="5.625" style="3206" customWidth="1"/>
    <col min="6936" max="6936" width="4.125" style="3206" customWidth="1"/>
    <col min="6937" max="6937" width="3.5" style="3206" customWidth="1"/>
    <col min="6938" max="6938" width="19.625" style="3206" customWidth="1"/>
    <col min="6939" max="6940" width="9.375" style="3206" customWidth="1"/>
    <col min="6941" max="7168" width="9" style="3206"/>
    <col min="7169" max="7169" width="10.5" style="3206" customWidth="1"/>
    <col min="7170" max="7170" width="15.625" style="3206" customWidth="1"/>
    <col min="7171" max="7171" width="14.375" style="3206" customWidth="1"/>
    <col min="7172" max="7172" width="12.125" style="3206" customWidth="1"/>
    <col min="7173" max="7173" width="14.375" style="3206" customWidth="1"/>
    <col min="7174" max="7174" width="12.125" style="3206" customWidth="1"/>
    <col min="7175" max="7175" width="14.5" style="3206" customWidth="1"/>
    <col min="7176" max="7176" width="12.125" style="3206" customWidth="1"/>
    <col min="7177" max="7177" width="14.5" style="3206" customWidth="1"/>
    <col min="7178" max="7183" width="12.125" style="3206" customWidth="1"/>
    <col min="7184" max="7184" width="4.625" style="3206" customWidth="1"/>
    <col min="7185" max="7185" width="19.5" style="3206" customWidth="1"/>
    <col min="7186" max="7190" width="6.125" style="3206" customWidth="1"/>
    <col min="7191" max="7191" width="5.625" style="3206" customWidth="1"/>
    <col min="7192" max="7192" width="4.125" style="3206" customWidth="1"/>
    <col min="7193" max="7193" width="3.5" style="3206" customWidth="1"/>
    <col min="7194" max="7194" width="19.625" style="3206" customWidth="1"/>
    <col min="7195" max="7196" width="9.375" style="3206" customWidth="1"/>
    <col min="7197" max="7424" width="9" style="3206"/>
    <col min="7425" max="7425" width="10.5" style="3206" customWidth="1"/>
    <col min="7426" max="7426" width="15.625" style="3206" customWidth="1"/>
    <col min="7427" max="7427" width="14.375" style="3206" customWidth="1"/>
    <col min="7428" max="7428" width="12.125" style="3206" customWidth="1"/>
    <col min="7429" max="7429" width="14.375" style="3206" customWidth="1"/>
    <col min="7430" max="7430" width="12.125" style="3206" customWidth="1"/>
    <col min="7431" max="7431" width="14.5" style="3206" customWidth="1"/>
    <col min="7432" max="7432" width="12.125" style="3206" customWidth="1"/>
    <col min="7433" max="7433" width="14.5" style="3206" customWidth="1"/>
    <col min="7434" max="7439" width="12.125" style="3206" customWidth="1"/>
    <col min="7440" max="7440" width="4.625" style="3206" customWidth="1"/>
    <col min="7441" max="7441" width="19.5" style="3206" customWidth="1"/>
    <col min="7442" max="7446" width="6.125" style="3206" customWidth="1"/>
    <col min="7447" max="7447" width="5.625" style="3206" customWidth="1"/>
    <col min="7448" max="7448" width="4.125" style="3206" customWidth="1"/>
    <col min="7449" max="7449" width="3.5" style="3206" customWidth="1"/>
    <col min="7450" max="7450" width="19.625" style="3206" customWidth="1"/>
    <col min="7451" max="7452" width="9.375" style="3206" customWidth="1"/>
    <col min="7453" max="7680" width="9" style="3206"/>
    <col min="7681" max="7681" width="10.5" style="3206" customWidth="1"/>
    <col min="7682" max="7682" width="15.625" style="3206" customWidth="1"/>
    <col min="7683" max="7683" width="14.375" style="3206" customWidth="1"/>
    <col min="7684" max="7684" width="12.125" style="3206" customWidth="1"/>
    <col min="7685" max="7685" width="14.375" style="3206" customWidth="1"/>
    <col min="7686" max="7686" width="12.125" style="3206" customWidth="1"/>
    <col min="7687" max="7687" width="14.5" style="3206" customWidth="1"/>
    <col min="7688" max="7688" width="12.125" style="3206" customWidth="1"/>
    <col min="7689" max="7689" width="14.5" style="3206" customWidth="1"/>
    <col min="7690" max="7695" width="12.125" style="3206" customWidth="1"/>
    <col min="7696" max="7696" width="4.625" style="3206" customWidth="1"/>
    <col min="7697" max="7697" width="19.5" style="3206" customWidth="1"/>
    <col min="7698" max="7702" width="6.125" style="3206" customWidth="1"/>
    <col min="7703" max="7703" width="5.625" style="3206" customWidth="1"/>
    <col min="7704" max="7704" width="4.125" style="3206" customWidth="1"/>
    <col min="7705" max="7705" width="3.5" style="3206" customWidth="1"/>
    <col min="7706" max="7706" width="19.625" style="3206" customWidth="1"/>
    <col min="7707" max="7708" width="9.375" style="3206" customWidth="1"/>
    <col min="7709" max="7936" width="9" style="3206"/>
    <col min="7937" max="7937" width="10.5" style="3206" customWidth="1"/>
    <col min="7938" max="7938" width="15.625" style="3206" customWidth="1"/>
    <col min="7939" max="7939" width="14.375" style="3206" customWidth="1"/>
    <col min="7940" max="7940" width="12.125" style="3206" customWidth="1"/>
    <col min="7941" max="7941" width="14.375" style="3206" customWidth="1"/>
    <col min="7942" max="7942" width="12.125" style="3206" customWidth="1"/>
    <col min="7943" max="7943" width="14.5" style="3206" customWidth="1"/>
    <col min="7944" max="7944" width="12.125" style="3206" customWidth="1"/>
    <col min="7945" max="7945" width="14.5" style="3206" customWidth="1"/>
    <col min="7946" max="7951" width="12.125" style="3206" customWidth="1"/>
    <col min="7952" max="7952" width="4.625" style="3206" customWidth="1"/>
    <col min="7953" max="7953" width="19.5" style="3206" customWidth="1"/>
    <col min="7954" max="7958" width="6.125" style="3206" customWidth="1"/>
    <col min="7959" max="7959" width="5.625" style="3206" customWidth="1"/>
    <col min="7960" max="7960" width="4.125" style="3206" customWidth="1"/>
    <col min="7961" max="7961" width="3.5" style="3206" customWidth="1"/>
    <col min="7962" max="7962" width="19.625" style="3206" customWidth="1"/>
    <col min="7963" max="7964" width="9.375" style="3206" customWidth="1"/>
    <col min="7965" max="8192" width="9" style="3206"/>
    <col min="8193" max="8193" width="10.5" style="3206" customWidth="1"/>
    <col min="8194" max="8194" width="15.625" style="3206" customWidth="1"/>
    <col min="8195" max="8195" width="14.375" style="3206" customWidth="1"/>
    <col min="8196" max="8196" width="12.125" style="3206" customWidth="1"/>
    <col min="8197" max="8197" width="14.375" style="3206" customWidth="1"/>
    <col min="8198" max="8198" width="12.125" style="3206" customWidth="1"/>
    <col min="8199" max="8199" width="14.5" style="3206" customWidth="1"/>
    <col min="8200" max="8200" width="12.125" style="3206" customWidth="1"/>
    <col min="8201" max="8201" width="14.5" style="3206" customWidth="1"/>
    <col min="8202" max="8207" width="12.125" style="3206" customWidth="1"/>
    <col min="8208" max="8208" width="4.625" style="3206" customWidth="1"/>
    <col min="8209" max="8209" width="19.5" style="3206" customWidth="1"/>
    <col min="8210" max="8214" width="6.125" style="3206" customWidth="1"/>
    <col min="8215" max="8215" width="5.625" style="3206" customWidth="1"/>
    <col min="8216" max="8216" width="4.125" style="3206" customWidth="1"/>
    <col min="8217" max="8217" width="3.5" style="3206" customWidth="1"/>
    <col min="8218" max="8218" width="19.625" style="3206" customWidth="1"/>
    <col min="8219" max="8220" width="9.375" style="3206" customWidth="1"/>
    <col min="8221" max="8448" width="9" style="3206"/>
    <col min="8449" max="8449" width="10.5" style="3206" customWidth="1"/>
    <col min="8450" max="8450" width="15.625" style="3206" customWidth="1"/>
    <col min="8451" max="8451" width="14.375" style="3206" customWidth="1"/>
    <col min="8452" max="8452" width="12.125" style="3206" customWidth="1"/>
    <col min="8453" max="8453" width="14.375" style="3206" customWidth="1"/>
    <col min="8454" max="8454" width="12.125" style="3206" customWidth="1"/>
    <col min="8455" max="8455" width="14.5" style="3206" customWidth="1"/>
    <col min="8456" max="8456" width="12.125" style="3206" customWidth="1"/>
    <col min="8457" max="8457" width="14.5" style="3206" customWidth="1"/>
    <col min="8458" max="8463" width="12.125" style="3206" customWidth="1"/>
    <col min="8464" max="8464" width="4.625" style="3206" customWidth="1"/>
    <col min="8465" max="8465" width="19.5" style="3206" customWidth="1"/>
    <col min="8466" max="8470" width="6.125" style="3206" customWidth="1"/>
    <col min="8471" max="8471" width="5.625" style="3206" customWidth="1"/>
    <col min="8472" max="8472" width="4.125" style="3206" customWidth="1"/>
    <col min="8473" max="8473" width="3.5" style="3206" customWidth="1"/>
    <col min="8474" max="8474" width="19.625" style="3206" customWidth="1"/>
    <col min="8475" max="8476" width="9.375" style="3206" customWidth="1"/>
    <col min="8477" max="8704" width="9" style="3206"/>
    <col min="8705" max="8705" width="10.5" style="3206" customWidth="1"/>
    <col min="8706" max="8706" width="15.625" style="3206" customWidth="1"/>
    <col min="8707" max="8707" width="14.375" style="3206" customWidth="1"/>
    <col min="8708" max="8708" width="12.125" style="3206" customWidth="1"/>
    <col min="8709" max="8709" width="14.375" style="3206" customWidth="1"/>
    <col min="8710" max="8710" width="12.125" style="3206" customWidth="1"/>
    <col min="8711" max="8711" width="14.5" style="3206" customWidth="1"/>
    <col min="8712" max="8712" width="12.125" style="3206" customWidth="1"/>
    <col min="8713" max="8713" width="14.5" style="3206" customWidth="1"/>
    <col min="8714" max="8719" width="12.125" style="3206" customWidth="1"/>
    <col min="8720" max="8720" width="4.625" style="3206" customWidth="1"/>
    <col min="8721" max="8721" width="19.5" style="3206" customWidth="1"/>
    <col min="8722" max="8726" width="6.125" style="3206" customWidth="1"/>
    <col min="8727" max="8727" width="5.625" style="3206" customWidth="1"/>
    <col min="8728" max="8728" width="4.125" style="3206" customWidth="1"/>
    <col min="8729" max="8729" width="3.5" style="3206" customWidth="1"/>
    <col min="8730" max="8730" width="19.625" style="3206" customWidth="1"/>
    <col min="8731" max="8732" width="9.375" style="3206" customWidth="1"/>
    <col min="8733" max="8960" width="9" style="3206"/>
    <col min="8961" max="8961" width="10.5" style="3206" customWidth="1"/>
    <col min="8962" max="8962" width="15.625" style="3206" customWidth="1"/>
    <col min="8963" max="8963" width="14.375" style="3206" customWidth="1"/>
    <col min="8964" max="8964" width="12.125" style="3206" customWidth="1"/>
    <col min="8965" max="8965" width="14.375" style="3206" customWidth="1"/>
    <col min="8966" max="8966" width="12.125" style="3206" customWidth="1"/>
    <col min="8967" max="8967" width="14.5" style="3206" customWidth="1"/>
    <col min="8968" max="8968" width="12.125" style="3206" customWidth="1"/>
    <col min="8969" max="8969" width="14.5" style="3206" customWidth="1"/>
    <col min="8970" max="8975" width="12.125" style="3206" customWidth="1"/>
    <col min="8976" max="8976" width="4.625" style="3206" customWidth="1"/>
    <col min="8977" max="8977" width="19.5" style="3206" customWidth="1"/>
    <col min="8978" max="8982" width="6.125" style="3206" customWidth="1"/>
    <col min="8983" max="8983" width="5.625" style="3206" customWidth="1"/>
    <col min="8984" max="8984" width="4.125" style="3206" customWidth="1"/>
    <col min="8985" max="8985" width="3.5" style="3206" customWidth="1"/>
    <col min="8986" max="8986" width="19.625" style="3206" customWidth="1"/>
    <col min="8987" max="8988" width="9.375" style="3206" customWidth="1"/>
    <col min="8989" max="9216" width="9" style="3206"/>
    <col min="9217" max="9217" width="10.5" style="3206" customWidth="1"/>
    <col min="9218" max="9218" width="15.625" style="3206" customWidth="1"/>
    <col min="9219" max="9219" width="14.375" style="3206" customWidth="1"/>
    <col min="9220" max="9220" width="12.125" style="3206" customWidth="1"/>
    <col min="9221" max="9221" width="14.375" style="3206" customWidth="1"/>
    <col min="9222" max="9222" width="12.125" style="3206" customWidth="1"/>
    <col min="9223" max="9223" width="14.5" style="3206" customWidth="1"/>
    <col min="9224" max="9224" width="12.125" style="3206" customWidth="1"/>
    <col min="9225" max="9225" width="14.5" style="3206" customWidth="1"/>
    <col min="9226" max="9231" width="12.125" style="3206" customWidth="1"/>
    <col min="9232" max="9232" width="4.625" style="3206" customWidth="1"/>
    <col min="9233" max="9233" width="19.5" style="3206" customWidth="1"/>
    <col min="9234" max="9238" width="6.125" style="3206" customWidth="1"/>
    <col min="9239" max="9239" width="5.625" style="3206" customWidth="1"/>
    <col min="9240" max="9240" width="4.125" style="3206" customWidth="1"/>
    <col min="9241" max="9241" width="3.5" style="3206" customWidth="1"/>
    <col min="9242" max="9242" width="19.625" style="3206" customWidth="1"/>
    <col min="9243" max="9244" width="9.375" style="3206" customWidth="1"/>
    <col min="9245" max="9472" width="9" style="3206"/>
    <col min="9473" max="9473" width="10.5" style="3206" customWidth="1"/>
    <col min="9474" max="9474" width="15.625" style="3206" customWidth="1"/>
    <col min="9475" max="9475" width="14.375" style="3206" customWidth="1"/>
    <col min="9476" max="9476" width="12.125" style="3206" customWidth="1"/>
    <col min="9477" max="9477" width="14.375" style="3206" customWidth="1"/>
    <col min="9478" max="9478" width="12.125" style="3206" customWidth="1"/>
    <col min="9479" max="9479" width="14.5" style="3206" customWidth="1"/>
    <col min="9480" max="9480" width="12.125" style="3206" customWidth="1"/>
    <col min="9481" max="9481" width="14.5" style="3206" customWidth="1"/>
    <col min="9482" max="9487" width="12.125" style="3206" customWidth="1"/>
    <col min="9488" max="9488" width="4.625" style="3206" customWidth="1"/>
    <col min="9489" max="9489" width="19.5" style="3206" customWidth="1"/>
    <col min="9490" max="9494" width="6.125" style="3206" customWidth="1"/>
    <col min="9495" max="9495" width="5.625" style="3206" customWidth="1"/>
    <col min="9496" max="9496" width="4.125" style="3206" customWidth="1"/>
    <col min="9497" max="9497" width="3.5" style="3206" customWidth="1"/>
    <col min="9498" max="9498" width="19.625" style="3206" customWidth="1"/>
    <col min="9499" max="9500" width="9.375" style="3206" customWidth="1"/>
    <col min="9501" max="9728" width="9" style="3206"/>
    <col min="9729" max="9729" width="10.5" style="3206" customWidth="1"/>
    <col min="9730" max="9730" width="15.625" style="3206" customWidth="1"/>
    <col min="9731" max="9731" width="14.375" style="3206" customWidth="1"/>
    <col min="9732" max="9732" width="12.125" style="3206" customWidth="1"/>
    <col min="9733" max="9733" width="14.375" style="3206" customWidth="1"/>
    <col min="9734" max="9734" width="12.125" style="3206" customWidth="1"/>
    <col min="9735" max="9735" width="14.5" style="3206" customWidth="1"/>
    <col min="9736" max="9736" width="12.125" style="3206" customWidth="1"/>
    <col min="9737" max="9737" width="14.5" style="3206" customWidth="1"/>
    <col min="9738" max="9743" width="12.125" style="3206" customWidth="1"/>
    <col min="9744" max="9744" width="4.625" style="3206" customWidth="1"/>
    <col min="9745" max="9745" width="19.5" style="3206" customWidth="1"/>
    <col min="9746" max="9750" width="6.125" style="3206" customWidth="1"/>
    <col min="9751" max="9751" width="5.625" style="3206" customWidth="1"/>
    <col min="9752" max="9752" width="4.125" style="3206" customWidth="1"/>
    <col min="9753" max="9753" width="3.5" style="3206" customWidth="1"/>
    <col min="9754" max="9754" width="19.625" style="3206" customWidth="1"/>
    <col min="9755" max="9756" width="9.375" style="3206" customWidth="1"/>
    <col min="9757" max="9984" width="9" style="3206"/>
    <col min="9985" max="9985" width="10.5" style="3206" customWidth="1"/>
    <col min="9986" max="9986" width="15.625" style="3206" customWidth="1"/>
    <col min="9987" max="9987" width="14.375" style="3206" customWidth="1"/>
    <col min="9988" max="9988" width="12.125" style="3206" customWidth="1"/>
    <col min="9989" max="9989" width="14.375" style="3206" customWidth="1"/>
    <col min="9990" max="9990" width="12.125" style="3206" customWidth="1"/>
    <col min="9991" max="9991" width="14.5" style="3206" customWidth="1"/>
    <col min="9992" max="9992" width="12.125" style="3206" customWidth="1"/>
    <col min="9993" max="9993" width="14.5" style="3206" customWidth="1"/>
    <col min="9994" max="9999" width="12.125" style="3206" customWidth="1"/>
    <col min="10000" max="10000" width="4.625" style="3206" customWidth="1"/>
    <col min="10001" max="10001" width="19.5" style="3206" customWidth="1"/>
    <col min="10002" max="10006" width="6.125" style="3206" customWidth="1"/>
    <col min="10007" max="10007" width="5.625" style="3206" customWidth="1"/>
    <col min="10008" max="10008" width="4.125" style="3206" customWidth="1"/>
    <col min="10009" max="10009" width="3.5" style="3206" customWidth="1"/>
    <col min="10010" max="10010" width="19.625" style="3206" customWidth="1"/>
    <col min="10011" max="10012" width="9.375" style="3206" customWidth="1"/>
    <col min="10013" max="10240" width="9" style="3206"/>
    <col min="10241" max="10241" width="10.5" style="3206" customWidth="1"/>
    <col min="10242" max="10242" width="15.625" style="3206" customWidth="1"/>
    <col min="10243" max="10243" width="14.375" style="3206" customWidth="1"/>
    <col min="10244" max="10244" width="12.125" style="3206" customWidth="1"/>
    <col min="10245" max="10245" width="14.375" style="3206" customWidth="1"/>
    <col min="10246" max="10246" width="12.125" style="3206" customWidth="1"/>
    <col min="10247" max="10247" width="14.5" style="3206" customWidth="1"/>
    <col min="10248" max="10248" width="12.125" style="3206" customWidth="1"/>
    <col min="10249" max="10249" width="14.5" style="3206" customWidth="1"/>
    <col min="10250" max="10255" width="12.125" style="3206" customWidth="1"/>
    <col min="10256" max="10256" width="4.625" style="3206" customWidth="1"/>
    <col min="10257" max="10257" width="19.5" style="3206" customWidth="1"/>
    <col min="10258" max="10262" width="6.125" style="3206" customWidth="1"/>
    <col min="10263" max="10263" width="5.625" style="3206" customWidth="1"/>
    <col min="10264" max="10264" width="4.125" style="3206" customWidth="1"/>
    <col min="10265" max="10265" width="3.5" style="3206" customWidth="1"/>
    <col min="10266" max="10266" width="19.625" style="3206" customWidth="1"/>
    <col min="10267" max="10268" width="9.375" style="3206" customWidth="1"/>
    <col min="10269" max="10496" width="9" style="3206"/>
    <col min="10497" max="10497" width="10.5" style="3206" customWidth="1"/>
    <col min="10498" max="10498" width="15.625" style="3206" customWidth="1"/>
    <col min="10499" max="10499" width="14.375" style="3206" customWidth="1"/>
    <col min="10500" max="10500" width="12.125" style="3206" customWidth="1"/>
    <col min="10501" max="10501" width="14.375" style="3206" customWidth="1"/>
    <col min="10502" max="10502" width="12.125" style="3206" customWidth="1"/>
    <col min="10503" max="10503" width="14.5" style="3206" customWidth="1"/>
    <col min="10504" max="10504" width="12.125" style="3206" customWidth="1"/>
    <col min="10505" max="10505" width="14.5" style="3206" customWidth="1"/>
    <col min="10506" max="10511" width="12.125" style="3206" customWidth="1"/>
    <col min="10512" max="10512" width="4.625" style="3206" customWidth="1"/>
    <col min="10513" max="10513" width="19.5" style="3206" customWidth="1"/>
    <col min="10514" max="10518" width="6.125" style="3206" customWidth="1"/>
    <col min="10519" max="10519" width="5.625" style="3206" customWidth="1"/>
    <col min="10520" max="10520" width="4.125" style="3206" customWidth="1"/>
    <col min="10521" max="10521" width="3.5" style="3206" customWidth="1"/>
    <col min="10522" max="10522" width="19.625" style="3206" customWidth="1"/>
    <col min="10523" max="10524" width="9.375" style="3206" customWidth="1"/>
    <col min="10525" max="10752" width="9" style="3206"/>
    <col min="10753" max="10753" width="10.5" style="3206" customWidth="1"/>
    <col min="10754" max="10754" width="15.625" style="3206" customWidth="1"/>
    <col min="10755" max="10755" width="14.375" style="3206" customWidth="1"/>
    <col min="10756" max="10756" width="12.125" style="3206" customWidth="1"/>
    <col min="10757" max="10757" width="14.375" style="3206" customWidth="1"/>
    <col min="10758" max="10758" width="12.125" style="3206" customWidth="1"/>
    <col min="10759" max="10759" width="14.5" style="3206" customWidth="1"/>
    <col min="10760" max="10760" width="12.125" style="3206" customWidth="1"/>
    <col min="10761" max="10761" width="14.5" style="3206" customWidth="1"/>
    <col min="10762" max="10767" width="12.125" style="3206" customWidth="1"/>
    <col min="10768" max="10768" width="4.625" style="3206" customWidth="1"/>
    <col min="10769" max="10769" width="19.5" style="3206" customWidth="1"/>
    <col min="10770" max="10774" width="6.125" style="3206" customWidth="1"/>
    <col min="10775" max="10775" width="5.625" style="3206" customWidth="1"/>
    <col min="10776" max="10776" width="4.125" style="3206" customWidth="1"/>
    <col min="10777" max="10777" width="3.5" style="3206" customWidth="1"/>
    <col min="10778" max="10778" width="19.625" style="3206" customWidth="1"/>
    <col min="10779" max="10780" width="9.375" style="3206" customWidth="1"/>
    <col min="10781" max="11008" width="9" style="3206"/>
    <col min="11009" max="11009" width="10.5" style="3206" customWidth="1"/>
    <col min="11010" max="11010" width="15.625" style="3206" customWidth="1"/>
    <col min="11011" max="11011" width="14.375" style="3206" customWidth="1"/>
    <col min="11012" max="11012" width="12.125" style="3206" customWidth="1"/>
    <col min="11013" max="11013" width="14.375" style="3206" customWidth="1"/>
    <col min="11014" max="11014" width="12.125" style="3206" customWidth="1"/>
    <col min="11015" max="11015" width="14.5" style="3206" customWidth="1"/>
    <col min="11016" max="11016" width="12.125" style="3206" customWidth="1"/>
    <col min="11017" max="11017" width="14.5" style="3206" customWidth="1"/>
    <col min="11018" max="11023" width="12.125" style="3206" customWidth="1"/>
    <col min="11024" max="11024" width="4.625" style="3206" customWidth="1"/>
    <col min="11025" max="11025" width="19.5" style="3206" customWidth="1"/>
    <col min="11026" max="11030" width="6.125" style="3206" customWidth="1"/>
    <col min="11031" max="11031" width="5.625" style="3206" customWidth="1"/>
    <col min="11032" max="11032" width="4.125" style="3206" customWidth="1"/>
    <col min="11033" max="11033" width="3.5" style="3206" customWidth="1"/>
    <col min="11034" max="11034" width="19.625" style="3206" customWidth="1"/>
    <col min="11035" max="11036" width="9.375" style="3206" customWidth="1"/>
    <col min="11037" max="11264" width="9" style="3206"/>
    <col min="11265" max="11265" width="10.5" style="3206" customWidth="1"/>
    <col min="11266" max="11266" width="15.625" style="3206" customWidth="1"/>
    <col min="11267" max="11267" width="14.375" style="3206" customWidth="1"/>
    <col min="11268" max="11268" width="12.125" style="3206" customWidth="1"/>
    <col min="11269" max="11269" width="14.375" style="3206" customWidth="1"/>
    <col min="11270" max="11270" width="12.125" style="3206" customWidth="1"/>
    <col min="11271" max="11271" width="14.5" style="3206" customWidth="1"/>
    <col min="11272" max="11272" width="12.125" style="3206" customWidth="1"/>
    <col min="11273" max="11273" width="14.5" style="3206" customWidth="1"/>
    <col min="11274" max="11279" width="12.125" style="3206" customWidth="1"/>
    <col min="11280" max="11280" width="4.625" style="3206" customWidth="1"/>
    <col min="11281" max="11281" width="19.5" style="3206" customWidth="1"/>
    <col min="11282" max="11286" width="6.125" style="3206" customWidth="1"/>
    <col min="11287" max="11287" width="5.625" style="3206" customWidth="1"/>
    <col min="11288" max="11288" width="4.125" style="3206" customWidth="1"/>
    <col min="11289" max="11289" width="3.5" style="3206" customWidth="1"/>
    <col min="11290" max="11290" width="19.625" style="3206" customWidth="1"/>
    <col min="11291" max="11292" width="9.375" style="3206" customWidth="1"/>
    <col min="11293" max="11520" width="9" style="3206"/>
    <col min="11521" max="11521" width="10.5" style="3206" customWidth="1"/>
    <col min="11522" max="11522" width="15.625" style="3206" customWidth="1"/>
    <col min="11523" max="11523" width="14.375" style="3206" customWidth="1"/>
    <col min="11524" max="11524" width="12.125" style="3206" customWidth="1"/>
    <col min="11525" max="11525" width="14.375" style="3206" customWidth="1"/>
    <col min="11526" max="11526" width="12.125" style="3206" customWidth="1"/>
    <col min="11527" max="11527" width="14.5" style="3206" customWidth="1"/>
    <col min="11528" max="11528" width="12.125" style="3206" customWidth="1"/>
    <col min="11529" max="11529" width="14.5" style="3206" customWidth="1"/>
    <col min="11530" max="11535" width="12.125" style="3206" customWidth="1"/>
    <col min="11536" max="11536" width="4.625" style="3206" customWidth="1"/>
    <col min="11537" max="11537" width="19.5" style="3206" customWidth="1"/>
    <col min="11538" max="11542" width="6.125" style="3206" customWidth="1"/>
    <col min="11543" max="11543" width="5.625" style="3206" customWidth="1"/>
    <col min="11544" max="11544" width="4.125" style="3206" customWidth="1"/>
    <col min="11545" max="11545" width="3.5" style="3206" customWidth="1"/>
    <col min="11546" max="11546" width="19.625" style="3206" customWidth="1"/>
    <col min="11547" max="11548" width="9.375" style="3206" customWidth="1"/>
    <col min="11549" max="11776" width="9" style="3206"/>
    <col min="11777" max="11777" width="10.5" style="3206" customWidth="1"/>
    <col min="11778" max="11778" width="15.625" style="3206" customWidth="1"/>
    <col min="11779" max="11779" width="14.375" style="3206" customWidth="1"/>
    <col min="11780" max="11780" width="12.125" style="3206" customWidth="1"/>
    <col min="11781" max="11781" width="14.375" style="3206" customWidth="1"/>
    <col min="11782" max="11782" width="12.125" style="3206" customWidth="1"/>
    <col min="11783" max="11783" width="14.5" style="3206" customWidth="1"/>
    <col min="11784" max="11784" width="12.125" style="3206" customWidth="1"/>
    <col min="11785" max="11785" width="14.5" style="3206" customWidth="1"/>
    <col min="11786" max="11791" width="12.125" style="3206" customWidth="1"/>
    <col min="11792" max="11792" width="4.625" style="3206" customWidth="1"/>
    <col min="11793" max="11793" width="19.5" style="3206" customWidth="1"/>
    <col min="11794" max="11798" width="6.125" style="3206" customWidth="1"/>
    <col min="11799" max="11799" width="5.625" style="3206" customWidth="1"/>
    <col min="11800" max="11800" width="4.125" style="3206" customWidth="1"/>
    <col min="11801" max="11801" width="3.5" style="3206" customWidth="1"/>
    <col min="11802" max="11802" width="19.625" style="3206" customWidth="1"/>
    <col min="11803" max="11804" width="9.375" style="3206" customWidth="1"/>
    <col min="11805" max="12032" width="9" style="3206"/>
    <col min="12033" max="12033" width="10.5" style="3206" customWidth="1"/>
    <col min="12034" max="12034" width="15.625" style="3206" customWidth="1"/>
    <col min="12035" max="12035" width="14.375" style="3206" customWidth="1"/>
    <col min="12036" max="12036" width="12.125" style="3206" customWidth="1"/>
    <col min="12037" max="12037" width="14.375" style="3206" customWidth="1"/>
    <col min="12038" max="12038" width="12.125" style="3206" customWidth="1"/>
    <col min="12039" max="12039" width="14.5" style="3206" customWidth="1"/>
    <col min="12040" max="12040" width="12.125" style="3206" customWidth="1"/>
    <col min="12041" max="12041" width="14.5" style="3206" customWidth="1"/>
    <col min="12042" max="12047" width="12.125" style="3206" customWidth="1"/>
    <col min="12048" max="12048" width="4.625" style="3206" customWidth="1"/>
    <col min="12049" max="12049" width="19.5" style="3206" customWidth="1"/>
    <col min="12050" max="12054" width="6.125" style="3206" customWidth="1"/>
    <col min="12055" max="12055" width="5.625" style="3206" customWidth="1"/>
    <col min="12056" max="12056" width="4.125" style="3206" customWidth="1"/>
    <col min="12057" max="12057" width="3.5" style="3206" customWidth="1"/>
    <col min="12058" max="12058" width="19.625" style="3206" customWidth="1"/>
    <col min="12059" max="12060" width="9.375" style="3206" customWidth="1"/>
    <col min="12061" max="12288" width="9" style="3206"/>
    <col min="12289" max="12289" width="10.5" style="3206" customWidth="1"/>
    <col min="12290" max="12290" width="15.625" style="3206" customWidth="1"/>
    <col min="12291" max="12291" width="14.375" style="3206" customWidth="1"/>
    <col min="12292" max="12292" width="12.125" style="3206" customWidth="1"/>
    <col min="12293" max="12293" width="14.375" style="3206" customWidth="1"/>
    <col min="12294" max="12294" width="12.125" style="3206" customWidth="1"/>
    <col min="12295" max="12295" width="14.5" style="3206" customWidth="1"/>
    <col min="12296" max="12296" width="12.125" style="3206" customWidth="1"/>
    <col min="12297" max="12297" width="14.5" style="3206" customWidth="1"/>
    <col min="12298" max="12303" width="12.125" style="3206" customWidth="1"/>
    <col min="12304" max="12304" width="4.625" style="3206" customWidth="1"/>
    <col min="12305" max="12305" width="19.5" style="3206" customWidth="1"/>
    <col min="12306" max="12310" width="6.125" style="3206" customWidth="1"/>
    <col min="12311" max="12311" width="5.625" style="3206" customWidth="1"/>
    <col min="12312" max="12312" width="4.125" style="3206" customWidth="1"/>
    <col min="12313" max="12313" width="3.5" style="3206" customWidth="1"/>
    <col min="12314" max="12314" width="19.625" style="3206" customWidth="1"/>
    <col min="12315" max="12316" width="9.375" style="3206" customWidth="1"/>
    <col min="12317" max="12544" width="9" style="3206"/>
    <col min="12545" max="12545" width="10.5" style="3206" customWidth="1"/>
    <col min="12546" max="12546" width="15.625" style="3206" customWidth="1"/>
    <col min="12547" max="12547" width="14.375" style="3206" customWidth="1"/>
    <col min="12548" max="12548" width="12.125" style="3206" customWidth="1"/>
    <col min="12549" max="12549" width="14.375" style="3206" customWidth="1"/>
    <col min="12550" max="12550" width="12.125" style="3206" customWidth="1"/>
    <col min="12551" max="12551" width="14.5" style="3206" customWidth="1"/>
    <col min="12552" max="12552" width="12.125" style="3206" customWidth="1"/>
    <col min="12553" max="12553" width="14.5" style="3206" customWidth="1"/>
    <col min="12554" max="12559" width="12.125" style="3206" customWidth="1"/>
    <col min="12560" max="12560" width="4.625" style="3206" customWidth="1"/>
    <col min="12561" max="12561" width="19.5" style="3206" customWidth="1"/>
    <col min="12562" max="12566" width="6.125" style="3206" customWidth="1"/>
    <col min="12567" max="12567" width="5.625" style="3206" customWidth="1"/>
    <col min="12568" max="12568" width="4.125" style="3206" customWidth="1"/>
    <col min="12569" max="12569" width="3.5" style="3206" customWidth="1"/>
    <col min="12570" max="12570" width="19.625" style="3206" customWidth="1"/>
    <col min="12571" max="12572" width="9.375" style="3206" customWidth="1"/>
    <col min="12573" max="12800" width="9" style="3206"/>
    <col min="12801" max="12801" width="10.5" style="3206" customWidth="1"/>
    <col min="12802" max="12802" width="15.625" style="3206" customWidth="1"/>
    <col min="12803" max="12803" width="14.375" style="3206" customWidth="1"/>
    <col min="12804" max="12804" width="12.125" style="3206" customWidth="1"/>
    <col min="12805" max="12805" width="14.375" style="3206" customWidth="1"/>
    <col min="12806" max="12806" width="12.125" style="3206" customWidth="1"/>
    <col min="12807" max="12807" width="14.5" style="3206" customWidth="1"/>
    <col min="12808" max="12808" width="12.125" style="3206" customWidth="1"/>
    <col min="12809" max="12809" width="14.5" style="3206" customWidth="1"/>
    <col min="12810" max="12815" width="12.125" style="3206" customWidth="1"/>
    <col min="12816" max="12816" width="4.625" style="3206" customWidth="1"/>
    <col min="12817" max="12817" width="19.5" style="3206" customWidth="1"/>
    <col min="12818" max="12822" width="6.125" style="3206" customWidth="1"/>
    <col min="12823" max="12823" width="5.625" style="3206" customWidth="1"/>
    <col min="12824" max="12824" width="4.125" style="3206" customWidth="1"/>
    <col min="12825" max="12825" width="3.5" style="3206" customWidth="1"/>
    <col min="12826" max="12826" width="19.625" style="3206" customWidth="1"/>
    <col min="12827" max="12828" width="9.375" style="3206" customWidth="1"/>
    <col min="12829" max="13056" width="9" style="3206"/>
    <col min="13057" max="13057" width="10.5" style="3206" customWidth="1"/>
    <col min="13058" max="13058" width="15.625" style="3206" customWidth="1"/>
    <col min="13059" max="13059" width="14.375" style="3206" customWidth="1"/>
    <col min="13060" max="13060" width="12.125" style="3206" customWidth="1"/>
    <col min="13061" max="13061" width="14.375" style="3206" customWidth="1"/>
    <col min="13062" max="13062" width="12.125" style="3206" customWidth="1"/>
    <col min="13063" max="13063" width="14.5" style="3206" customWidth="1"/>
    <col min="13064" max="13064" width="12.125" style="3206" customWidth="1"/>
    <col min="13065" max="13065" width="14.5" style="3206" customWidth="1"/>
    <col min="13066" max="13071" width="12.125" style="3206" customWidth="1"/>
    <col min="13072" max="13072" width="4.625" style="3206" customWidth="1"/>
    <col min="13073" max="13073" width="19.5" style="3206" customWidth="1"/>
    <col min="13074" max="13078" width="6.125" style="3206" customWidth="1"/>
    <col min="13079" max="13079" width="5.625" style="3206" customWidth="1"/>
    <col min="13080" max="13080" width="4.125" style="3206" customWidth="1"/>
    <col min="13081" max="13081" width="3.5" style="3206" customWidth="1"/>
    <col min="13082" max="13082" width="19.625" style="3206" customWidth="1"/>
    <col min="13083" max="13084" width="9.375" style="3206" customWidth="1"/>
    <col min="13085" max="13312" width="9" style="3206"/>
    <col min="13313" max="13313" width="10.5" style="3206" customWidth="1"/>
    <col min="13314" max="13314" width="15.625" style="3206" customWidth="1"/>
    <col min="13315" max="13315" width="14.375" style="3206" customWidth="1"/>
    <col min="13316" max="13316" width="12.125" style="3206" customWidth="1"/>
    <col min="13317" max="13317" width="14.375" style="3206" customWidth="1"/>
    <col min="13318" max="13318" width="12.125" style="3206" customWidth="1"/>
    <col min="13319" max="13319" width="14.5" style="3206" customWidth="1"/>
    <col min="13320" max="13320" width="12.125" style="3206" customWidth="1"/>
    <col min="13321" max="13321" width="14.5" style="3206" customWidth="1"/>
    <col min="13322" max="13327" width="12.125" style="3206" customWidth="1"/>
    <col min="13328" max="13328" width="4.625" style="3206" customWidth="1"/>
    <col min="13329" max="13329" width="19.5" style="3206" customWidth="1"/>
    <col min="13330" max="13334" width="6.125" style="3206" customWidth="1"/>
    <col min="13335" max="13335" width="5.625" style="3206" customWidth="1"/>
    <col min="13336" max="13336" width="4.125" style="3206" customWidth="1"/>
    <col min="13337" max="13337" width="3.5" style="3206" customWidth="1"/>
    <col min="13338" max="13338" width="19.625" style="3206" customWidth="1"/>
    <col min="13339" max="13340" width="9.375" style="3206" customWidth="1"/>
    <col min="13341" max="13568" width="9" style="3206"/>
    <col min="13569" max="13569" width="10.5" style="3206" customWidth="1"/>
    <col min="13570" max="13570" width="15.625" style="3206" customWidth="1"/>
    <col min="13571" max="13571" width="14.375" style="3206" customWidth="1"/>
    <col min="13572" max="13572" width="12.125" style="3206" customWidth="1"/>
    <col min="13573" max="13573" width="14.375" style="3206" customWidth="1"/>
    <col min="13574" max="13574" width="12.125" style="3206" customWidth="1"/>
    <col min="13575" max="13575" width="14.5" style="3206" customWidth="1"/>
    <col min="13576" max="13576" width="12.125" style="3206" customWidth="1"/>
    <col min="13577" max="13577" width="14.5" style="3206" customWidth="1"/>
    <col min="13578" max="13583" width="12.125" style="3206" customWidth="1"/>
    <col min="13584" max="13584" width="4.625" style="3206" customWidth="1"/>
    <col min="13585" max="13585" width="19.5" style="3206" customWidth="1"/>
    <col min="13586" max="13590" width="6.125" style="3206" customWidth="1"/>
    <col min="13591" max="13591" width="5.625" style="3206" customWidth="1"/>
    <col min="13592" max="13592" width="4.125" style="3206" customWidth="1"/>
    <col min="13593" max="13593" width="3.5" style="3206" customWidth="1"/>
    <col min="13594" max="13594" width="19.625" style="3206" customWidth="1"/>
    <col min="13595" max="13596" width="9.375" style="3206" customWidth="1"/>
    <col min="13597" max="13824" width="9" style="3206"/>
    <col min="13825" max="13825" width="10.5" style="3206" customWidth="1"/>
    <col min="13826" max="13826" width="15.625" style="3206" customWidth="1"/>
    <col min="13827" max="13827" width="14.375" style="3206" customWidth="1"/>
    <col min="13828" max="13828" width="12.125" style="3206" customWidth="1"/>
    <col min="13829" max="13829" width="14.375" style="3206" customWidth="1"/>
    <col min="13830" max="13830" width="12.125" style="3206" customWidth="1"/>
    <col min="13831" max="13831" width="14.5" style="3206" customWidth="1"/>
    <col min="13832" max="13832" width="12.125" style="3206" customWidth="1"/>
    <col min="13833" max="13833" width="14.5" style="3206" customWidth="1"/>
    <col min="13834" max="13839" width="12.125" style="3206" customWidth="1"/>
    <col min="13840" max="13840" width="4.625" style="3206" customWidth="1"/>
    <col min="13841" max="13841" width="19.5" style="3206" customWidth="1"/>
    <col min="13842" max="13846" width="6.125" style="3206" customWidth="1"/>
    <col min="13847" max="13847" width="5.625" style="3206" customWidth="1"/>
    <col min="13848" max="13848" width="4.125" style="3206" customWidth="1"/>
    <col min="13849" max="13849" width="3.5" style="3206" customWidth="1"/>
    <col min="13850" max="13850" width="19.625" style="3206" customWidth="1"/>
    <col min="13851" max="13852" width="9.375" style="3206" customWidth="1"/>
    <col min="13853" max="14080" width="9" style="3206"/>
    <col min="14081" max="14081" width="10.5" style="3206" customWidth="1"/>
    <col min="14082" max="14082" width="15.625" style="3206" customWidth="1"/>
    <col min="14083" max="14083" width="14.375" style="3206" customWidth="1"/>
    <col min="14084" max="14084" width="12.125" style="3206" customWidth="1"/>
    <col min="14085" max="14085" width="14.375" style="3206" customWidth="1"/>
    <col min="14086" max="14086" width="12.125" style="3206" customWidth="1"/>
    <col min="14087" max="14087" width="14.5" style="3206" customWidth="1"/>
    <col min="14088" max="14088" width="12.125" style="3206" customWidth="1"/>
    <col min="14089" max="14089" width="14.5" style="3206" customWidth="1"/>
    <col min="14090" max="14095" width="12.125" style="3206" customWidth="1"/>
    <col min="14096" max="14096" width="4.625" style="3206" customWidth="1"/>
    <col min="14097" max="14097" width="19.5" style="3206" customWidth="1"/>
    <col min="14098" max="14102" width="6.125" style="3206" customWidth="1"/>
    <col min="14103" max="14103" width="5.625" style="3206" customWidth="1"/>
    <col min="14104" max="14104" width="4.125" style="3206" customWidth="1"/>
    <col min="14105" max="14105" width="3.5" style="3206" customWidth="1"/>
    <col min="14106" max="14106" width="19.625" style="3206" customWidth="1"/>
    <col min="14107" max="14108" width="9.375" style="3206" customWidth="1"/>
    <col min="14109" max="14336" width="9" style="3206"/>
    <col min="14337" max="14337" width="10.5" style="3206" customWidth="1"/>
    <col min="14338" max="14338" width="15.625" style="3206" customWidth="1"/>
    <col min="14339" max="14339" width="14.375" style="3206" customWidth="1"/>
    <col min="14340" max="14340" width="12.125" style="3206" customWidth="1"/>
    <col min="14341" max="14341" width="14.375" style="3206" customWidth="1"/>
    <col min="14342" max="14342" width="12.125" style="3206" customWidth="1"/>
    <col min="14343" max="14343" width="14.5" style="3206" customWidth="1"/>
    <col min="14344" max="14344" width="12.125" style="3206" customWidth="1"/>
    <col min="14345" max="14345" width="14.5" style="3206" customWidth="1"/>
    <col min="14346" max="14351" width="12.125" style="3206" customWidth="1"/>
    <col min="14352" max="14352" width="4.625" style="3206" customWidth="1"/>
    <col min="14353" max="14353" width="19.5" style="3206" customWidth="1"/>
    <col min="14354" max="14358" width="6.125" style="3206" customWidth="1"/>
    <col min="14359" max="14359" width="5.625" style="3206" customWidth="1"/>
    <col min="14360" max="14360" width="4.125" style="3206" customWidth="1"/>
    <col min="14361" max="14361" width="3.5" style="3206" customWidth="1"/>
    <col min="14362" max="14362" width="19.625" style="3206" customWidth="1"/>
    <col min="14363" max="14364" width="9.375" style="3206" customWidth="1"/>
    <col min="14365" max="14592" width="9" style="3206"/>
    <col min="14593" max="14593" width="10.5" style="3206" customWidth="1"/>
    <col min="14594" max="14594" width="15.625" style="3206" customWidth="1"/>
    <col min="14595" max="14595" width="14.375" style="3206" customWidth="1"/>
    <col min="14596" max="14596" width="12.125" style="3206" customWidth="1"/>
    <col min="14597" max="14597" width="14.375" style="3206" customWidth="1"/>
    <col min="14598" max="14598" width="12.125" style="3206" customWidth="1"/>
    <col min="14599" max="14599" width="14.5" style="3206" customWidth="1"/>
    <col min="14600" max="14600" width="12.125" style="3206" customWidth="1"/>
    <col min="14601" max="14601" width="14.5" style="3206" customWidth="1"/>
    <col min="14602" max="14607" width="12.125" style="3206" customWidth="1"/>
    <col min="14608" max="14608" width="4.625" style="3206" customWidth="1"/>
    <col min="14609" max="14609" width="19.5" style="3206" customWidth="1"/>
    <col min="14610" max="14614" width="6.125" style="3206" customWidth="1"/>
    <col min="14615" max="14615" width="5.625" style="3206" customWidth="1"/>
    <col min="14616" max="14616" width="4.125" style="3206" customWidth="1"/>
    <col min="14617" max="14617" width="3.5" style="3206" customWidth="1"/>
    <col min="14618" max="14618" width="19.625" style="3206" customWidth="1"/>
    <col min="14619" max="14620" width="9.375" style="3206" customWidth="1"/>
    <col min="14621" max="14848" width="9" style="3206"/>
    <col min="14849" max="14849" width="10.5" style="3206" customWidth="1"/>
    <col min="14850" max="14850" width="15.625" style="3206" customWidth="1"/>
    <col min="14851" max="14851" width="14.375" style="3206" customWidth="1"/>
    <col min="14852" max="14852" width="12.125" style="3206" customWidth="1"/>
    <col min="14853" max="14853" width="14.375" style="3206" customWidth="1"/>
    <col min="14854" max="14854" width="12.125" style="3206" customWidth="1"/>
    <col min="14855" max="14855" width="14.5" style="3206" customWidth="1"/>
    <col min="14856" max="14856" width="12.125" style="3206" customWidth="1"/>
    <col min="14857" max="14857" width="14.5" style="3206" customWidth="1"/>
    <col min="14858" max="14863" width="12.125" style="3206" customWidth="1"/>
    <col min="14864" max="14864" width="4.625" style="3206" customWidth="1"/>
    <col min="14865" max="14865" width="19.5" style="3206" customWidth="1"/>
    <col min="14866" max="14870" width="6.125" style="3206" customWidth="1"/>
    <col min="14871" max="14871" width="5.625" style="3206" customWidth="1"/>
    <col min="14872" max="14872" width="4.125" style="3206" customWidth="1"/>
    <col min="14873" max="14873" width="3.5" style="3206" customWidth="1"/>
    <col min="14874" max="14874" width="19.625" style="3206" customWidth="1"/>
    <col min="14875" max="14876" width="9.375" style="3206" customWidth="1"/>
    <col min="14877" max="15104" width="9" style="3206"/>
    <col min="15105" max="15105" width="10.5" style="3206" customWidth="1"/>
    <col min="15106" max="15106" width="15.625" style="3206" customWidth="1"/>
    <col min="15107" max="15107" width="14.375" style="3206" customWidth="1"/>
    <col min="15108" max="15108" width="12.125" style="3206" customWidth="1"/>
    <col min="15109" max="15109" width="14.375" style="3206" customWidth="1"/>
    <col min="15110" max="15110" width="12.125" style="3206" customWidth="1"/>
    <col min="15111" max="15111" width="14.5" style="3206" customWidth="1"/>
    <col min="15112" max="15112" width="12.125" style="3206" customWidth="1"/>
    <col min="15113" max="15113" width="14.5" style="3206" customWidth="1"/>
    <col min="15114" max="15119" width="12.125" style="3206" customWidth="1"/>
    <col min="15120" max="15120" width="4.625" style="3206" customWidth="1"/>
    <col min="15121" max="15121" width="19.5" style="3206" customWidth="1"/>
    <col min="15122" max="15126" width="6.125" style="3206" customWidth="1"/>
    <col min="15127" max="15127" width="5.625" style="3206" customWidth="1"/>
    <col min="15128" max="15128" width="4.125" style="3206" customWidth="1"/>
    <col min="15129" max="15129" width="3.5" style="3206" customWidth="1"/>
    <col min="15130" max="15130" width="19.625" style="3206" customWidth="1"/>
    <col min="15131" max="15132" width="9.375" style="3206" customWidth="1"/>
    <col min="15133" max="15360" width="9" style="3206"/>
    <col min="15361" max="15361" width="10.5" style="3206" customWidth="1"/>
    <col min="15362" max="15362" width="15.625" style="3206" customWidth="1"/>
    <col min="15363" max="15363" width="14.375" style="3206" customWidth="1"/>
    <col min="15364" max="15364" width="12.125" style="3206" customWidth="1"/>
    <col min="15365" max="15365" width="14.375" style="3206" customWidth="1"/>
    <col min="15366" max="15366" width="12.125" style="3206" customWidth="1"/>
    <col min="15367" max="15367" width="14.5" style="3206" customWidth="1"/>
    <col min="15368" max="15368" width="12.125" style="3206" customWidth="1"/>
    <col min="15369" max="15369" width="14.5" style="3206" customWidth="1"/>
    <col min="15370" max="15375" width="12.125" style="3206" customWidth="1"/>
    <col min="15376" max="15376" width="4.625" style="3206" customWidth="1"/>
    <col min="15377" max="15377" width="19.5" style="3206" customWidth="1"/>
    <col min="15378" max="15382" width="6.125" style="3206" customWidth="1"/>
    <col min="15383" max="15383" width="5.625" style="3206" customWidth="1"/>
    <col min="15384" max="15384" width="4.125" style="3206" customWidth="1"/>
    <col min="15385" max="15385" width="3.5" style="3206" customWidth="1"/>
    <col min="15386" max="15386" width="19.625" style="3206" customWidth="1"/>
    <col min="15387" max="15388" width="9.375" style="3206" customWidth="1"/>
    <col min="15389" max="15616" width="9" style="3206"/>
    <col min="15617" max="15617" width="10.5" style="3206" customWidth="1"/>
    <col min="15618" max="15618" width="15.625" style="3206" customWidth="1"/>
    <col min="15619" max="15619" width="14.375" style="3206" customWidth="1"/>
    <col min="15620" max="15620" width="12.125" style="3206" customWidth="1"/>
    <col min="15621" max="15621" width="14.375" style="3206" customWidth="1"/>
    <col min="15622" max="15622" width="12.125" style="3206" customWidth="1"/>
    <col min="15623" max="15623" width="14.5" style="3206" customWidth="1"/>
    <col min="15624" max="15624" width="12.125" style="3206" customWidth="1"/>
    <col min="15625" max="15625" width="14.5" style="3206" customWidth="1"/>
    <col min="15626" max="15631" width="12.125" style="3206" customWidth="1"/>
    <col min="15632" max="15632" width="4.625" style="3206" customWidth="1"/>
    <col min="15633" max="15633" width="19.5" style="3206" customWidth="1"/>
    <col min="15634" max="15638" width="6.125" style="3206" customWidth="1"/>
    <col min="15639" max="15639" width="5.625" style="3206" customWidth="1"/>
    <col min="15640" max="15640" width="4.125" style="3206" customWidth="1"/>
    <col min="15641" max="15641" width="3.5" style="3206" customWidth="1"/>
    <col min="15642" max="15642" width="19.625" style="3206" customWidth="1"/>
    <col min="15643" max="15644" width="9.375" style="3206" customWidth="1"/>
    <col min="15645" max="15872" width="9" style="3206"/>
    <col min="15873" max="15873" width="10.5" style="3206" customWidth="1"/>
    <col min="15874" max="15874" width="15.625" style="3206" customWidth="1"/>
    <col min="15875" max="15875" width="14.375" style="3206" customWidth="1"/>
    <col min="15876" max="15876" width="12.125" style="3206" customWidth="1"/>
    <col min="15877" max="15877" width="14.375" style="3206" customWidth="1"/>
    <col min="15878" max="15878" width="12.125" style="3206" customWidth="1"/>
    <col min="15879" max="15879" width="14.5" style="3206" customWidth="1"/>
    <col min="15880" max="15880" width="12.125" style="3206" customWidth="1"/>
    <col min="15881" max="15881" width="14.5" style="3206" customWidth="1"/>
    <col min="15882" max="15887" width="12.125" style="3206" customWidth="1"/>
    <col min="15888" max="15888" width="4.625" style="3206" customWidth="1"/>
    <col min="15889" max="15889" width="19.5" style="3206" customWidth="1"/>
    <col min="15890" max="15894" width="6.125" style="3206" customWidth="1"/>
    <col min="15895" max="15895" width="5.625" style="3206" customWidth="1"/>
    <col min="15896" max="15896" width="4.125" style="3206" customWidth="1"/>
    <col min="15897" max="15897" width="3.5" style="3206" customWidth="1"/>
    <col min="15898" max="15898" width="19.625" style="3206" customWidth="1"/>
    <col min="15899" max="15900" width="9.375" style="3206" customWidth="1"/>
    <col min="15901" max="16128" width="9" style="3206"/>
    <col min="16129" max="16129" width="10.5" style="3206" customWidth="1"/>
    <col min="16130" max="16130" width="15.625" style="3206" customWidth="1"/>
    <col min="16131" max="16131" width="14.375" style="3206" customWidth="1"/>
    <col min="16132" max="16132" width="12.125" style="3206" customWidth="1"/>
    <col min="16133" max="16133" width="14.375" style="3206" customWidth="1"/>
    <col min="16134" max="16134" width="12.125" style="3206" customWidth="1"/>
    <col min="16135" max="16135" width="14.5" style="3206" customWidth="1"/>
    <col min="16136" max="16136" width="12.125" style="3206" customWidth="1"/>
    <col min="16137" max="16137" width="14.5" style="3206" customWidth="1"/>
    <col min="16138" max="16143" width="12.125" style="3206" customWidth="1"/>
    <col min="16144" max="16144" width="4.625" style="3206" customWidth="1"/>
    <col min="16145" max="16145" width="19.5" style="3206" customWidth="1"/>
    <col min="16146" max="16150" width="6.125" style="3206" customWidth="1"/>
    <col min="16151" max="16151" width="5.625" style="3206" customWidth="1"/>
    <col min="16152" max="16152" width="4.125" style="3206" customWidth="1"/>
    <col min="16153" max="16153" width="3.5" style="3206" customWidth="1"/>
    <col min="16154" max="16154" width="19.625" style="3206" customWidth="1"/>
    <col min="16155" max="16156" width="9.375" style="3206" customWidth="1"/>
    <col min="16157" max="16384" width="9" style="3206"/>
  </cols>
  <sheetData>
    <row r="1" spans="1:29" s="3187" customFormat="1" ht="28.5" customHeight="1">
      <c r="A1" s="3175" t="s">
        <v>3024</v>
      </c>
      <c r="B1" s="3176" t="s">
        <v>3025</v>
      </c>
      <c r="C1" s="3177" t="s">
        <v>3026</v>
      </c>
      <c r="D1" s="3178" t="s">
        <v>3014</v>
      </c>
      <c r="E1" s="3179"/>
      <c r="F1" s="3180"/>
      <c r="G1" s="3181" t="s">
        <v>3027</v>
      </c>
      <c r="H1" s="3179"/>
      <c r="I1" s="3179"/>
      <c r="J1" s="3179"/>
      <c r="K1" s="3182"/>
      <c r="L1" s="3183"/>
      <c r="M1" s="3184"/>
      <c r="N1" s="3184"/>
      <c r="O1" s="3184"/>
      <c r="P1" s="3185"/>
      <c r="Q1" s="3185"/>
      <c r="R1" s="3185"/>
      <c r="S1" s="3185"/>
      <c r="T1" s="3185"/>
      <c r="U1" s="3185"/>
      <c r="V1" s="3185"/>
      <c r="W1" s="3185"/>
      <c r="X1" s="3185"/>
      <c r="Y1" s="3185"/>
      <c r="Z1" s="3185"/>
      <c r="AA1" s="3185"/>
      <c r="AB1" s="3185"/>
      <c r="AC1" s="3186"/>
    </row>
    <row r="2" spans="1:29" s="3187" customFormat="1" ht="28.5" customHeight="1">
      <c r="A2" s="423" t="s">
        <v>3028</v>
      </c>
      <c r="B2" s="3188" t="e">
        <f>ROUND(B3*D3/10000,0)</f>
        <v>#VALUE!</v>
      </c>
      <c r="C2" s="3189"/>
      <c r="D2" s="3189"/>
      <c r="E2" s="3190"/>
      <c r="F2" s="3191"/>
      <c r="G2" s="3192"/>
      <c r="H2" s="3192"/>
      <c r="I2" s="3192"/>
      <c r="J2" s="3192"/>
      <c r="K2" s="3192"/>
      <c r="L2" s="3193"/>
      <c r="M2" s="3194"/>
      <c r="N2" s="3194"/>
      <c r="O2" s="3194"/>
      <c r="P2" s="3185"/>
      <c r="Q2" s="3185"/>
      <c r="R2" s="3185"/>
      <c r="S2" s="3185"/>
      <c r="T2" s="3185"/>
      <c r="U2" s="3185"/>
      <c r="V2" s="3185"/>
      <c r="W2" s="3185"/>
      <c r="X2" s="3185"/>
      <c r="Y2" s="3185"/>
      <c r="Z2" s="3185"/>
      <c r="AA2" s="3185"/>
      <c r="AB2" s="3185"/>
      <c r="AC2" s="3186"/>
    </row>
    <row r="3" spans="1:29" s="3187" customFormat="1" ht="28.5" customHeight="1" thickBot="1">
      <c r="A3" s="509" t="s">
        <v>3029</v>
      </c>
      <c r="B3" s="3195">
        <f>C49</f>
        <v>4.0999999999999996</v>
      </c>
      <c r="C3" s="3196" t="s">
        <v>3030</v>
      </c>
      <c r="D3" s="3197" t="e">
        <f>SUMIF('[4]数据-汇总表'!$C19:$C33,D1,'[4]数据-汇总表'!$E19:$E33)</f>
        <v>#VALUE!</v>
      </c>
      <c r="E3" s="3190"/>
      <c r="F3" s="3191"/>
      <c r="G3" s="3192"/>
      <c r="H3" s="3192"/>
      <c r="I3" s="3192"/>
      <c r="J3" s="3192"/>
      <c r="K3" s="3198"/>
      <c r="L3" s="3193"/>
      <c r="M3" s="3194"/>
      <c r="N3" s="3194"/>
      <c r="O3" s="3194"/>
      <c r="P3" s="3185"/>
      <c r="Q3" s="3185"/>
      <c r="R3" s="3185"/>
      <c r="S3" s="3185"/>
      <c r="T3" s="3185"/>
      <c r="U3" s="3185"/>
      <c r="V3" s="3185"/>
      <c r="W3" s="3185"/>
      <c r="X3" s="3185"/>
      <c r="Y3" s="3185"/>
      <c r="Z3" s="3185"/>
      <c r="AA3" s="3185"/>
      <c r="AB3" s="3185"/>
      <c r="AC3" s="3199"/>
    </row>
    <row r="4" spans="1:29" ht="15">
      <c r="A4" s="3200" t="s">
        <v>3031</v>
      </c>
      <c r="B4" s="3201"/>
      <c r="C4" s="3895" t="s">
        <v>3032</v>
      </c>
      <c r="D4" s="3896"/>
      <c r="E4" s="3897" t="s">
        <v>3033</v>
      </c>
      <c r="F4" s="3898"/>
      <c r="G4" s="3895" t="s">
        <v>3034</v>
      </c>
      <c r="H4" s="3896"/>
      <c r="I4" s="3895" t="s">
        <v>3035</v>
      </c>
      <c r="J4" s="3896"/>
      <c r="K4" s="3202" t="s">
        <v>3036</v>
      </c>
      <c r="L4" s="3203"/>
      <c r="M4" s="3204"/>
      <c r="N4" s="3204"/>
      <c r="O4" s="3204"/>
      <c r="P4" s="3899" t="s">
        <v>3037</v>
      </c>
      <c r="Q4" s="3900"/>
      <c r="R4" s="3905" t="s">
        <v>3033</v>
      </c>
      <c r="S4" s="3906"/>
      <c r="T4" s="3905" t="s">
        <v>3034</v>
      </c>
      <c r="U4" s="3906"/>
      <c r="V4" s="3921" t="s">
        <v>3035</v>
      </c>
      <c r="W4" s="3921"/>
      <c r="X4" s="3205"/>
      <c r="Y4" s="3905" t="s">
        <v>3037</v>
      </c>
      <c r="Z4" s="3906"/>
      <c r="AA4" s="3892" t="s">
        <v>3033</v>
      </c>
      <c r="AB4" s="3921" t="s">
        <v>3034</v>
      </c>
      <c r="AC4" s="3892" t="s">
        <v>3035</v>
      </c>
    </row>
    <row r="5" spans="1:29" ht="15">
      <c r="A5" s="3207"/>
      <c r="B5" s="3208"/>
      <c r="C5" s="3909" t="str">
        <f>'[4]不动产比较法-住宅'!C5:D5</f>
        <v>雄安交通枢纽</v>
      </c>
      <c r="D5" s="3910"/>
      <c r="E5" s="3911" t="s">
        <v>3038</v>
      </c>
      <c r="F5" s="3912"/>
      <c r="G5" s="3913" t="s">
        <v>3039</v>
      </c>
      <c r="H5" s="3910"/>
      <c r="I5" s="3913" t="s">
        <v>3040</v>
      </c>
      <c r="J5" s="3910"/>
      <c r="K5" s="3202"/>
      <c r="L5" s="3203"/>
      <c r="M5" s="3204"/>
      <c r="N5" s="3204"/>
      <c r="O5" s="3204"/>
      <c r="P5" s="3901"/>
      <c r="Q5" s="3902"/>
      <c r="R5" s="3907"/>
      <c r="S5" s="3908"/>
      <c r="T5" s="3907"/>
      <c r="U5" s="3908"/>
      <c r="V5" s="3921"/>
      <c r="W5" s="3921"/>
      <c r="X5" s="3205"/>
      <c r="Y5" s="3907"/>
      <c r="Z5" s="3908"/>
      <c r="AA5" s="3893"/>
      <c r="AB5" s="3921"/>
      <c r="AC5" s="3893"/>
    </row>
    <row r="6" spans="1:29" ht="15.75" thickBot="1">
      <c r="A6" s="3209"/>
      <c r="B6" s="3210"/>
      <c r="C6" s="3914" t="s">
        <v>3041</v>
      </c>
      <c r="D6" s="3915"/>
      <c r="E6" s="3916" t="s">
        <v>3042</v>
      </c>
      <c r="F6" s="3917"/>
      <c r="G6" s="3918" t="s">
        <v>3043</v>
      </c>
      <c r="H6" s="3915"/>
      <c r="I6" s="3918" t="s">
        <v>3044</v>
      </c>
      <c r="J6" s="3915"/>
      <c r="K6" s="3202" t="s">
        <v>3045</v>
      </c>
      <c r="L6" s="3203"/>
      <c r="M6" s="3204"/>
      <c r="N6" s="3204"/>
      <c r="O6" s="3204"/>
      <c r="P6" s="3903"/>
      <c r="Q6" s="3904"/>
      <c r="R6" s="3907"/>
      <c r="S6" s="3908"/>
      <c r="T6" s="3919"/>
      <c r="U6" s="3920"/>
      <c r="V6" s="3921"/>
      <c r="W6" s="3921"/>
      <c r="X6" s="3205"/>
      <c r="Y6" s="3919"/>
      <c r="Z6" s="3920"/>
      <c r="AA6" s="3894"/>
      <c r="AB6" s="3921"/>
      <c r="AC6" s="3894"/>
    </row>
    <row r="7" spans="1:29" s="3224" customFormat="1" ht="15.75" thickBot="1">
      <c r="A7" s="3211"/>
      <c r="B7" s="3212" t="s">
        <v>3046</v>
      </c>
      <c r="C7" s="3213">
        <f>'[4]数据-取费表'!B2</f>
        <v>43901</v>
      </c>
      <c r="D7" s="3214">
        <v>100</v>
      </c>
      <c r="E7" s="3215">
        <f>C7</f>
        <v>43901</v>
      </c>
      <c r="F7" s="3216">
        <f>SUMIF(58:58,YEAR(E7)&amp;"-"&amp;MONTH(E7),59:59)</f>
        <v>100</v>
      </c>
      <c r="G7" s="3215">
        <f>C7</f>
        <v>43901</v>
      </c>
      <c r="H7" s="3214">
        <f>SUMIF(58:58,YEAR(G7)&amp;"-"&amp;MONTH(G7),59:59)</f>
        <v>100</v>
      </c>
      <c r="I7" s="3215">
        <f>C7</f>
        <v>43901</v>
      </c>
      <c r="J7" s="3214">
        <f>SUMIF(58:58,YEAR(I7)&amp;"-"&amp;MONTH(I7),59:59)</f>
        <v>100</v>
      </c>
      <c r="K7" s="3217"/>
      <c r="L7" s="3218"/>
      <c r="M7" s="3219"/>
      <c r="N7" s="3219"/>
      <c r="O7" s="3219"/>
      <c r="P7" s="3922" t="s">
        <v>3047</v>
      </c>
      <c r="Q7" s="3923"/>
      <c r="R7" s="3220" t="s">
        <v>3048</v>
      </c>
      <c r="S7" s="3221">
        <f t="shared" ref="S7:S15" si="0">F7</f>
        <v>100</v>
      </c>
      <c r="T7" s="3220" t="s">
        <v>3048</v>
      </c>
      <c r="U7" s="3221">
        <f t="shared" ref="U7:U15" si="1">H7</f>
        <v>100</v>
      </c>
      <c r="V7" s="3220" t="s">
        <v>3048</v>
      </c>
      <c r="W7" s="3221">
        <f t="shared" ref="W7:W15" si="2">J7</f>
        <v>100</v>
      </c>
      <c r="X7" s="3222"/>
      <c r="Y7" s="3922" t="s">
        <v>3049</v>
      </c>
      <c r="Z7" s="3924"/>
      <c r="AA7" s="3223">
        <f>D7/F7</f>
        <v>1</v>
      </c>
      <c r="AB7" s="3223">
        <f>D7/H7</f>
        <v>1</v>
      </c>
      <c r="AC7" s="3223">
        <f>D7/J7</f>
        <v>1</v>
      </c>
    </row>
    <row r="8" spans="1:29" s="3224" customFormat="1" ht="15.75" thickBot="1">
      <c r="A8" s="3225"/>
      <c r="B8" s="3226" t="s">
        <v>3050</v>
      </c>
      <c r="C8" s="3227" t="s">
        <v>3051</v>
      </c>
      <c r="D8" s="3214">
        <v>100</v>
      </c>
      <c r="E8" s="3227" t="s">
        <v>3052</v>
      </c>
      <c r="F8" s="3216">
        <f>SUMIF(61:61,E8,62:62)-SUMIF(61:61,C8,62:62)+100</f>
        <v>100</v>
      </c>
      <c r="G8" s="3227" t="s">
        <v>3052</v>
      </c>
      <c r="H8" s="3214">
        <f>SUMIF(61:61,G8,62:62)-SUMIF(61:61,C8,62:62)+100</f>
        <v>100</v>
      </c>
      <c r="I8" s="3227" t="s">
        <v>3052</v>
      </c>
      <c r="J8" s="3214">
        <f>SUMIF(61:61,I8,62:62)-SUMIF(61:61,C8,62:62)+100</f>
        <v>100</v>
      </c>
      <c r="K8" s="3217"/>
      <c r="L8" s="3218"/>
      <c r="M8" s="3219"/>
      <c r="N8" s="3219"/>
      <c r="O8" s="3219"/>
      <c r="P8" s="3922" t="s">
        <v>3053</v>
      </c>
      <c r="Q8" s="3924"/>
      <c r="R8" s="3220" t="s">
        <v>3054</v>
      </c>
      <c r="S8" s="3221">
        <f t="shared" si="0"/>
        <v>100</v>
      </c>
      <c r="T8" s="3220" t="s">
        <v>3054</v>
      </c>
      <c r="U8" s="3221">
        <f t="shared" si="1"/>
        <v>100</v>
      </c>
      <c r="V8" s="3220" t="s">
        <v>3054</v>
      </c>
      <c r="W8" s="3221">
        <f t="shared" si="2"/>
        <v>100</v>
      </c>
      <c r="X8" s="3222"/>
      <c r="Y8" s="3922" t="s">
        <v>3053</v>
      </c>
      <c r="Z8" s="3924"/>
      <c r="AA8" s="3223">
        <f t="shared" ref="AA8:AA46" si="3">D8/F8</f>
        <v>1</v>
      </c>
      <c r="AB8" s="3223">
        <f t="shared" ref="AB8:AB46" si="4">D8/H8</f>
        <v>1</v>
      </c>
      <c r="AC8" s="3223">
        <f t="shared" ref="AC8:AC46" si="5">D8/J8</f>
        <v>1</v>
      </c>
    </row>
    <row r="9" spans="1:29" s="3224" customFormat="1" ht="15">
      <c r="A9" s="3228"/>
      <c r="B9" s="3229" t="s">
        <v>3055</v>
      </c>
      <c r="C9" s="3230" t="s">
        <v>3056</v>
      </c>
      <c r="D9" s="3231">
        <v>100</v>
      </c>
      <c r="E9" s="3232" t="s">
        <v>3014</v>
      </c>
      <c r="F9" s="3231">
        <f>SUMIF(63:63,E9,64:64)-SUMIF(63:63,C9,64:64)+100</f>
        <v>100</v>
      </c>
      <c r="G9" s="3233" t="s">
        <v>3014</v>
      </c>
      <c r="H9" s="3231">
        <f>SUMIF(63:63,G9,64:64)-SUMIF(63:63,C9,64:64)+100</f>
        <v>100</v>
      </c>
      <c r="I9" s="3233" t="s">
        <v>3014</v>
      </c>
      <c r="J9" s="3231">
        <f>SUMIF(63:63,I9,64:64)-SUMIF(63:63,C9,64:64)+100</f>
        <v>100</v>
      </c>
      <c r="K9" s="3217"/>
      <c r="L9" s="3218"/>
      <c r="M9" s="3219"/>
      <c r="N9" s="3219"/>
      <c r="O9" s="3234"/>
      <c r="P9" s="3925" t="s">
        <v>3057</v>
      </c>
      <c r="Q9" s="3235" t="str">
        <f t="shared" ref="Q9:Q15" si="6">B9</f>
        <v>用途</v>
      </c>
      <c r="R9" s="3220" t="s">
        <v>3054</v>
      </c>
      <c r="S9" s="3221">
        <f t="shared" si="0"/>
        <v>100</v>
      </c>
      <c r="T9" s="3220" t="s">
        <v>3054</v>
      </c>
      <c r="U9" s="3221">
        <f t="shared" si="1"/>
        <v>100</v>
      </c>
      <c r="V9" s="3220" t="s">
        <v>3054</v>
      </c>
      <c r="W9" s="3221">
        <f t="shared" si="2"/>
        <v>100</v>
      </c>
      <c r="X9" s="3222"/>
      <c r="Y9" s="3926" t="s">
        <v>3058</v>
      </c>
      <c r="Z9" s="3236" t="str">
        <f t="shared" ref="Z9:Z15" si="7">Q9</f>
        <v>用途</v>
      </c>
      <c r="AA9" s="3223">
        <f t="shared" si="3"/>
        <v>1</v>
      </c>
      <c r="AB9" s="3223">
        <f t="shared" si="4"/>
        <v>1</v>
      </c>
      <c r="AC9" s="3223">
        <f t="shared" si="5"/>
        <v>1</v>
      </c>
    </row>
    <row r="10" spans="1:29" s="3245" customFormat="1" ht="27.75" thickBot="1">
      <c r="A10" s="3237"/>
      <c r="B10" s="3226" t="s">
        <v>3059</v>
      </c>
      <c r="C10" s="3238" t="s">
        <v>3060</v>
      </c>
      <c r="D10" s="3239">
        <v>100</v>
      </c>
      <c r="E10" s="3238" t="s">
        <v>3060</v>
      </c>
      <c r="F10" s="3239">
        <f>SUMIF(65:65,E10,66:66)-SUMIF(65:65,C10,66:66)+100</f>
        <v>100</v>
      </c>
      <c r="G10" s="3240" t="s">
        <v>3060</v>
      </c>
      <c r="H10" s="3239">
        <f>SUMIF(65:65,G10,66:66)-SUMIF(65:65,C10,66:66)+100</f>
        <v>100</v>
      </c>
      <c r="I10" s="3238" t="s">
        <v>3060</v>
      </c>
      <c r="J10" s="3239">
        <f>SUMIF(65:65,I10,66:66)-SUMIF(65:65,C10,66:66)+100</f>
        <v>100</v>
      </c>
      <c r="K10" s="3241"/>
      <c r="L10" s="3242"/>
      <c r="M10" s="3243"/>
      <c r="N10" s="3243"/>
      <c r="O10" s="3244"/>
      <c r="P10" s="3925"/>
      <c r="Q10" s="3235" t="str">
        <f t="shared" si="6"/>
        <v>土地使用年限（年）</v>
      </c>
      <c r="R10" s="3220" t="s">
        <v>3054</v>
      </c>
      <c r="S10" s="3221">
        <f t="shared" si="0"/>
        <v>100</v>
      </c>
      <c r="T10" s="3220" t="s">
        <v>3054</v>
      </c>
      <c r="U10" s="3221">
        <f t="shared" si="1"/>
        <v>100</v>
      </c>
      <c r="V10" s="3220" t="s">
        <v>3054</v>
      </c>
      <c r="W10" s="3221">
        <f t="shared" si="2"/>
        <v>100</v>
      </c>
      <c r="X10" s="3222"/>
      <c r="Y10" s="3926"/>
      <c r="Z10" s="3236" t="str">
        <f t="shared" si="7"/>
        <v>土地使用年限（年）</v>
      </c>
      <c r="AA10" s="3223">
        <f t="shared" si="3"/>
        <v>1</v>
      </c>
      <c r="AB10" s="3223">
        <f t="shared" si="4"/>
        <v>1</v>
      </c>
      <c r="AC10" s="3223">
        <f t="shared" si="5"/>
        <v>1</v>
      </c>
    </row>
    <row r="11" spans="1:29" ht="15.75" hidden="1" thickBot="1">
      <c r="A11" s="3246"/>
      <c r="B11" s="3226" t="s">
        <v>3061</v>
      </c>
      <c r="C11" s="3247">
        <v>2.4</v>
      </c>
      <c r="D11" s="3239">
        <v>100</v>
      </c>
      <c r="E11" s="3247">
        <v>2.4</v>
      </c>
      <c r="F11" s="3239">
        <f>LOOKUP(E11,68:68,69:69)-LOOKUP(C11,68:68,69:69)+100</f>
        <v>100</v>
      </c>
      <c r="G11" s="3248">
        <v>2.4</v>
      </c>
      <c r="H11" s="3239">
        <f>LOOKUP(G11,68:68,69:69)-LOOKUP(C11,68:68,69:69)+100</f>
        <v>100</v>
      </c>
      <c r="I11" s="3247">
        <v>2.4</v>
      </c>
      <c r="J11" s="3239">
        <f>LOOKUP(I11,68:68,69:69)-LOOKUP(C11,68:68,69:69)+100</f>
        <v>100</v>
      </c>
      <c r="K11" s="3241"/>
      <c r="L11" s="3249"/>
      <c r="M11" s="3204"/>
      <c r="N11" s="3204"/>
      <c r="O11" s="3250"/>
      <c r="P11" s="3925"/>
      <c r="Q11" s="3235" t="str">
        <f t="shared" si="6"/>
        <v>容积率</v>
      </c>
      <c r="R11" s="3220" t="s">
        <v>3054</v>
      </c>
      <c r="S11" s="3221">
        <f t="shared" si="0"/>
        <v>100</v>
      </c>
      <c r="T11" s="3220" t="s">
        <v>3054</v>
      </c>
      <c r="U11" s="3221">
        <f t="shared" si="1"/>
        <v>100</v>
      </c>
      <c r="V11" s="3220" t="s">
        <v>3054</v>
      </c>
      <c r="W11" s="3221">
        <f t="shared" si="2"/>
        <v>100</v>
      </c>
      <c r="X11" s="3222"/>
      <c r="Y11" s="3926"/>
      <c r="Z11" s="3236" t="str">
        <f t="shared" si="7"/>
        <v>容积率</v>
      </c>
      <c r="AA11" s="3223">
        <f t="shared" si="3"/>
        <v>1</v>
      </c>
      <c r="AB11" s="3223">
        <f t="shared" si="4"/>
        <v>1</v>
      </c>
      <c r="AC11" s="3223">
        <f t="shared" si="5"/>
        <v>1</v>
      </c>
    </row>
    <row r="12" spans="1:29" s="3224" customFormat="1" ht="15.75" hidden="1" thickBot="1">
      <c r="A12" s="3251"/>
      <c r="B12" s="3252">
        <v>111</v>
      </c>
      <c r="C12" s="3253"/>
      <c r="D12" s="3254">
        <v>100</v>
      </c>
      <c r="E12" s="3255"/>
      <c r="F12" s="3239">
        <f>SUMIF(70:70,E12,71:71)-SUMIF(70:70,C12,71:71)+100</f>
        <v>100</v>
      </c>
      <c r="G12" s="3256"/>
      <c r="H12" s="3239">
        <f>SUMIF(70:70,G12,71:71)-SUMIF(70:70,C12,71:71)+100</f>
        <v>100</v>
      </c>
      <c r="I12" s="3255"/>
      <c r="J12" s="3239">
        <f>SUMIF(70:70,I12,71:71)-SUMIF(70:70,C12,71:71)+100</f>
        <v>100</v>
      </c>
      <c r="K12" s="3257"/>
      <c r="L12" s="3218"/>
      <c r="M12" s="3219"/>
      <c r="N12" s="3219"/>
      <c r="O12" s="3234"/>
      <c r="P12" s="3925"/>
      <c r="Q12" s="3235">
        <f t="shared" si="6"/>
        <v>111</v>
      </c>
      <c r="R12" s="3220" t="s">
        <v>3062</v>
      </c>
      <c r="S12" s="3221">
        <f t="shared" si="0"/>
        <v>100</v>
      </c>
      <c r="T12" s="3220" t="s">
        <v>3062</v>
      </c>
      <c r="U12" s="3221">
        <f t="shared" si="1"/>
        <v>100</v>
      </c>
      <c r="V12" s="3220" t="s">
        <v>3062</v>
      </c>
      <c r="W12" s="3221">
        <f t="shared" si="2"/>
        <v>100</v>
      </c>
      <c r="X12" s="3222"/>
      <c r="Y12" s="3926"/>
      <c r="Z12" s="3236">
        <f t="shared" si="7"/>
        <v>111</v>
      </c>
      <c r="AA12" s="3223">
        <f>D12/F12</f>
        <v>1</v>
      </c>
      <c r="AB12" s="3223">
        <f>D12/H12</f>
        <v>1</v>
      </c>
      <c r="AC12" s="3223">
        <f>D12/J12</f>
        <v>1</v>
      </c>
    </row>
    <row r="13" spans="1:29" ht="15.75" hidden="1" thickBot="1">
      <c r="A13" s="3251"/>
      <c r="B13" s="3252">
        <v>111</v>
      </c>
      <c r="C13" s="3255"/>
      <c r="D13" s="3258">
        <v>100</v>
      </c>
      <c r="E13" s="3255"/>
      <c r="F13" s="3239">
        <f>SUMIF(72:72,E13,73:73)-SUMIF(72:72,C13,73:73)+100</f>
        <v>100</v>
      </c>
      <c r="G13" s="3256"/>
      <c r="H13" s="3258">
        <f>SUMIF(72:72,G13,73:73)-SUMIF(72:72,C13,73:73)+100</f>
        <v>100</v>
      </c>
      <c r="I13" s="3255"/>
      <c r="J13" s="3258">
        <f>SUMIF(72:72,I13,73:73)-SUMIF(72:72,C13,73:73)+100</f>
        <v>100</v>
      </c>
      <c r="K13" s="3257"/>
      <c r="L13" s="3259"/>
      <c r="M13" s="3204"/>
      <c r="N13" s="3204"/>
      <c r="O13" s="3250"/>
      <c r="P13" s="3925"/>
      <c r="Q13" s="3235">
        <f t="shared" si="6"/>
        <v>111</v>
      </c>
      <c r="R13" s="3220" t="s">
        <v>3062</v>
      </c>
      <c r="S13" s="3221">
        <f t="shared" si="0"/>
        <v>100</v>
      </c>
      <c r="T13" s="3220" t="s">
        <v>3062</v>
      </c>
      <c r="U13" s="3221">
        <f t="shared" si="1"/>
        <v>100</v>
      </c>
      <c r="V13" s="3220" t="s">
        <v>3062</v>
      </c>
      <c r="W13" s="3221">
        <f t="shared" si="2"/>
        <v>100</v>
      </c>
      <c r="X13" s="3222"/>
      <c r="Y13" s="3926"/>
      <c r="Z13" s="3236">
        <f t="shared" si="7"/>
        <v>111</v>
      </c>
      <c r="AA13" s="3223">
        <f t="shared" si="3"/>
        <v>1</v>
      </c>
      <c r="AB13" s="3223">
        <f t="shared" si="4"/>
        <v>1</v>
      </c>
      <c r="AC13" s="3223">
        <f t="shared" si="5"/>
        <v>1</v>
      </c>
    </row>
    <row r="14" spans="1:29" ht="15.75" hidden="1" thickBot="1">
      <c r="A14" s="3260"/>
      <c r="B14" s="3261">
        <v>111</v>
      </c>
      <c r="C14" s="3262"/>
      <c r="D14" s="3263">
        <v>100</v>
      </c>
      <c r="E14" s="3262"/>
      <c r="F14" s="3263">
        <f>SUMIF(74:74,E14,75:75)-SUMIF(74:74,C14,75:75)+100</f>
        <v>100</v>
      </c>
      <c r="G14" s="3256"/>
      <c r="H14" s="3263">
        <f>SUMIF(74:74,G14,75:75)-SUMIF(74:74,C14,75:75)+100</f>
        <v>100</v>
      </c>
      <c r="I14" s="3255"/>
      <c r="J14" s="3263">
        <f>SUMIF(74:74,I14,75:75)-SUMIF(74:74,C14,75:75)+100</f>
        <v>100</v>
      </c>
      <c r="K14" s="3257"/>
      <c r="L14" s="3259"/>
      <c r="M14" s="3204"/>
      <c r="N14" s="3204"/>
      <c r="O14" s="3250"/>
      <c r="P14" s="3925"/>
      <c r="Q14" s="3235">
        <f t="shared" si="6"/>
        <v>111</v>
      </c>
      <c r="R14" s="3220" t="s">
        <v>3062</v>
      </c>
      <c r="S14" s="3221">
        <f t="shared" si="0"/>
        <v>100</v>
      </c>
      <c r="T14" s="3220" t="s">
        <v>3062</v>
      </c>
      <c r="U14" s="3221">
        <f t="shared" si="1"/>
        <v>100</v>
      </c>
      <c r="V14" s="3220" t="s">
        <v>3062</v>
      </c>
      <c r="W14" s="3221">
        <f t="shared" si="2"/>
        <v>100</v>
      </c>
      <c r="X14" s="3222"/>
      <c r="Y14" s="3926"/>
      <c r="Z14" s="3236">
        <f t="shared" si="7"/>
        <v>111</v>
      </c>
      <c r="AA14" s="3223">
        <f t="shared" si="3"/>
        <v>1</v>
      </c>
      <c r="AB14" s="3223">
        <f t="shared" si="4"/>
        <v>1</v>
      </c>
      <c r="AC14" s="3223">
        <f t="shared" si="5"/>
        <v>1</v>
      </c>
    </row>
    <row r="15" spans="1:29" ht="15">
      <c r="A15" s="3264" t="s">
        <v>3063</v>
      </c>
      <c r="B15" s="3265" t="s">
        <v>583</v>
      </c>
      <c r="C15" s="3266" t="str">
        <f>[4]估价对象房地状况!C4</f>
        <v>较好</v>
      </c>
      <c r="D15" s="3267">
        <v>100</v>
      </c>
      <c r="E15" s="3268"/>
      <c r="F15" s="3269">
        <f>SUMIF(76:76,E16,77:77)-SUMIF(76:76,C16,77:77)+100</f>
        <v>100</v>
      </c>
      <c r="G15" s="3270"/>
      <c r="H15" s="3267">
        <f>SUMIF(76:76,G16,77:77)-SUMIF(76:76,C16,77:77)+100</f>
        <v>100</v>
      </c>
      <c r="I15" s="3268"/>
      <c r="J15" s="3267">
        <f>SUMIF(76:76,I16,77:77)-SUMIF(76:76,C16,77:77)+100</f>
        <v>100</v>
      </c>
      <c r="K15" s="3271"/>
      <c r="L15" s="3259"/>
      <c r="M15" s="3204"/>
      <c r="N15" s="3204"/>
      <c r="O15" s="3250"/>
      <c r="P15" s="3927" t="s">
        <v>3064</v>
      </c>
      <c r="Q15" s="3272" t="str">
        <f t="shared" si="6"/>
        <v>商业繁华度</v>
      </c>
      <c r="R15" s="3273" t="s">
        <v>3054</v>
      </c>
      <c r="S15" s="3274">
        <f t="shared" si="0"/>
        <v>100</v>
      </c>
      <c r="T15" s="3273" t="s">
        <v>3054</v>
      </c>
      <c r="U15" s="3274">
        <f t="shared" si="1"/>
        <v>100</v>
      </c>
      <c r="V15" s="3273" t="s">
        <v>3054</v>
      </c>
      <c r="W15" s="3274">
        <f t="shared" si="2"/>
        <v>100</v>
      </c>
      <c r="X15" s="3205"/>
      <c r="Y15" s="3927" t="s">
        <v>3064</v>
      </c>
      <c r="Z15" s="3275" t="str">
        <f t="shared" si="7"/>
        <v>商业繁华度</v>
      </c>
      <c r="AA15" s="3276">
        <f t="shared" si="3"/>
        <v>1</v>
      </c>
      <c r="AB15" s="3276">
        <f t="shared" si="4"/>
        <v>1</v>
      </c>
      <c r="AC15" s="3276">
        <f t="shared" si="5"/>
        <v>1</v>
      </c>
    </row>
    <row r="16" spans="1:29" ht="15">
      <c r="A16" s="3277"/>
      <c r="B16" s="3278"/>
      <c r="C16" s="3279" t="s">
        <v>3065</v>
      </c>
      <c r="D16" s="3280"/>
      <c r="E16" s="3279" t="s">
        <v>3065</v>
      </c>
      <c r="F16" s="3281"/>
      <c r="G16" s="3279" t="s">
        <v>3065</v>
      </c>
      <c r="H16" s="3282"/>
      <c r="I16" s="3279" t="s">
        <v>3065</v>
      </c>
      <c r="J16" s="3280"/>
      <c r="K16" s="3283"/>
      <c r="L16" s="3259"/>
      <c r="M16" s="3204"/>
      <c r="N16" s="3204"/>
      <c r="O16" s="3250"/>
      <c r="P16" s="3928"/>
      <c r="Q16" s="3272"/>
      <c r="R16" s="3273"/>
      <c r="S16" s="3274"/>
      <c r="T16" s="3273"/>
      <c r="U16" s="3274"/>
      <c r="V16" s="3273"/>
      <c r="W16" s="3274"/>
      <c r="X16" s="3205"/>
      <c r="Y16" s="3928"/>
      <c r="Z16" s="3275"/>
      <c r="AA16" s="3276">
        <v>1</v>
      </c>
      <c r="AB16" s="3276">
        <v>1</v>
      </c>
      <c r="AC16" s="3276">
        <v>1</v>
      </c>
    </row>
    <row r="17" spans="1:29" ht="15">
      <c r="A17" s="3277"/>
      <c r="B17" s="3284" t="s">
        <v>295</v>
      </c>
      <c r="C17" s="3285" t="str">
        <f>[4]估价对象房地状况!C6</f>
        <v>好</v>
      </c>
      <c r="D17" s="3282">
        <v>100</v>
      </c>
      <c r="E17" s="3286"/>
      <c r="F17" s="3287">
        <f>SUMIF(78:78,E18,79:79)-SUMIF(78:78,C18,79:79)+100</f>
        <v>99</v>
      </c>
      <c r="G17" s="3288"/>
      <c r="H17" s="3289">
        <f>SUMIF(78:78,G18,79:79)-SUMIF(78:78,C18,79:79)+100</f>
        <v>99</v>
      </c>
      <c r="I17" s="3286"/>
      <c r="J17" s="3289">
        <f>SUMIF(78:78,I18,79:79)-SUMIF(78:78,C18,79:79)+100</f>
        <v>99</v>
      </c>
      <c r="K17" s="3271">
        <v>1</v>
      </c>
      <c r="L17" s="3259"/>
      <c r="M17" s="3204"/>
      <c r="N17" s="3204"/>
      <c r="O17" s="3250"/>
      <c r="P17" s="3928"/>
      <c r="Q17" s="3272" t="str">
        <f>B17</f>
        <v>交通便捷度</v>
      </c>
      <c r="R17" s="3273" t="s">
        <v>3054</v>
      </c>
      <c r="S17" s="3274">
        <f>F17</f>
        <v>99</v>
      </c>
      <c r="T17" s="3273" t="s">
        <v>3054</v>
      </c>
      <c r="U17" s="3274">
        <f>H17</f>
        <v>99</v>
      </c>
      <c r="V17" s="3273" t="s">
        <v>3054</v>
      </c>
      <c r="W17" s="3274">
        <f>J17</f>
        <v>99</v>
      </c>
      <c r="X17" s="3205"/>
      <c r="Y17" s="3928"/>
      <c r="Z17" s="3275" t="str">
        <f>Q17</f>
        <v>交通便捷度</v>
      </c>
      <c r="AA17" s="3276">
        <f t="shared" si="3"/>
        <v>1.0101010101010102</v>
      </c>
      <c r="AB17" s="3276">
        <f t="shared" si="4"/>
        <v>1.0101010101010102</v>
      </c>
      <c r="AC17" s="3276">
        <f t="shared" si="5"/>
        <v>1.0101010101010102</v>
      </c>
    </row>
    <row r="18" spans="1:29" ht="15">
      <c r="A18" s="3277"/>
      <c r="B18" s="3290"/>
      <c r="C18" s="3291" t="s">
        <v>3066</v>
      </c>
      <c r="D18" s="3282"/>
      <c r="E18" s="3292" t="s">
        <v>3065</v>
      </c>
      <c r="F18" s="3287"/>
      <c r="G18" s="3293" t="s">
        <v>3065</v>
      </c>
      <c r="H18" s="3280"/>
      <c r="I18" s="3292" t="s">
        <v>3065</v>
      </c>
      <c r="J18" s="3280"/>
      <c r="K18" s="3283"/>
      <c r="L18" s="3259"/>
      <c r="M18" s="3204"/>
      <c r="N18" s="3204"/>
      <c r="O18" s="3250"/>
      <c r="P18" s="3928"/>
      <c r="Q18" s="3272"/>
      <c r="R18" s="3273"/>
      <c r="S18" s="3274"/>
      <c r="T18" s="3273"/>
      <c r="U18" s="3274"/>
      <c r="V18" s="3273"/>
      <c r="W18" s="3274"/>
      <c r="X18" s="3205"/>
      <c r="Y18" s="3928"/>
      <c r="Z18" s="3275"/>
      <c r="AA18" s="3276">
        <v>1</v>
      </c>
      <c r="AB18" s="3276">
        <v>1</v>
      </c>
      <c r="AC18" s="3276">
        <v>1</v>
      </c>
    </row>
    <row r="19" spans="1:29" ht="15">
      <c r="A19" s="3277"/>
      <c r="B19" s="3294" t="s">
        <v>3067</v>
      </c>
      <c r="C19" s="3285" t="str">
        <f>[4]估价对象房地状况!C7</f>
        <v>较好</v>
      </c>
      <c r="D19" s="3289">
        <v>100</v>
      </c>
      <c r="E19" s="3295"/>
      <c r="F19" s="3296">
        <f>SUMIF(80:80,E20,81:81)-SUMIF(80:80,C20,81:81)+100</f>
        <v>100</v>
      </c>
      <c r="G19" s="3297"/>
      <c r="H19" s="3282">
        <f>SUMIF(80:80,G20,81:81)-SUMIF(80:80,C20,81:81)+100</f>
        <v>100</v>
      </c>
      <c r="I19" s="3295"/>
      <c r="J19" s="3282">
        <f>SUMIF(80:80,I20,81:81)-SUMIF(80:80,C20,81:81)+100</f>
        <v>100</v>
      </c>
      <c r="K19" s="3271"/>
      <c r="L19" s="3259"/>
      <c r="M19" s="3204"/>
      <c r="N19" s="3204"/>
      <c r="O19" s="3250"/>
      <c r="P19" s="3928"/>
      <c r="Q19" s="3272" t="str">
        <f>B19</f>
        <v>公共配套设施</v>
      </c>
      <c r="R19" s="3273" t="s">
        <v>3054</v>
      </c>
      <c r="S19" s="3274">
        <f>F19</f>
        <v>100</v>
      </c>
      <c r="T19" s="3273" t="s">
        <v>3054</v>
      </c>
      <c r="U19" s="3274">
        <f>H19</f>
        <v>100</v>
      </c>
      <c r="V19" s="3273" t="s">
        <v>3054</v>
      </c>
      <c r="W19" s="3274">
        <f>J19</f>
        <v>100</v>
      </c>
      <c r="X19" s="3205"/>
      <c r="Y19" s="3928"/>
      <c r="Z19" s="3275" t="str">
        <f>Q19</f>
        <v>公共配套设施</v>
      </c>
      <c r="AA19" s="3276">
        <f t="shared" si="3"/>
        <v>1</v>
      </c>
      <c r="AB19" s="3276">
        <f t="shared" si="4"/>
        <v>1</v>
      </c>
      <c r="AC19" s="3276">
        <f t="shared" si="5"/>
        <v>1</v>
      </c>
    </row>
    <row r="20" spans="1:29" ht="15">
      <c r="A20" s="3277"/>
      <c r="B20" s="3290"/>
      <c r="C20" s="3279" t="s">
        <v>3065</v>
      </c>
      <c r="D20" s="3280"/>
      <c r="E20" s="3298" t="s">
        <v>3065</v>
      </c>
      <c r="F20" s="3281"/>
      <c r="G20" s="3299" t="s">
        <v>3065</v>
      </c>
      <c r="H20" s="3280"/>
      <c r="I20" s="3298" t="s">
        <v>3065</v>
      </c>
      <c r="J20" s="3280"/>
      <c r="K20" s="3283"/>
      <c r="L20" s="3259"/>
      <c r="M20" s="3204"/>
      <c r="N20" s="3204"/>
      <c r="O20" s="3250"/>
      <c r="P20" s="3928"/>
      <c r="Q20" s="3272"/>
      <c r="R20" s="3273"/>
      <c r="S20" s="3274"/>
      <c r="T20" s="3273"/>
      <c r="U20" s="3274"/>
      <c r="V20" s="3273"/>
      <c r="W20" s="3274"/>
      <c r="X20" s="3205"/>
      <c r="Y20" s="3928"/>
      <c r="Z20" s="3275"/>
      <c r="AA20" s="3276">
        <v>1</v>
      </c>
      <c r="AB20" s="3276">
        <v>1</v>
      </c>
      <c r="AC20" s="3276">
        <v>1</v>
      </c>
    </row>
    <row r="21" spans="1:29" ht="15" hidden="1">
      <c r="A21" s="3277"/>
      <c r="B21" s="3300" t="s">
        <v>3068</v>
      </c>
      <c r="C21" s="3285" t="str">
        <f>[4]估价对象房地状况!C8</f>
        <v>七通</v>
      </c>
      <c r="D21" s="3289">
        <v>100</v>
      </c>
      <c r="E21" s="3297"/>
      <c r="F21" s="3296">
        <f>SUMIF(82:82,E22,83:83)-SUMIF(82:82,C22,83:83)+100</f>
        <v>100</v>
      </c>
      <c r="G21" s="3297"/>
      <c r="H21" s="3289">
        <f>SUMIF(82:82,G22,83:83)-SUMIF(82:82,C22,83:83)+100</f>
        <v>100</v>
      </c>
      <c r="I21" s="3295"/>
      <c r="J21" s="3289">
        <f>SUMIF(82:82,I22,83:83)-SUMIF(82:82,C22,83:83)+100</f>
        <v>100</v>
      </c>
      <c r="K21" s="3271"/>
      <c r="L21" s="3259"/>
      <c r="M21" s="3204"/>
      <c r="N21" s="3204"/>
      <c r="O21" s="3250"/>
      <c r="P21" s="3928"/>
      <c r="Q21" s="3272" t="str">
        <f>B21</f>
        <v>基础设施水平</v>
      </c>
      <c r="R21" s="3273" t="s">
        <v>3054</v>
      </c>
      <c r="S21" s="3274">
        <f>F21</f>
        <v>100</v>
      </c>
      <c r="T21" s="3273" t="s">
        <v>3054</v>
      </c>
      <c r="U21" s="3274">
        <f>H21</f>
        <v>100</v>
      </c>
      <c r="V21" s="3273" t="s">
        <v>3054</v>
      </c>
      <c r="W21" s="3274">
        <f>J21</f>
        <v>100</v>
      </c>
      <c r="X21" s="3205"/>
      <c r="Y21" s="3928"/>
      <c r="Z21" s="3275" t="str">
        <f>Q21</f>
        <v>基础设施水平</v>
      </c>
      <c r="AA21" s="3276">
        <f>D21/F21</f>
        <v>1</v>
      </c>
      <c r="AB21" s="3276">
        <f>D21/H21</f>
        <v>1</v>
      </c>
      <c r="AC21" s="3276">
        <f>D21/J21</f>
        <v>1</v>
      </c>
    </row>
    <row r="22" spans="1:29" ht="15" hidden="1">
      <c r="A22" s="3277"/>
      <c r="B22" s="3301"/>
      <c r="C22" s="3291" t="s">
        <v>3069</v>
      </c>
      <c r="D22" s="3280"/>
      <c r="E22" s="3279" t="s">
        <v>3069</v>
      </c>
      <c r="F22" s="3281"/>
      <c r="G22" s="3279" t="s">
        <v>3069</v>
      </c>
      <c r="H22" s="3280"/>
      <c r="I22" s="3279" t="s">
        <v>3069</v>
      </c>
      <c r="J22" s="3280"/>
      <c r="K22" s="3302"/>
      <c r="L22" s="3259"/>
      <c r="M22" s="3204"/>
      <c r="N22" s="3204"/>
      <c r="O22" s="3250"/>
      <c r="P22" s="3928"/>
      <c r="Q22" s="3272"/>
      <c r="R22" s="3273"/>
      <c r="S22" s="3274"/>
      <c r="T22" s="3273"/>
      <c r="U22" s="3274"/>
      <c r="V22" s="3273"/>
      <c r="W22" s="3274"/>
      <c r="X22" s="3205"/>
      <c r="Y22" s="3928"/>
      <c r="Z22" s="3275"/>
      <c r="AA22" s="3276">
        <v>1</v>
      </c>
      <c r="AB22" s="3276">
        <v>1</v>
      </c>
      <c r="AC22" s="3276">
        <v>1</v>
      </c>
    </row>
    <row r="23" spans="1:29" ht="15">
      <c r="A23" s="3277"/>
      <c r="B23" s="3284" t="s">
        <v>296</v>
      </c>
      <c r="C23" s="3303" t="str">
        <f>[4]估价对象房地状况!C9</f>
        <v>较好</v>
      </c>
      <c r="D23" s="3282">
        <v>100</v>
      </c>
      <c r="E23" s="3286"/>
      <c r="F23" s="3287">
        <f>SUMIF(84:84,E24,85:85)-SUMIF(84:84,C24,85:85)+100</f>
        <v>100</v>
      </c>
      <c r="G23" s="3288"/>
      <c r="H23" s="3282">
        <f>SUMIF(84:84,G24,85:85)-SUMIF(84:84,C24,85:85)+100</f>
        <v>100</v>
      </c>
      <c r="I23" s="3286"/>
      <c r="J23" s="3282">
        <f>SUMIF(84:84,I24,85:85)-SUMIF(84:84,C24,85:85)+100</f>
        <v>100</v>
      </c>
      <c r="K23" s="3271"/>
      <c r="L23" s="3259"/>
      <c r="M23" s="3204"/>
      <c r="N23" s="3204"/>
      <c r="O23" s="3250"/>
      <c r="P23" s="3928"/>
      <c r="Q23" s="3272" t="str">
        <f>B23</f>
        <v>自然及人文环境</v>
      </c>
      <c r="R23" s="3273" t="s">
        <v>3054</v>
      </c>
      <c r="S23" s="3274">
        <f>F23</f>
        <v>100</v>
      </c>
      <c r="T23" s="3273" t="s">
        <v>3054</v>
      </c>
      <c r="U23" s="3274">
        <f>H23</f>
        <v>100</v>
      </c>
      <c r="V23" s="3273" t="s">
        <v>3054</v>
      </c>
      <c r="W23" s="3274">
        <f>J23</f>
        <v>100</v>
      </c>
      <c r="X23" s="3205"/>
      <c r="Y23" s="3928"/>
      <c r="Z23" s="3275" t="str">
        <f>Q23</f>
        <v>自然及人文环境</v>
      </c>
      <c r="AA23" s="3276">
        <f t="shared" si="3"/>
        <v>1</v>
      </c>
      <c r="AB23" s="3276">
        <f t="shared" si="4"/>
        <v>1</v>
      </c>
      <c r="AC23" s="3276">
        <f t="shared" si="5"/>
        <v>1</v>
      </c>
    </row>
    <row r="24" spans="1:29" ht="15">
      <c r="A24" s="3277"/>
      <c r="B24" s="3290"/>
      <c r="C24" s="3279" t="s">
        <v>3065</v>
      </c>
      <c r="D24" s="3280"/>
      <c r="E24" s="3298" t="s">
        <v>3065</v>
      </c>
      <c r="F24" s="3281"/>
      <c r="G24" s="3299" t="s">
        <v>3065</v>
      </c>
      <c r="H24" s="3280"/>
      <c r="I24" s="3298" t="s">
        <v>3065</v>
      </c>
      <c r="J24" s="3280"/>
      <c r="K24" s="3283"/>
      <c r="L24" s="3259"/>
      <c r="M24" s="3204"/>
      <c r="N24" s="3204"/>
      <c r="O24" s="3250"/>
      <c r="P24" s="3928"/>
      <c r="Q24" s="3272"/>
      <c r="R24" s="3273"/>
      <c r="S24" s="3274"/>
      <c r="T24" s="3273"/>
      <c r="U24" s="3274"/>
      <c r="V24" s="3273"/>
      <c r="W24" s="3274"/>
      <c r="X24" s="3205"/>
      <c r="Y24" s="3928"/>
      <c r="Z24" s="3275"/>
      <c r="AA24" s="3276">
        <v>1</v>
      </c>
      <c r="AB24" s="3276">
        <v>1</v>
      </c>
      <c r="AC24" s="3276">
        <v>1</v>
      </c>
    </row>
    <row r="25" spans="1:29" ht="15">
      <c r="A25" s="3277"/>
      <c r="B25" s="3304" t="s">
        <v>3070</v>
      </c>
      <c r="C25" s="3305" t="s">
        <v>3071</v>
      </c>
      <c r="D25" s="3258">
        <v>100</v>
      </c>
      <c r="E25" s="3305" t="s">
        <v>3071</v>
      </c>
      <c r="F25" s="3306">
        <f>SUMIF(86:86,E25,87:87)-SUMIF(86:86,C25,87:87)+100</f>
        <v>100</v>
      </c>
      <c r="G25" s="3305" t="s">
        <v>3071</v>
      </c>
      <c r="H25" s="3258">
        <f>SUMIF(86:86,G25,87:87)-SUMIF(86:86,C25,87:87)+100</f>
        <v>100</v>
      </c>
      <c r="I25" s="3305" t="s">
        <v>3071</v>
      </c>
      <c r="J25" s="3258">
        <f>SUMIF(86:86,I25,87:87)-SUMIF(86:86,C25,87:87)+100</f>
        <v>100</v>
      </c>
      <c r="K25" s="3241"/>
      <c r="L25" s="3259"/>
      <c r="M25" s="3204"/>
      <c r="N25" s="3204"/>
      <c r="O25" s="3250"/>
      <c r="P25" s="3928"/>
      <c r="Q25" s="3272" t="str">
        <f t="shared" ref="Q25:Q46" si="8">B25</f>
        <v>临街状况</v>
      </c>
      <c r="R25" s="3273" t="s">
        <v>3054</v>
      </c>
      <c r="S25" s="3274">
        <f>F25</f>
        <v>100</v>
      </c>
      <c r="T25" s="3273" t="s">
        <v>3054</v>
      </c>
      <c r="U25" s="3274">
        <f>H25</f>
        <v>100</v>
      </c>
      <c r="V25" s="3273" t="s">
        <v>3054</v>
      </c>
      <c r="W25" s="3274">
        <f>J25</f>
        <v>100</v>
      </c>
      <c r="X25" s="3205"/>
      <c r="Y25" s="3928"/>
      <c r="Z25" s="3275" t="str">
        <f>Q25</f>
        <v>临街状况</v>
      </c>
      <c r="AA25" s="3276">
        <f t="shared" si="3"/>
        <v>1</v>
      </c>
      <c r="AB25" s="3276">
        <f t="shared" si="4"/>
        <v>1</v>
      </c>
      <c r="AC25" s="3276">
        <f t="shared" si="5"/>
        <v>1</v>
      </c>
    </row>
    <row r="26" spans="1:29" ht="15" hidden="1">
      <c r="A26" s="3277"/>
      <c r="B26" s="3307" t="s">
        <v>3072</v>
      </c>
      <c r="C26" s="3255"/>
      <c r="D26" s="3258">
        <v>100</v>
      </c>
      <c r="E26" s="3255"/>
      <c r="F26" s="3306">
        <f>SUMIF(88:88,E26,89:89)-SUMIF(88:88,C26,89:89)+100</f>
        <v>100</v>
      </c>
      <c r="G26" s="3255"/>
      <c r="H26" s="3258">
        <f>SUMIF(88:88,G26,89:89)-SUMIF(88:88,C26,89:89)+100</f>
        <v>100</v>
      </c>
      <c r="I26" s="3255"/>
      <c r="J26" s="3258">
        <f>SUMIF(88:88,I26,89:89)-SUMIF(88:88,C26,89:89)+100</f>
        <v>100</v>
      </c>
      <c r="K26" s="3257"/>
      <c r="L26" s="3259"/>
      <c r="M26" s="3204"/>
      <c r="N26" s="3204"/>
      <c r="O26" s="3250"/>
      <c r="P26" s="3928"/>
      <c r="Q26" s="3272" t="str">
        <f t="shared" si="8"/>
        <v>平面位置/可视性</v>
      </c>
      <c r="R26" s="3273" t="s">
        <v>3054</v>
      </c>
      <c r="S26" s="3274">
        <f>F26</f>
        <v>100</v>
      </c>
      <c r="T26" s="3273" t="s">
        <v>3054</v>
      </c>
      <c r="U26" s="3274">
        <f>H26</f>
        <v>100</v>
      </c>
      <c r="V26" s="3273" t="s">
        <v>3054</v>
      </c>
      <c r="W26" s="3274">
        <f>J26</f>
        <v>100</v>
      </c>
      <c r="X26" s="3205"/>
      <c r="Y26" s="3928"/>
      <c r="Z26" s="3275" t="str">
        <f>Q26</f>
        <v>平面位置/可视性</v>
      </c>
      <c r="AA26" s="3276">
        <f t="shared" si="3"/>
        <v>1</v>
      </c>
      <c r="AB26" s="3276">
        <f t="shared" si="4"/>
        <v>1</v>
      </c>
      <c r="AC26" s="3276">
        <f t="shared" si="5"/>
        <v>1</v>
      </c>
    </row>
    <row r="27" spans="1:29" s="3224" customFormat="1" ht="15.75" thickBot="1">
      <c r="A27" s="3308"/>
      <c r="B27" s="3284" t="s">
        <v>3073</v>
      </c>
      <c r="C27" s="3309" t="s">
        <v>3074</v>
      </c>
      <c r="D27" s="3310">
        <v>100</v>
      </c>
      <c r="E27" s="3309" t="s">
        <v>3074</v>
      </c>
      <c r="F27" s="3311">
        <f>SUMIF(90:90,E27,91:91)-SUMIF(90:90,C27,91:91)+100</f>
        <v>100</v>
      </c>
      <c r="G27" s="3309" t="s">
        <v>3074</v>
      </c>
      <c r="H27" s="3310">
        <f>SUMIF(90:90,G27,91:91)-SUMIF(90:90,C27,91:91)+100</f>
        <v>100</v>
      </c>
      <c r="I27" s="3309" t="s">
        <v>3074</v>
      </c>
      <c r="J27" s="3310">
        <f>SUMIF(90:90,I27,91:91)-SUMIF(90:90,C27,91:91)+100</f>
        <v>100</v>
      </c>
      <c r="K27" s="3241"/>
      <c r="L27" s="3218"/>
      <c r="M27" s="3219"/>
      <c r="N27" s="3219"/>
      <c r="O27" s="3234"/>
      <c r="P27" s="3928"/>
      <c r="Q27" s="3235" t="str">
        <f t="shared" si="8"/>
        <v>人流量</v>
      </c>
      <c r="R27" s="3220" t="s">
        <v>3062</v>
      </c>
      <c r="S27" s="3221">
        <f>F27</f>
        <v>100</v>
      </c>
      <c r="T27" s="3220" t="s">
        <v>3054</v>
      </c>
      <c r="U27" s="3221">
        <f>H27</f>
        <v>100</v>
      </c>
      <c r="V27" s="3220" t="s">
        <v>3054</v>
      </c>
      <c r="W27" s="3221">
        <f>J27</f>
        <v>100</v>
      </c>
      <c r="X27" s="3222"/>
      <c r="Y27" s="3928"/>
      <c r="Z27" s="3236" t="str">
        <f>Q27</f>
        <v>人流量</v>
      </c>
      <c r="AA27" s="3276">
        <f>D27/F27</f>
        <v>1</v>
      </c>
      <c r="AB27" s="3276">
        <f>D27/H27</f>
        <v>1</v>
      </c>
      <c r="AC27" s="3276">
        <f>D27/J27</f>
        <v>1</v>
      </c>
    </row>
    <row r="28" spans="1:29" ht="15.75" hidden="1" thickBot="1">
      <c r="A28" s="3277"/>
      <c r="B28" s="3304" t="s">
        <v>3075</v>
      </c>
      <c r="C28" s="3305"/>
      <c r="D28" s="3258">
        <v>100</v>
      </c>
      <c r="E28" s="3305"/>
      <c r="F28" s="3306">
        <f>SUMIF(92:92,E28,93:93)-SUMIF(92:92,C28,93:93)+100</f>
        <v>100</v>
      </c>
      <c r="G28" s="3305"/>
      <c r="H28" s="3258">
        <f>SUMIF(92:92,G28,93:93)-SUMIF(92:92,C28,93:93)+100</f>
        <v>100</v>
      </c>
      <c r="I28" s="3305"/>
      <c r="J28" s="3258">
        <f>SUMIF(92:92,I28,93:93)-SUMIF(92:92,C28,93:93)+100</f>
        <v>100</v>
      </c>
      <c r="K28" s="3257"/>
      <c r="L28" s="3259"/>
      <c r="M28" s="3204"/>
      <c r="N28" s="3204"/>
      <c r="O28" s="3250"/>
      <c r="P28" s="3928"/>
      <c r="Q28" s="3272" t="str">
        <f t="shared" si="8"/>
        <v>楼层</v>
      </c>
      <c r="R28" s="3273" t="s">
        <v>3054</v>
      </c>
      <c r="S28" s="3274">
        <f t="shared" ref="S28:S46" si="9">F28</f>
        <v>100</v>
      </c>
      <c r="T28" s="3273" t="s">
        <v>3054</v>
      </c>
      <c r="U28" s="3274">
        <f t="shared" ref="U28:U46" si="10">H28</f>
        <v>100</v>
      </c>
      <c r="V28" s="3273" t="s">
        <v>3054</v>
      </c>
      <c r="W28" s="3274">
        <f t="shared" ref="W28:W46" si="11">J28</f>
        <v>100</v>
      </c>
      <c r="X28" s="3205"/>
      <c r="Y28" s="3928"/>
      <c r="Z28" s="3275" t="str">
        <f t="shared" ref="Z28:Z46" si="12">Q28</f>
        <v>楼层</v>
      </c>
      <c r="AA28" s="3276">
        <f t="shared" si="3"/>
        <v>1</v>
      </c>
      <c r="AB28" s="3276">
        <f t="shared" si="4"/>
        <v>1</v>
      </c>
      <c r="AC28" s="3276">
        <f t="shared" si="5"/>
        <v>1</v>
      </c>
    </row>
    <row r="29" spans="1:29" ht="15.75" hidden="1" thickBot="1">
      <c r="A29" s="3277"/>
      <c r="B29" s="3307">
        <v>111</v>
      </c>
      <c r="C29" s="3255"/>
      <c r="D29" s="3258">
        <v>100</v>
      </c>
      <c r="E29" s="3255"/>
      <c r="F29" s="3306">
        <f>SUMIF(94:94,E29,95:95)-SUMIF(94:94,C29,95:95)+100</f>
        <v>100</v>
      </c>
      <c r="G29" s="3255"/>
      <c r="H29" s="3258">
        <f>SUMIF(94:94,G29,95:95)-SUMIF(94:94,C29,95:95)+100</f>
        <v>100</v>
      </c>
      <c r="I29" s="3255"/>
      <c r="J29" s="3258">
        <f>SUMIF(94:94,I29,95:95)-SUMIF(94:94,C29,95:95)+100</f>
        <v>100</v>
      </c>
      <c r="K29" s="3257"/>
      <c r="L29" s="3259"/>
      <c r="M29" s="3204"/>
      <c r="N29" s="3204"/>
      <c r="O29" s="3250"/>
      <c r="P29" s="3928"/>
      <c r="Q29" s="3272">
        <f t="shared" si="8"/>
        <v>111</v>
      </c>
      <c r="R29" s="3273" t="s">
        <v>3062</v>
      </c>
      <c r="S29" s="3274">
        <f t="shared" si="9"/>
        <v>100</v>
      </c>
      <c r="T29" s="3273" t="s">
        <v>3062</v>
      </c>
      <c r="U29" s="3274">
        <f t="shared" si="10"/>
        <v>100</v>
      </c>
      <c r="V29" s="3273" t="s">
        <v>3062</v>
      </c>
      <c r="W29" s="3274">
        <f t="shared" si="11"/>
        <v>100</v>
      </c>
      <c r="X29" s="3205"/>
      <c r="Y29" s="3928"/>
      <c r="Z29" s="3275">
        <f t="shared" si="12"/>
        <v>111</v>
      </c>
      <c r="AA29" s="3276">
        <f t="shared" si="3"/>
        <v>1</v>
      </c>
      <c r="AB29" s="3276">
        <f t="shared" si="4"/>
        <v>1</v>
      </c>
      <c r="AC29" s="3276">
        <f t="shared" si="5"/>
        <v>1</v>
      </c>
    </row>
    <row r="30" spans="1:29" ht="15.75" hidden="1" thickBot="1">
      <c r="A30" s="3277"/>
      <c r="B30" s="3307">
        <v>111</v>
      </c>
      <c r="C30" s="3255"/>
      <c r="D30" s="3258">
        <v>100</v>
      </c>
      <c r="E30" s="3255"/>
      <c r="F30" s="3306">
        <f>SUMIF(96:96,E30,97:97)-SUMIF(96:96,C30,97:97)+100</f>
        <v>100</v>
      </c>
      <c r="G30" s="3255"/>
      <c r="H30" s="3258">
        <f>SUMIF(96:96,G30,97:97)-SUMIF(96:96,C30,97:97)+100</f>
        <v>100</v>
      </c>
      <c r="I30" s="3255"/>
      <c r="J30" s="3258">
        <f>SUMIF(96:96,I30,97:97)-SUMIF(96:96,C30,97:97)+100</f>
        <v>100</v>
      </c>
      <c r="K30" s="3257"/>
      <c r="L30" s="3259"/>
      <c r="M30" s="3204"/>
      <c r="N30" s="3204"/>
      <c r="O30" s="3250"/>
      <c r="P30" s="3928"/>
      <c r="Q30" s="3272">
        <f t="shared" si="8"/>
        <v>111</v>
      </c>
      <c r="R30" s="3273" t="s">
        <v>3062</v>
      </c>
      <c r="S30" s="3274">
        <f t="shared" si="9"/>
        <v>100</v>
      </c>
      <c r="T30" s="3273" t="s">
        <v>3062</v>
      </c>
      <c r="U30" s="3274">
        <f t="shared" si="10"/>
        <v>100</v>
      </c>
      <c r="V30" s="3273" t="s">
        <v>3062</v>
      </c>
      <c r="W30" s="3274">
        <f t="shared" si="11"/>
        <v>100</v>
      </c>
      <c r="X30" s="3205"/>
      <c r="Y30" s="3928"/>
      <c r="Z30" s="3275">
        <f t="shared" si="12"/>
        <v>111</v>
      </c>
      <c r="AA30" s="3276">
        <f t="shared" si="3"/>
        <v>1</v>
      </c>
      <c r="AB30" s="3276">
        <f t="shared" si="4"/>
        <v>1</v>
      </c>
      <c r="AC30" s="3276">
        <f t="shared" si="5"/>
        <v>1</v>
      </c>
    </row>
    <row r="31" spans="1:29" ht="15.75" hidden="1" thickBot="1">
      <c r="A31" s="3312"/>
      <c r="B31" s="3307">
        <v>111</v>
      </c>
      <c r="C31" s="3262"/>
      <c r="D31" s="3263">
        <v>100</v>
      </c>
      <c r="E31" s="3255"/>
      <c r="F31" s="3313">
        <f>SUMIF(98:98,E31,99:99)-SUMIF(98:98,C31,99:99)+100</f>
        <v>100</v>
      </c>
      <c r="G31" s="3255"/>
      <c r="H31" s="3263">
        <f>SUMIF(98:98,G31,99:99)-SUMIF(98:98,C31,99:99)+100</f>
        <v>100</v>
      </c>
      <c r="I31" s="3255"/>
      <c r="J31" s="3263">
        <f>SUMIF(98:98,I31,99:99)-SUMIF(98:98,C31,99:99)+100</f>
        <v>100</v>
      </c>
      <c r="K31" s="3257"/>
      <c r="L31" s="3259"/>
      <c r="M31" s="3204"/>
      <c r="N31" s="3204"/>
      <c r="O31" s="3250"/>
      <c r="P31" s="3928"/>
      <c r="Q31" s="3272">
        <f t="shared" si="8"/>
        <v>111</v>
      </c>
      <c r="R31" s="3273" t="s">
        <v>3062</v>
      </c>
      <c r="S31" s="3274">
        <f t="shared" si="9"/>
        <v>100</v>
      </c>
      <c r="T31" s="3273" t="s">
        <v>3062</v>
      </c>
      <c r="U31" s="3274">
        <f t="shared" si="10"/>
        <v>100</v>
      </c>
      <c r="V31" s="3273" t="s">
        <v>3062</v>
      </c>
      <c r="W31" s="3274">
        <f t="shared" si="11"/>
        <v>100</v>
      </c>
      <c r="X31" s="3205"/>
      <c r="Y31" s="3928"/>
      <c r="Z31" s="3275">
        <f t="shared" si="12"/>
        <v>111</v>
      </c>
      <c r="AA31" s="3276">
        <f t="shared" si="3"/>
        <v>1</v>
      </c>
      <c r="AB31" s="3276">
        <f t="shared" si="4"/>
        <v>1</v>
      </c>
      <c r="AC31" s="3276">
        <f t="shared" si="5"/>
        <v>1</v>
      </c>
    </row>
    <row r="32" spans="1:29" ht="15">
      <c r="A32" s="3314" t="s">
        <v>3076</v>
      </c>
      <c r="B32" s="3315" t="s">
        <v>761</v>
      </c>
      <c r="C32" s="3316" t="s">
        <v>3077</v>
      </c>
      <c r="D32" s="3317">
        <v>100</v>
      </c>
      <c r="E32" s="3316" t="s">
        <v>3077</v>
      </c>
      <c r="F32" s="3306">
        <f>SUMIF(100:100,E32,101:101)-SUMIF(100:100,C32,101:101)+100</f>
        <v>100</v>
      </c>
      <c r="G32" s="3316" t="s">
        <v>3077</v>
      </c>
      <c r="H32" s="3258">
        <f>SUMIF(100:100,G32,101:101)-SUMIF(100:100,C32,101:101)+100</f>
        <v>100</v>
      </c>
      <c r="I32" s="3316" t="s">
        <v>3077</v>
      </c>
      <c r="J32" s="3317">
        <f>SUMIF(100:100,I32,101:101)-SUMIF(100:100,C32,101:101)+100</f>
        <v>100</v>
      </c>
      <c r="K32" s="3241"/>
      <c r="L32" s="3259"/>
      <c r="M32" s="3204"/>
      <c r="N32" s="3204"/>
      <c r="O32" s="3250"/>
      <c r="P32" s="3929" t="s">
        <v>549</v>
      </c>
      <c r="Q32" s="3272" t="str">
        <f t="shared" si="8"/>
        <v>商业类型</v>
      </c>
      <c r="R32" s="3273" t="s">
        <v>3054</v>
      </c>
      <c r="S32" s="3274">
        <f t="shared" si="9"/>
        <v>100</v>
      </c>
      <c r="T32" s="3273" t="s">
        <v>3054</v>
      </c>
      <c r="U32" s="3274">
        <f t="shared" si="10"/>
        <v>100</v>
      </c>
      <c r="V32" s="3273" t="s">
        <v>3054</v>
      </c>
      <c r="W32" s="3274">
        <f t="shared" si="11"/>
        <v>100</v>
      </c>
      <c r="X32" s="3205"/>
      <c r="Y32" s="3930" t="s">
        <v>3078</v>
      </c>
      <c r="Z32" s="3275" t="str">
        <f t="shared" si="12"/>
        <v>商业类型</v>
      </c>
      <c r="AA32" s="3276">
        <f t="shared" si="3"/>
        <v>1</v>
      </c>
      <c r="AB32" s="3276">
        <f t="shared" si="4"/>
        <v>1</v>
      </c>
      <c r="AC32" s="3276">
        <f t="shared" si="5"/>
        <v>1</v>
      </c>
    </row>
    <row r="33" spans="1:29" s="3328" customFormat="1" ht="15" hidden="1">
      <c r="A33" s="3318"/>
      <c r="B33" s="3304" t="s">
        <v>725</v>
      </c>
      <c r="C33" s="3319">
        <v>100</v>
      </c>
      <c r="D33" s="3239">
        <v>100</v>
      </c>
      <c r="E33" s="3248">
        <v>100</v>
      </c>
      <c r="F33" s="3320">
        <f>LOOKUP(E33,103:103,104:104)-LOOKUP(C33,103:103,104:104)+100</f>
        <v>100</v>
      </c>
      <c r="G33" s="3247">
        <v>100</v>
      </c>
      <c r="H33" s="3239">
        <f>LOOKUP(G33,103:103,104:104)-LOOKUP(C33,103:103,104:104)+100</f>
        <v>100</v>
      </c>
      <c r="I33" s="3247">
        <v>100</v>
      </c>
      <c r="J33" s="3239">
        <f>LOOKUP(I33,103:103,104:104)-LOOKUP(C33,103:103,104:104)+100</f>
        <v>100</v>
      </c>
      <c r="K33" s="3257"/>
      <c r="L33" s="3249"/>
      <c r="M33" s="3321"/>
      <c r="N33" s="3321"/>
      <c r="O33" s="3322"/>
      <c r="P33" s="3930"/>
      <c r="Q33" s="3323" t="str">
        <f t="shared" si="8"/>
        <v>项目建筑规模</v>
      </c>
      <c r="R33" s="3324" t="s">
        <v>3054</v>
      </c>
      <c r="S33" s="3325">
        <f t="shared" si="9"/>
        <v>100</v>
      </c>
      <c r="T33" s="3324" t="s">
        <v>3054</v>
      </c>
      <c r="U33" s="3325">
        <f t="shared" si="10"/>
        <v>100</v>
      </c>
      <c r="V33" s="3324" t="s">
        <v>3054</v>
      </c>
      <c r="W33" s="3325">
        <f t="shared" si="11"/>
        <v>100</v>
      </c>
      <c r="X33" s="3326"/>
      <c r="Y33" s="3930"/>
      <c r="Z33" s="3327" t="str">
        <f t="shared" si="12"/>
        <v>项目建筑规模</v>
      </c>
      <c r="AA33" s="3276">
        <f t="shared" si="3"/>
        <v>1</v>
      </c>
      <c r="AB33" s="3276">
        <f t="shared" si="4"/>
        <v>1</v>
      </c>
      <c r="AC33" s="3276">
        <f t="shared" si="5"/>
        <v>1</v>
      </c>
    </row>
    <row r="34" spans="1:29" ht="15">
      <c r="A34" s="3329"/>
      <c r="B34" s="3304" t="s">
        <v>726</v>
      </c>
      <c r="C34" s="3330" t="s">
        <v>3020</v>
      </c>
      <c r="D34" s="3258">
        <v>100</v>
      </c>
      <c r="E34" s="3331" t="s">
        <v>3020</v>
      </c>
      <c r="F34" s="3306">
        <f>SUMIF(105:105,E34,106:106)-SUMIF(105:105,C34,106:106)+100</f>
        <v>100</v>
      </c>
      <c r="G34" s="3330" t="s">
        <v>3020</v>
      </c>
      <c r="H34" s="3258">
        <f>SUMIF(105:105,G34,106:106)-SUMIF(105:105,C34,106:106)+100</f>
        <v>100</v>
      </c>
      <c r="I34" s="3330" t="s">
        <v>3020</v>
      </c>
      <c r="J34" s="3258">
        <f>SUMIF(105:105,I34,106:106)-SUMIF(105:105,C34,106:106)+100</f>
        <v>100</v>
      </c>
      <c r="K34" s="3241"/>
      <c r="L34" s="3259"/>
      <c r="M34" s="3204"/>
      <c r="N34" s="3204"/>
      <c r="O34" s="3250"/>
      <c r="P34" s="3930"/>
      <c r="Q34" s="3272" t="str">
        <f t="shared" si="8"/>
        <v>建筑结构</v>
      </c>
      <c r="R34" s="3273" t="s">
        <v>3054</v>
      </c>
      <c r="S34" s="3274">
        <f t="shared" si="9"/>
        <v>100</v>
      </c>
      <c r="T34" s="3273" t="s">
        <v>3054</v>
      </c>
      <c r="U34" s="3274">
        <f t="shared" si="10"/>
        <v>100</v>
      </c>
      <c r="V34" s="3273" t="s">
        <v>3054</v>
      </c>
      <c r="W34" s="3274">
        <f t="shared" si="11"/>
        <v>100</v>
      </c>
      <c r="X34" s="3205"/>
      <c r="Y34" s="3930"/>
      <c r="Z34" s="3275" t="str">
        <f t="shared" si="12"/>
        <v>建筑结构</v>
      </c>
      <c r="AA34" s="3276">
        <f t="shared" si="3"/>
        <v>1</v>
      </c>
      <c r="AB34" s="3276">
        <f t="shared" si="4"/>
        <v>1</v>
      </c>
      <c r="AC34" s="3276">
        <f t="shared" si="5"/>
        <v>1</v>
      </c>
    </row>
    <row r="35" spans="1:29" ht="15">
      <c r="A35" s="3329"/>
      <c r="B35" s="3304" t="s">
        <v>3079</v>
      </c>
      <c r="C35" s="3332" t="s">
        <v>3080</v>
      </c>
      <c r="D35" s="3258">
        <v>100</v>
      </c>
      <c r="E35" s="3332" t="s">
        <v>3080</v>
      </c>
      <c r="F35" s="3306">
        <f>SUMIF(107:107,E35,108:108)-SUMIF(107:107,C35,108:108)+100</f>
        <v>100</v>
      </c>
      <c r="G35" s="3332" t="s">
        <v>3080</v>
      </c>
      <c r="H35" s="3258">
        <f>SUMIF(107:107,G35,108:108)-SUMIF(107:107,C35,108:108)+100</f>
        <v>100</v>
      </c>
      <c r="I35" s="3332" t="s">
        <v>3080</v>
      </c>
      <c r="J35" s="3258">
        <f>SUMIF(107:107,I35,108:108)-SUMIF(107:107,C35,108:108)+100</f>
        <v>100</v>
      </c>
      <c r="K35" s="3241"/>
      <c r="L35" s="3259"/>
      <c r="M35" s="3204"/>
      <c r="N35" s="3204"/>
      <c r="O35" s="3250"/>
      <c r="P35" s="3930"/>
      <c r="Q35" s="3272" t="str">
        <f t="shared" si="8"/>
        <v>公共部分装修</v>
      </c>
      <c r="R35" s="3273" t="s">
        <v>3054</v>
      </c>
      <c r="S35" s="3274">
        <f t="shared" si="9"/>
        <v>100</v>
      </c>
      <c r="T35" s="3273" t="s">
        <v>3054</v>
      </c>
      <c r="U35" s="3274">
        <f t="shared" si="10"/>
        <v>100</v>
      </c>
      <c r="V35" s="3273" t="s">
        <v>3054</v>
      </c>
      <c r="W35" s="3274">
        <f t="shared" si="11"/>
        <v>100</v>
      </c>
      <c r="X35" s="3205"/>
      <c r="Y35" s="3930"/>
      <c r="Z35" s="3275" t="str">
        <f t="shared" si="12"/>
        <v>公共部分装修</v>
      </c>
      <c r="AA35" s="3276">
        <f t="shared" si="3"/>
        <v>1</v>
      </c>
      <c r="AB35" s="3276">
        <f t="shared" si="4"/>
        <v>1</v>
      </c>
      <c r="AC35" s="3276">
        <f t="shared" si="5"/>
        <v>1</v>
      </c>
    </row>
    <row r="36" spans="1:29" ht="15">
      <c r="A36" s="3329"/>
      <c r="B36" s="3304" t="s">
        <v>3081</v>
      </c>
      <c r="C36" s="3333">
        <f>'[4]不动产比较法-住宅'!C37</f>
        <v>1</v>
      </c>
      <c r="D36" s="3258">
        <v>100</v>
      </c>
      <c r="E36" s="3333">
        <v>0.85</v>
      </c>
      <c r="F36" s="3306">
        <f>LOOKUP(E36,110:110,111:111)-LOOKUP(C36,110:110,111:111)+100</f>
        <v>99</v>
      </c>
      <c r="G36" s="3333">
        <f>E36</f>
        <v>0.85</v>
      </c>
      <c r="H36" s="3306">
        <f>LOOKUP(G36,110:110,111:111)-LOOKUP(C36,110:110,111:111)+100</f>
        <v>99</v>
      </c>
      <c r="I36" s="3333">
        <f>E36</f>
        <v>0.85</v>
      </c>
      <c r="J36" s="3258">
        <f>LOOKUP(I36,110:110,111:111)-LOOKUP(C36,110:110,111:111)+100</f>
        <v>99</v>
      </c>
      <c r="K36" s="3241">
        <v>1</v>
      </c>
      <c r="L36" s="3259"/>
      <c r="M36" s="3204"/>
      <c r="N36" s="3204"/>
      <c r="O36" s="3250"/>
      <c r="P36" s="3930"/>
      <c r="Q36" s="3272" t="str">
        <f t="shared" si="8"/>
        <v>成新度</v>
      </c>
      <c r="R36" s="3273" t="s">
        <v>3054</v>
      </c>
      <c r="S36" s="3274">
        <f t="shared" si="9"/>
        <v>99</v>
      </c>
      <c r="T36" s="3273" t="s">
        <v>3054</v>
      </c>
      <c r="U36" s="3274">
        <f t="shared" si="10"/>
        <v>99</v>
      </c>
      <c r="V36" s="3273" t="s">
        <v>3054</v>
      </c>
      <c r="W36" s="3274">
        <f t="shared" si="11"/>
        <v>99</v>
      </c>
      <c r="X36" s="3205"/>
      <c r="Y36" s="3930"/>
      <c r="Z36" s="3275" t="str">
        <f t="shared" si="12"/>
        <v>成新度</v>
      </c>
      <c r="AA36" s="3276">
        <f t="shared" si="3"/>
        <v>1.0101010101010102</v>
      </c>
      <c r="AB36" s="3276">
        <f t="shared" si="4"/>
        <v>1.0101010101010102</v>
      </c>
      <c r="AC36" s="3276">
        <f t="shared" si="5"/>
        <v>1.0101010101010102</v>
      </c>
    </row>
    <row r="37" spans="1:29" s="3224" customFormat="1" ht="15">
      <c r="A37" s="3334"/>
      <c r="B37" s="3335" t="s">
        <v>3082</v>
      </c>
      <c r="C37" s="3332" t="s">
        <v>3069</v>
      </c>
      <c r="D37" s="3239">
        <v>100</v>
      </c>
      <c r="E37" s="3332" t="s">
        <v>3069</v>
      </c>
      <c r="F37" s="3306">
        <f>SUMIF(112:112,E37,113:113)-SUMIF(112:112,C37,113:113)+100</f>
        <v>100</v>
      </c>
      <c r="G37" s="3332" t="s">
        <v>3069</v>
      </c>
      <c r="H37" s="3258">
        <f>SUMIF(112:112,G37,113:113)-SUMIF(112:112,C37,113:113)+100</f>
        <v>100</v>
      </c>
      <c r="I37" s="3332" t="s">
        <v>3069</v>
      </c>
      <c r="J37" s="3258">
        <f>SUMIF(112:112,I37,113:113)-SUMIF(112:112,C37,113:113)+100</f>
        <v>100</v>
      </c>
      <c r="K37" s="3241"/>
      <c r="L37" s="3218"/>
      <c r="M37" s="3219"/>
      <c r="N37" s="3219"/>
      <c r="O37" s="3234"/>
      <c r="P37" s="3930"/>
      <c r="Q37" s="3235" t="str">
        <f t="shared" si="8"/>
        <v>市政基础设施</v>
      </c>
      <c r="R37" s="3220" t="s">
        <v>3054</v>
      </c>
      <c r="S37" s="3221">
        <f t="shared" si="9"/>
        <v>100</v>
      </c>
      <c r="T37" s="3220" t="s">
        <v>3054</v>
      </c>
      <c r="U37" s="3221">
        <f t="shared" si="10"/>
        <v>100</v>
      </c>
      <c r="V37" s="3220" t="s">
        <v>3054</v>
      </c>
      <c r="W37" s="3221">
        <f t="shared" si="11"/>
        <v>100</v>
      </c>
      <c r="X37" s="3222"/>
      <c r="Y37" s="3930"/>
      <c r="Z37" s="3236" t="str">
        <f t="shared" si="12"/>
        <v>市政基础设施</v>
      </c>
      <c r="AA37" s="3223">
        <f t="shared" si="3"/>
        <v>1</v>
      </c>
      <c r="AB37" s="3223">
        <f t="shared" si="4"/>
        <v>1</v>
      </c>
      <c r="AC37" s="3223">
        <f t="shared" si="5"/>
        <v>1</v>
      </c>
    </row>
    <row r="38" spans="1:29" ht="15" hidden="1">
      <c r="A38" s="3329"/>
      <c r="B38" s="3304" t="s">
        <v>3083</v>
      </c>
      <c r="C38" s="3332"/>
      <c r="D38" s="3258">
        <v>100</v>
      </c>
      <c r="E38" s="3332"/>
      <c r="F38" s="3306">
        <f>SUMIF(114:114,E38,115:115)-SUMIF(114:114,C38,115:115)+100</f>
        <v>100</v>
      </c>
      <c r="G38" s="3332"/>
      <c r="H38" s="3258">
        <f>SUMIF(114:114,G38,115:115)-SUMIF(114:114,C38,115:115)+100</f>
        <v>100</v>
      </c>
      <c r="I38" s="3332"/>
      <c r="J38" s="3258">
        <f>SUMIF(114:114,I38,115:115)-SUMIF(114:114,C38,115:115)+100</f>
        <v>100</v>
      </c>
      <c r="K38" s="3241"/>
      <c r="L38" s="3259"/>
      <c r="M38" s="3204"/>
      <c r="N38" s="3204"/>
      <c r="O38" s="3250"/>
      <c r="P38" s="3930" t="s">
        <v>3078</v>
      </c>
      <c r="Q38" s="3272" t="str">
        <f t="shared" si="8"/>
        <v>业态</v>
      </c>
      <c r="R38" s="3273" t="s">
        <v>3054</v>
      </c>
      <c r="S38" s="3274">
        <f t="shared" si="9"/>
        <v>100</v>
      </c>
      <c r="T38" s="3273" t="s">
        <v>3054</v>
      </c>
      <c r="U38" s="3274">
        <f t="shared" si="10"/>
        <v>100</v>
      </c>
      <c r="V38" s="3273" t="s">
        <v>3054</v>
      </c>
      <c r="W38" s="3274">
        <f t="shared" si="11"/>
        <v>100</v>
      </c>
      <c r="X38" s="3205"/>
      <c r="Y38" s="3930" t="s">
        <v>3078</v>
      </c>
      <c r="Z38" s="3275" t="str">
        <f t="shared" si="12"/>
        <v>业态</v>
      </c>
      <c r="AA38" s="3276">
        <f t="shared" si="3"/>
        <v>1</v>
      </c>
      <c r="AB38" s="3276">
        <f t="shared" si="4"/>
        <v>1</v>
      </c>
      <c r="AC38" s="3276">
        <f t="shared" si="5"/>
        <v>1</v>
      </c>
    </row>
    <row r="39" spans="1:29" ht="15.75" thickBot="1">
      <c r="A39" s="3329"/>
      <c r="B39" s="3304" t="s">
        <v>3084</v>
      </c>
      <c r="C39" s="3332" t="s">
        <v>3085</v>
      </c>
      <c r="D39" s="3258">
        <v>100</v>
      </c>
      <c r="E39" s="3332" t="s">
        <v>3085</v>
      </c>
      <c r="F39" s="3306">
        <f>SUMIF(116:116,E39,117:117)-SUMIF(116:116,C39,117:117)+100</f>
        <v>100</v>
      </c>
      <c r="G39" s="3332" t="s">
        <v>3085</v>
      </c>
      <c r="H39" s="3258">
        <f>SUMIF(116:116,G39,117:117)-SUMIF(116:116,C39,117:117)+100</f>
        <v>100</v>
      </c>
      <c r="I39" s="3332" t="s">
        <v>3085</v>
      </c>
      <c r="J39" s="3258">
        <f>SUMIF(116:116,I39,117:117)-SUMIF(116:116,C39,117:117)+100</f>
        <v>100</v>
      </c>
      <c r="K39" s="3241"/>
      <c r="L39" s="3259"/>
      <c r="M39" s="3204"/>
      <c r="N39" s="3204"/>
      <c r="O39" s="3250"/>
      <c r="P39" s="3930"/>
      <c r="Q39" s="3272" t="str">
        <f t="shared" si="8"/>
        <v>层高</v>
      </c>
      <c r="R39" s="3273" t="s">
        <v>3054</v>
      </c>
      <c r="S39" s="3274">
        <f t="shared" si="9"/>
        <v>100</v>
      </c>
      <c r="T39" s="3273" t="s">
        <v>3054</v>
      </c>
      <c r="U39" s="3274">
        <f t="shared" si="10"/>
        <v>100</v>
      </c>
      <c r="V39" s="3273" t="s">
        <v>3054</v>
      </c>
      <c r="W39" s="3274">
        <f t="shared" si="11"/>
        <v>100</v>
      </c>
      <c r="X39" s="3205"/>
      <c r="Y39" s="3930"/>
      <c r="Z39" s="3275" t="str">
        <f t="shared" si="12"/>
        <v>层高</v>
      </c>
      <c r="AA39" s="3276">
        <f t="shared" si="3"/>
        <v>1</v>
      </c>
      <c r="AB39" s="3276">
        <f t="shared" si="4"/>
        <v>1</v>
      </c>
      <c r="AC39" s="3276">
        <f t="shared" si="5"/>
        <v>1</v>
      </c>
    </row>
    <row r="40" spans="1:29" ht="15.75" hidden="1" thickBot="1">
      <c r="A40" s="3329"/>
      <c r="B40" s="3304" t="s">
        <v>3086</v>
      </c>
      <c r="C40" s="3336"/>
      <c r="D40" s="3258">
        <v>100</v>
      </c>
      <c r="E40" s="3337"/>
      <c r="F40" s="3306">
        <f>SUMIF(118:118,E40,119:119)-SUMIF(118:118,C40,119:119)+100</f>
        <v>100</v>
      </c>
      <c r="G40" s="3337"/>
      <c r="H40" s="3258">
        <f>SUMIF(118:118,G40,119:119)-SUMIF(118:118,C40,119:119)+100</f>
        <v>100</v>
      </c>
      <c r="I40" s="3337"/>
      <c r="J40" s="3258">
        <f>SUMIF(118:118,I40,119:119)-SUMIF(118:118,C40,119:119)+100</f>
        <v>100</v>
      </c>
      <c r="K40" s="3257"/>
      <c r="L40" s="3259"/>
      <c r="M40" s="3204"/>
      <c r="N40" s="3204"/>
      <c r="O40" s="3250"/>
      <c r="P40" s="3930"/>
      <c r="Q40" s="3272" t="str">
        <f t="shared" si="8"/>
        <v>单套建筑面积</v>
      </c>
      <c r="R40" s="3273" t="s">
        <v>3054</v>
      </c>
      <c r="S40" s="3274">
        <f t="shared" si="9"/>
        <v>100</v>
      </c>
      <c r="T40" s="3273" t="s">
        <v>3054</v>
      </c>
      <c r="U40" s="3274">
        <f t="shared" si="10"/>
        <v>100</v>
      </c>
      <c r="V40" s="3273" t="s">
        <v>3054</v>
      </c>
      <c r="W40" s="3274">
        <f t="shared" si="11"/>
        <v>100</v>
      </c>
      <c r="X40" s="3205"/>
      <c r="Y40" s="3930"/>
      <c r="Z40" s="3275" t="str">
        <f t="shared" si="12"/>
        <v>单套建筑面积</v>
      </c>
      <c r="AA40" s="3276">
        <f t="shared" si="3"/>
        <v>1</v>
      </c>
      <c r="AB40" s="3276">
        <f t="shared" si="4"/>
        <v>1</v>
      </c>
      <c r="AC40" s="3276">
        <f t="shared" si="5"/>
        <v>1</v>
      </c>
    </row>
    <row r="41" spans="1:29" s="3328" customFormat="1" ht="15.75" hidden="1" thickBot="1">
      <c r="A41" s="3318"/>
      <c r="B41" s="3338" t="s">
        <v>759</v>
      </c>
      <c r="C41" s="3305"/>
      <c r="D41" s="3258">
        <v>100</v>
      </c>
      <c r="E41" s="3305"/>
      <c r="F41" s="3306">
        <f>SUMIF(120:120,E41,121:121)-SUMIF(120:120,C41,121:121)+100</f>
        <v>100</v>
      </c>
      <c r="G41" s="3305"/>
      <c r="H41" s="3258">
        <f>SUMIF(120:120,G41,121:121)-SUMIF(120:120,C41,121:121)+100</f>
        <v>100</v>
      </c>
      <c r="I41" s="3305"/>
      <c r="J41" s="3258">
        <f>SUMIF(120:120,I41,121:121)-SUMIF(120:120,C41,121:121)+100</f>
        <v>100</v>
      </c>
      <c r="K41" s="3241"/>
      <c r="L41" s="3249"/>
      <c r="M41" s="3321"/>
      <c r="N41" s="3321"/>
      <c r="O41" s="3322"/>
      <c r="P41" s="3930"/>
      <c r="Q41" s="3323" t="str">
        <f t="shared" si="8"/>
        <v>进深比</v>
      </c>
      <c r="R41" s="3324" t="s">
        <v>3062</v>
      </c>
      <c r="S41" s="3325">
        <f t="shared" si="9"/>
        <v>100</v>
      </c>
      <c r="T41" s="3324" t="s">
        <v>3062</v>
      </c>
      <c r="U41" s="3325">
        <f t="shared" si="10"/>
        <v>100</v>
      </c>
      <c r="V41" s="3324" t="s">
        <v>3062</v>
      </c>
      <c r="W41" s="3325">
        <f t="shared" si="11"/>
        <v>100</v>
      </c>
      <c r="X41" s="3326"/>
      <c r="Y41" s="3930"/>
      <c r="Z41" s="3327" t="str">
        <f t="shared" si="12"/>
        <v>进深比</v>
      </c>
      <c r="AA41" s="3276">
        <f t="shared" si="3"/>
        <v>1</v>
      </c>
      <c r="AB41" s="3276">
        <f t="shared" si="4"/>
        <v>1</v>
      </c>
      <c r="AC41" s="3276">
        <f t="shared" si="5"/>
        <v>1</v>
      </c>
    </row>
    <row r="42" spans="1:29" ht="15.75" hidden="1" thickBot="1">
      <c r="A42" s="3329"/>
      <c r="B42" s="3304" t="s">
        <v>754</v>
      </c>
      <c r="C42" s="3332" t="s">
        <v>3080</v>
      </c>
      <c r="D42" s="3258">
        <v>100</v>
      </c>
      <c r="E42" s="3332" t="s">
        <v>3080</v>
      </c>
      <c r="F42" s="3306">
        <f>SUMIF(122:122,E42,123:123)-SUMIF(122:122,C42,123:123)+100</f>
        <v>100</v>
      </c>
      <c r="G42" s="3332" t="s">
        <v>3080</v>
      </c>
      <c r="H42" s="3258">
        <f>SUMIF(122:122,G42,123:123)-SUMIF(122:122,C42,123:123)+100</f>
        <v>100</v>
      </c>
      <c r="I42" s="3332" t="s">
        <v>3080</v>
      </c>
      <c r="J42" s="3258">
        <f>SUMIF(122:122,I42,123:123)-SUMIF(122:122,C42,123:123)+100</f>
        <v>100</v>
      </c>
      <c r="K42" s="3241"/>
      <c r="L42" s="3259"/>
      <c r="M42" s="3204"/>
      <c r="N42" s="3204"/>
      <c r="O42" s="3250"/>
      <c r="P42" s="3930"/>
      <c r="Q42" s="3272" t="str">
        <f t="shared" si="8"/>
        <v>内部装修</v>
      </c>
      <c r="R42" s="3273" t="s">
        <v>3054</v>
      </c>
      <c r="S42" s="3274">
        <f t="shared" si="9"/>
        <v>100</v>
      </c>
      <c r="T42" s="3273" t="s">
        <v>3054</v>
      </c>
      <c r="U42" s="3274">
        <f t="shared" si="10"/>
        <v>100</v>
      </c>
      <c r="V42" s="3273" t="s">
        <v>3054</v>
      </c>
      <c r="W42" s="3274">
        <f t="shared" si="11"/>
        <v>100</v>
      </c>
      <c r="X42" s="3205"/>
      <c r="Y42" s="3930"/>
      <c r="Z42" s="3275" t="str">
        <f t="shared" si="12"/>
        <v>内部装修</v>
      </c>
      <c r="AA42" s="3276">
        <f t="shared" si="3"/>
        <v>1</v>
      </c>
      <c r="AB42" s="3276">
        <f t="shared" si="4"/>
        <v>1</v>
      </c>
      <c r="AC42" s="3276">
        <f t="shared" si="5"/>
        <v>1</v>
      </c>
    </row>
    <row r="43" spans="1:29" ht="27.75" hidden="1" thickBot="1">
      <c r="A43" s="3329"/>
      <c r="B43" s="3304" t="s">
        <v>734</v>
      </c>
      <c r="C43" s="3332" t="s">
        <v>3065</v>
      </c>
      <c r="D43" s="3258">
        <v>100</v>
      </c>
      <c r="E43" s="3332" t="s">
        <v>3065</v>
      </c>
      <c r="F43" s="3306">
        <f>SUMIF(124:124,E43,125:125)-SUMIF(124:124,C43,125:125)+100</f>
        <v>100</v>
      </c>
      <c r="G43" s="3332" t="s">
        <v>3065</v>
      </c>
      <c r="H43" s="3258">
        <f>SUMIF(124:124,G43,125:125)-SUMIF(124:124,C43,125:125)+100</f>
        <v>100</v>
      </c>
      <c r="I43" s="3332" t="s">
        <v>3065</v>
      </c>
      <c r="J43" s="3258">
        <f>SUMIF(124:124,I43,125:125)-SUMIF(124:124,C43,125:125)+100</f>
        <v>100</v>
      </c>
      <c r="K43" s="3241"/>
      <c r="L43" s="3259"/>
      <c r="M43" s="3204"/>
      <c r="N43" s="3204"/>
      <c r="O43" s="3250"/>
      <c r="P43" s="3930"/>
      <c r="Q43" s="3272" t="str">
        <f t="shared" si="8"/>
        <v>内部装修维护情况</v>
      </c>
      <c r="R43" s="3273" t="s">
        <v>3062</v>
      </c>
      <c r="S43" s="3274">
        <f t="shared" si="9"/>
        <v>100</v>
      </c>
      <c r="T43" s="3273" t="s">
        <v>3062</v>
      </c>
      <c r="U43" s="3274">
        <f t="shared" si="10"/>
        <v>100</v>
      </c>
      <c r="V43" s="3273" t="s">
        <v>3062</v>
      </c>
      <c r="W43" s="3274">
        <f t="shared" si="11"/>
        <v>100</v>
      </c>
      <c r="X43" s="3205"/>
      <c r="Y43" s="3930"/>
      <c r="Z43" s="3275" t="str">
        <f t="shared" si="12"/>
        <v>内部装修维护情况</v>
      </c>
      <c r="AA43" s="3276">
        <f t="shared" si="3"/>
        <v>1</v>
      </c>
      <c r="AB43" s="3276">
        <f t="shared" si="4"/>
        <v>1</v>
      </c>
      <c r="AC43" s="3276">
        <f t="shared" si="5"/>
        <v>1</v>
      </c>
    </row>
    <row r="44" spans="1:29" s="3224" customFormat="1" ht="15.75" hidden="1" thickBot="1">
      <c r="A44" s="3334"/>
      <c r="B44" s="3307">
        <v>111</v>
      </c>
      <c r="C44" s="3319"/>
      <c r="D44" s="3239">
        <v>100</v>
      </c>
      <c r="E44" s="3255"/>
      <c r="F44" s="3320">
        <f>SUMIF(126:126,E44,127:127)-SUMIF(126:126,C44,127:127)+100</f>
        <v>100</v>
      </c>
      <c r="G44" s="3255"/>
      <c r="H44" s="3239">
        <f>SUMIF(126:126,G44,127:127)-SUMIF(126:126,C44,127:127)+100</f>
        <v>100</v>
      </c>
      <c r="I44" s="3255"/>
      <c r="J44" s="3239">
        <f>SUMIF(126:126,I44,127:127)-SUMIF(126:126,C44,127:127)+100</f>
        <v>100</v>
      </c>
      <c r="K44" s="3257"/>
      <c r="L44" s="3218"/>
      <c r="M44" s="3219"/>
      <c r="N44" s="3219"/>
      <c r="O44" s="3234"/>
      <c r="P44" s="3930"/>
      <c r="Q44" s="3235">
        <f t="shared" si="8"/>
        <v>111</v>
      </c>
      <c r="R44" s="3220" t="s">
        <v>3062</v>
      </c>
      <c r="S44" s="3221">
        <f t="shared" si="9"/>
        <v>100</v>
      </c>
      <c r="T44" s="3220" t="s">
        <v>3062</v>
      </c>
      <c r="U44" s="3221">
        <f t="shared" si="10"/>
        <v>100</v>
      </c>
      <c r="V44" s="3220" t="s">
        <v>3062</v>
      </c>
      <c r="W44" s="3221">
        <f t="shared" si="11"/>
        <v>100</v>
      </c>
      <c r="X44" s="3222"/>
      <c r="Y44" s="3930"/>
      <c r="Z44" s="3236">
        <f t="shared" si="12"/>
        <v>111</v>
      </c>
      <c r="AA44" s="3223">
        <f t="shared" si="3"/>
        <v>1</v>
      </c>
      <c r="AB44" s="3223">
        <f t="shared" si="4"/>
        <v>1</v>
      </c>
      <c r="AC44" s="3223">
        <f t="shared" si="5"/>
        <v>1</v>
      </c>
    </row>
    <row r="45" spans="1:29" ht="15.75" hidden="1" thickBot="1">
      <c r="A45" s="3329"/>
      <c r="B45" s="3307">
        <v>111</v>
      </c>
      <c r="C45" s="3255"/>
      <c r="D45" s="3258">
        <v>100</v>
      </c>
      <c r="E45" s="3255"/>
      <c r="F45" s="3306">
        <f>SUMIF(128:128,E45,129:129)-SUMIF(128:128,C45,129:129)+100</f>
        <v>100</v>
      </c>
      <c r="G45" s="3255"/>
      <c r="H45" s="3258">
        <f>SUMIF(128:128,G45,129:129)-SUMIF(128:128,C45,129:129)+100</f>
        <v>100</v>
      </c>
      <c r="I45" s="3255"/>
      <c r="J45" s="3258">
        <f>SUMIF(128:128,I45,129:129)-SUMIF(128:128,C45,129:129)+100</f>
        <v>100</v>
      </c>
      <c r="K45" s="3257"/>
      <c r="L45" s="3259"/>
      <c r="M45" s="3204"/>
      <c r="N45" s="3204"/>
      <c r="O45" s="3250"/>
      <c r="P45" s="3930"/>
      <c r="Q45" s="3272">
        <f t="shared" si="8"/>
        <v>111</v>
      </c>
      <c r="R45" s="3273" t="s">
        <v>3062</v>
      </c>
      <c r="S45" s="3274">
        <f t="shared" si="9"/>
        <v>100</v>
      </c>
      <c r="T45" s="3273" t="s">
        <v>3062</v>
      </c>
      <c r="U45" s="3274">
        <f t="shared" si="10"/>
        <v>100</v>
      </c>
      <c r="V45" s="3273" t="s">
        <v>3062</v>
      </c>
      <c r="W45" s="3274">
        <f t="shared" si="11"/>
        <v>100</v>
      </c>
      <c r="X45" s="3205"/>
      <c r="Y45" s="3930"/>
      <c r="Z45" s="3275">
        <f t="shared" si="12"/>
        <v>111</v>
      </c>
      <c r="AA45" s="3276">
        <f t="shared" si="3"/>
        <v>1</v>
      </c>
      <c r="AB45" s="3276">
        <f t="shared" si="4"/>
        <v>1</v>
      </c>
      <c r="AC45" s="3276">
        <f t="shared" si="5"/>
        <v>1</v>
      </c>
    </row>
    <row r="46" spans="1:29" ht="15.75" hidden="1" thickBot="1">
      <c r="A46" s="3339"/>
      <c r="B46" s="3340">
        <v>111</v>
      </c>
      <c r="C46" s="3262"/>
      <c r="D46" s="3263">
        <v>100</v>
      </c>
      <c r="E46" s="3255"/>
      <c r="F46" s="3313">
        <f>SUMIF(130:130,E46,131:131)-SUMIF(130:130,C46,131:131)+100</f>
        <v>100</v>
      </c>
      <c r="G46" s="3255"/>
      <c r="H46" s="3263">
        <f>SUMIF(130:130,G46,131:131)-SUMIF(130:130,C46,131:131)+100</f>
        <v>100</v>
      </c>
      <c r="I46" s="3255"/>
      <c r="J46" s="3263">
        <f>SUMIF(130:130,I46,131:131)-SUMIF(130:130,C46,131:131)+100</f>
        <v>100</v>
      </c>
      <c r="K46" s="3257"/>
      <c r="L46" s="3259"/>
      <c r="M46" s="3204"/>
      <c r="N46" s="3204"/>
      <c r="O46" s="3250"/>
      <c r="P46" s="3931"/>
      <c r="Q46" s="3272">
        <f t="shared" si="8"/>
        <v>111</v>
      </c>
      <c r="R46" s="3273" t="s">
        <v>3062</v>
      </c>
      <c r="S46" s="3274">
        <f t="shared" si="9"/>
        <v>100</v>
      </c>
      <c r="T46" s="3273" t="s">
        <v>3062</v>
      </c>
      <c r="U46" s="3274">
        <f t="shared" si="10"/>
        <v>100</v>
      </c>
      <c r="V46" s="3273" t="s">
        <v>3062</v>
      </c>
      <c r="W46" s="3274">
        <f t="shared" si="11"/>
        <v>100</v>
      </c>
      <c r="X46" s="3205"/>
      <c r="Y46" s="3931"/>
      <c r="Z46" s="3275">
        <f t="shared" si="12"/>
        <v>111</v>
      </c>
      <c r="AA46" s="3276">
        <f t="shared" si="3"/>
        <v>1</v>
      </c>
      <c r="AB46" s="3276">
        <f t="shared" si="4"/>
        <v>1</v>
      </c>
      <c r="AC46" s="3276">
        <f t="shared" si="5"/>
        <v>1</v>
      </c>
    </row>
    <row r="47" spans="1:29" ht="15">
      <c r="A47" s="3341" t="s">
        <v>735</v>
      </c>
      <c r="B47" s="3342"/>
      <c r="C47" s="3343" t="s">
        <v>1742</v>
      </c>
      <c r="D47" s="3344"/>
      <c r="E47" s="3345">
        <f>ROUND(12500/105/30,1)</f>
        <v>4</v>
      </c>
      <c r="F47" s="3346"/>
      <c r="G47" s="3347">
        <f>ROUND(9000/75/30,1)</f>
        <v>4</v>
      </c>
      <c r="H47" s="3348"/>
      <c r="I47" s="3349">
        <f>ROUND(7000/60/30,1)</f>
        <v>3.9</v>
      </c>
      <c r="J47" s="3348"/>
      <c r="K47" s="3350"/>
      <c r="L47" s="3351"/>
      <c r="M47" s="3352"/>
      <c r="N47" s="3204"/>
      <c r="O47" s="3352"/>
      <c r="P47" s="3925" t="str">
        <f>A47</f>
        <v>成交单价（元/平方米）</v>
      </c>
      <c r="Q47" s="3925"/>
      <c r="R47" s="3932">
        <f>E47</f>
        <v>4</v>
      </c>
      <c r="S47" s="3932"/>
      <c r="T47" s="3932">
        <f>G47</f>
        <v>4</v>
      </c>
      <c r="U47" s="3932"/>
      <c r="V47" s="3932">
        <f>I47</f>
        <v>3.9</v>
      </c>
      <c r="W47" s="3932"/>
      <c r="X47" s="3353"/>
      <c r="Y47" s="3354"/>
      <c r="Z47" s="3353"/>
      <c r="AA47" s="3353"/>
      <c r="AB47" s="3353"/>
      <c r="AC47" s="3353"/>
    </row>
    <row r="48" spans="1:29" ht="15.75" thickBot="1">
      <c r="A48" s="3355" t="s">
        <v>3087</v>
      </c>
      <c r="B48" s="3356"/>
      <c r="C48" s="3357">
        <f>R49</f>
        <v>4.0999999999999996</v>
      </c>
      <c r="D48" s="3358"/>
      <c r="E48" s="3359">
        <f>R48</f>
        <v>4.0999999999999996</v>
      </c>
      <c r="F48" s="3359"/>
      <c r="G48" s="3357">
        <f>T48</f>
        <v>4.0999999999999996</v>
      </c>
      <c r="H48" s="3358"/>
      <c r="I48" s="3359">
        <f>V48</f>
        <v>4</v>
      </c>
      <c r="J48" s="3358"/>
      <c r="K48" s="3360"/>
      <c r="L48" s="3351"/>
      <c r="M48" s="3352"/>
      <c r="N48" s="3204"/>
      <c r="O48" s="3352"/>
      <c r="P48" s="3925" t="str">
        <f>A48</f>
        <v>比较价格（元/平方米）</v>
      </c>
      <c r="Q48" s="3925"/>
      <c r="R48" s="3932">
        <f>IF(F1="售价",ROUND(PRODUCT(R47,AA7:AA46),0),ROUND(PRODUCT(R47,AA7:AA46),1))</f>
        <v>4.0999999999999996</v>
      </c>
      <c r="S48" s="3932"/>
      <c r="T48" s="3932">
        <f>IF(F1="售价",ROUND(PRODUCT(T47,AB7:AB46),0),ROUND(PRODUCT(T47,AB7:AB46),1))</f>
        <v>4.0999999999999996</v>
      </c>
      <c r="U48" s="3932"/>
      <c r="V48" s="3932">
        <f>IF(F1="售价",ROUND(PRODUCT(V47,AC7:AC46),0),ROUND(PRODUCT(V47,AC7:AC46),1))</f>
        <v>4</v>
      </c>
      <c r="W48" s="3932"/>
      <c r="X48" s="3353"/>
      <c r="Y48" s="3353"/>
      <c r="Z48" s="3353"/>
      <c r="AA48" s="3353"/>
      <c r="AB48" s="3353"/>
      <c r="AC48" s="3353"/>
    </row>
    <row r="49" spans="1:29" ht="15.75" thickBot="1">
      <c r="A49" s="3361" t="s">
        <v>3088</v>
      </c>
      <c r="B49" s="3362"/>
      <c r="C49" s="3363">
        <f>R49</f>
        <v>4.0999999999999996</v>
      </c>
      <c r="D49" s="3363"/>
      <c r="E49" s="3363"/>
      <c r="F49" s="3363"/>
      <c r="G49" s="3363"/>
      <c r="H49" s="3363"/>
      <c r="I49" s="3363"/>
      <c r="J49" s="3363"/>
      <c r="K49" s="3364"/>
      <c r="L49" s="3351"/>
      <c r="M49" s="3352"/>
      <c r="N49" s="3204"/>
      <c r="O49" s="3352"/>
      <c r="P49" s="3933" t="str">
        <f>A49</f>
        <v>估价对象XX用房的比较价格（楼面单价，元/平方米）</v>
      </c>
      <c r="Q49" s="3934"/>
      <c r="R49" s="3935">
        <f>IF(F1="售价",ROUND(AVERAGE(R48:V48),0),ROUND(AVERAGE(R48:V48),1))</f>
        <v>4.0999999999999996</v>
      </c>
      <c r="S49" s="3935"/>
      <c r="T49" s="3935"/>
      <c r="U49" s="3935"/>
      <c r="V49" s="3935"/>
      <c r="W49" s="3935"/>
      <c r="X49" s="3353"/>
      <c r="Y49" s="3353"/>
      <c r="Z49" s="3353"/>
      <c r="AA49" s="3353"/>
      <c r="AB49" s="3353"/>
      <c r="AC49" s="3353"/>
    </row>
    <row r="50" spans="1:29">
      <c r="A50" s="3352"/>
      <c r="B50" s="3352"/>
      <c r="C50" s="3352"/>
      <c r="D50" s="3352"/>
      <c r="E50" s="3352"/>
      <c r="F50" s="3352"/>
      <c r="G50" s="3365"/>
      <c r="H50" s="3352"/>
      <c r="I50" s="3352"/>
      <c r="J50" s="3352"/>
      <c r="K50" s="3366"/>
      <c r="L50" s="3367"/>
      <c r="M50" s="3352"/>
      <c r="N50" s="3352"/>
      <c r="O50" s="3352"/>
      <c r="P50" s="3352"/>
      <c r="Q50" s="3352"/>
      <c r="R50" s="3352"/>
      <c r="S50" s="3352"/>
      <c r="T50" s="3352"/>
      <c r="U50" s="3352"/>
      <c r="V50" s="3352"/>
      <c r="W50" s="3352"/>
      <c r="X50" s="3352"/>
      <c r="Y50" s="3352"/>
      <c r="Z50" s="3352"/>
      <c r="AA50" s="3352"/>
      <c r="AB50" s="3352"/>
      <c r="AC50" s="3352"/>
    </row>
    <row r="51" spans="1:29">
      <c r="A51" s="3352"/>
      <c r="B51" s="3352"/>
      <c r="C51" s="3352"/>
      <c r="D51" s="3352"/>
      <c r="E51" s="3352"/>
      <c r="F51" s="3352"/>
      <c r="G51" s="3352"/>
      <c r="H51" s="3352"/>
      <c r="I51" s="3352"/>
      <c r="J51" s="3352"/>
      <c r="K51" s="3366"/>
      <c r="L51" s="3367"/>
      <c r="M51" s="3352"/>
      <c r="N51" s="3352"/>
      <c r="O51" s="3352"/>
      <c r="P51" s="3352"/>
      <c r="Q51" s="3352"/>
      <c r="R51" s="3352"/>
      <c r="S51" s="3352"/>
      <c r="T51" s="3352"/>
      <c r="U51" s="3352"/>
      <c r="V51" s="3352"/>
      <c r="W51" s="3352"/>
      <c r="X51" s="3352"/>
      <c r="Y51" s="3352"/>
      <c r="Z51" s="3352"/>
      <c r="AA51" s="3352"/>
      <c r="AB51" s="3352"/>
      <c r="AC51" s="3352"/>
    </row>
    <row r="52" spans="1:29" ht="13.5" customHeight="1">
      <c r="A52" s="3352"/>
      <c r="B52" s="3352"/>
      <c r="C52" s="3368" t="s">
        <v>3089</v>
      </c>
      <c r="D52" s="3369"/>
      <c r="E52" s="3370">
        <f>IF(E47&lt;E48,E48/E47-1,E47/E48-1)</f>
        <v>2.4999999999999911E-2</v>
      </c>
      <c r="F52" s="3371" t="str">
        <f>IF(OR(E52&gt;=0.3,E52&lt;=-0.3),"超过30%","")</f>
        <v/>
      </c>
      <c r="G52" s="3370">
        <f>IF(G47&lt;G48,G48/G47-1,G47/G48-1)</f>
        <v>2.4999999999999911E-2</v>
      </c>
      <c r="H52" s="3371" t="str">
        <f>IF(OR(G52&gt;=0.3,G52&lt;=-0.3),"超过30%","")</f>
        <v/>
      </c>
      <c r="I52" s="3370">
        <f>IF(I47&lt;I48,I48/I47-1,I47/I48-1)</f>
        <v>2.5641025641025772E-2</v>
      </c>
      <c r="J52" s="3371" t="str">
        <f>IF(OR(I52&gt;=0.3,I52&lt;=-0.3),"超过30%","")</f>
        <v/>
      </c>
      <c r="K52" s="3366"/>
      <c r="L52" s="3367"/>
      <c r="M52" s="3352"/>
      <c r="N52" s="3352"/>
      <c r="O52" s="3352"/>
      <c r="P52" s="3352"/>
      <c r="Q52" s="3352"/>
      <c r="R52" s="3352"/>
      <c r="S52" s="3352"/>
      <c r="T52" s="3352"/>
      <c r="U52" s="3352"/>
      <c r="V52" s="3352"/>
      <c r="W52" s="3352"/>
      <c r="X52" s="3352"/>
      <c r="Y52" s="3352"/>
      <c r="Z52" s="3352"/>
      <c r="AA52" s="3352"/>
      <c r="AB52" s="3352"/>
      <c r="AC52" s="3352"/>
    </row>
    <row r="53" spans="1:29" ht="13.5" customHeight="1">
      <c r="A53" s="3352"/>
      <c r="B53" s="3352"/>
      <c r="C53" s="3368" t="s">
        <v>3090</v>
      </c>
      <c r="D53" s="3372"/>
      <c r="E53" s="3370">
        <f>IF(E48&lt;G48,G48/E48-1,E48/G48-1)</f>
        <v>0</v>
      </c>
      <c r="F53" s="3371" t="str">
        <f>IF(OR(E53&gt;=0.2,E53&lt;=-0.2),"超过20%","")</f>
        <v/>
      </c>
      <c r="G53" s="3370">
        <f>IF(G48&lt;I48,I48/G48-1,G48/I48-1)</f>
        <v>2.4999999999999911E-2</v>
      </c>
      <c r="H53" s="3371" t="str">
        <f>IF(OR(G53&gt;=0.2,G53&lt;=-0.2),"超过20%","")</f>
        <v/>
      </c>
      <c r="I53" s="3370">
        <f>IF(I48&lt;E48,E48/I48-1,I48/E48-1)</f>
        <v>2.4999999999999911E-2</v>
      </c>
      <c r="J53" s="3371" t="str">
        <f>IF(OR(I53&gt;=0.2,I53&lt;=-0.2),"超过20%","")</f>
        <v/>
      </c>
      <c r="K53" s="3366"/>
      <c r="L53" s="3367"/>
      <c r="M53" s="3352"/>
      <c r="N53" s="3352"/>
      <c r="O53" s="3352"/>
      <c r="P53" s="3352"/>
      <c r="Q53" s="3352"/>
      <c r="R53" s="3352"/>
      <c r="S53" s="3352"/>
      <c r="T53" s="3352"/>
      <c r="U53" s="3352"/>
      <c r="V53" s="3352"/>
      <c r="W53" s="3352"/>
      <c r="X53" s="3352"/>
      <c r="Y53" s="3352"/>
      <c r="Z53" s="3352"/>
      <c r="AA53" s="3352"/>
      <c r="AB53" s="3352"/>
      <c r="AC53" s="3352"/>
    </row>
    <row r="54" spans="1:29" s="3376" customFormat="1" ht="13.5" customHeight="1">
      <c r="A54" s="3373"/>
      <c r="B54" s="3373"/>
      <c r="C54" s="3368" t="s">
        <v>3091</v>
      </c>
      <c r="D54" s="3372"/>
      <c r="E54" s="3370">
        <f>IF(E47&lt;G47,G47/E47-1,E47/G47-1)</f>
        <v>0</v>
      </c>
      <c r="F54" s="3371" t="str">
        <f>IF(OR(E54&gt;=0.3,E54&lt;=-0.3),"超过30%","")</f>
        <v/>
      </c>
      <c r="G54" s="3370">
        <f>IF(G47&lt;I47,I47/G47-1,G47/I47-1)</f>
        <v>2.5641025641025772E-2</v>
      </c>
      <c r="H54" s="3371" t="str">
        <f>IF(OR(G54&gt;=0.3,G54&lt;=-0.3),"超过30%","")</f>
        <v/>
      </c>
      <c r="I54" s="3370">
        <f>IF(I47&lt;E47,E47/I47-1,I47/E47-1)</f>
        <v>2.5641025641025772E-2</v>
      </c>
      <c r="J54" s="3371" t="str">
        <f>IF(OR(I54&gt;=0.3,I54&lt;=-0.3),"超过30%","")</f>
        <v/>
      </c>
      <c r="K54" s="3374"/>
      <c r="L54" s="3375"/>
      <c r="M54" s="3373"/>
      <c r="N54" s="3373"/>
      <c r="O54" s="3373"/>
      <c r="P54" s="3373"/>
      <c r="Q54" s="3373"/>
      <c r="R54" s="3373"/>
      <c r="S54" s="3373"/>
      <c r="T54" s="3373"/>
      <c r="U54" s="3373"/>
      <c r="V54" s="3373"/>
      <c r="W54" s="3373"/>
      <c r="X54" s="3373"/>
      <c r="Y54" s="3373"/>
      <c r="Z54" s="3373"/>
      <c r="AA54" s="3373"/>
      <c r="AB54" s="3373"/>
      <c r="AC54" s="3373"/>
    </row>
    <row r="55" spans="1:29" s="3376" customFormat="1">
      <c r="A55" s="3373"/>
      <c r="B55" s="3377"/>
      <c r="C55" s="3378"/>
      <c r="D55" s="3373"/>
      <c r="E55" s="3373"/>
      <c r="F55" s="3373"/>
      <c r="G55" s="3373"/>
      <c r="H55" s="3373"/>
      <c r="I55" s="3373"/>
      <c r="J55" s="3373"/>
      <c r="K55" s="3374"/>
      <c r="L55" s="3375"/>
      <c r="M55" s="3373"/>
      <c r="N55" s="3373"/>
      <c r="O55" s="3373"/>
      <c r="P55" s="3373"/>
      <c r="Q55" s="3373"/>
      <c r="R55" s="3373"/>
      <c r="S55" s="3373"/>
      <c r="T55" s="3373"/>
      <c r="U55" s="3373"/>
      <c r="V55" s="3373"/>
      <c r="W55" s="3373"/>
      <c r="X55" s="3373"/>
      <c r="Y55" s="3373"/>
      <c r="Z55" s="3373"/>
      <c r="AA55" s="3373"/>
      <c r="AB55" s="3373"/>
      <c r="AC55" s="3373"/>
    </row>
    <row r="56" spans="1:29">
      <c r="A56" s="3352"/>
      <c r="B56" s="3377"/>
      <c r="C56" s="3378"/>
      <c r="D56" s="3352"/>
      <c r="E56" s="3352"/>
      <c r="F56" s="3352"/>
      <c r="G56" s="3352"/>
      <c r="H56" s="3352"/>
      <c r="I56" s="3352"/>
      <c r="J56" s="3352"/>
      <c r="K56" s="3366"/>
      <c r="L56" s="3367"/>
      <c r="M56" s="3352"/>
      <c r="N56" s="3352"/>
      <c r="O56" s="3352"/>
      <c r="P56" s="3352"/>
      <c r="Q56" s="3352"/>
      <c r="R56" s="3352"/>
      <c r="S56" s="3352"/>
      <c r="T56" s="3352"/>
      <c r="U56" s="3352"/>
      <c r="V56" s="3352"/>
      <c r="W56" s="3352"/>
      <c r="X56" s="3352"/>
      <c r="Y56" s="3352"/>
      <c r="Z56" s="3352"/>
      <c r="AA56" s="3352"/>
      <c r="AB56" s="3352"/>
      <c r="AC56" s="3352"/>
    </row>
    <row r="57" spans="1:29" ht="21.75" thickBot="1">
      <c r="A57" s="3379" t="s">
        <v>3092</v>
      </c>
      <c r="B57" s="3353"/>
      <c r="C57" s="3380"/>
      <c r="D57" s="3380"/>
      <c r="E57" s="3380"/>
      <c r="F57" s="3381"/>
      <c r="G57" s="3381"/>
      <c r="H57" s="3380"/>
      <c r="I57" s="3380"/>
      <c r="J57" s="3380"/>
      <c r="K57" s="3382"/>
      <c r="L57" s="3383"/>
      <c r="M57" s="3380"/>
      <c r="N57" s="3380"/>
      <c r="O57" s="3380"/>
      <c r="P57" s="3384"/>
      <c r="Q57" s="3385"/>
      <c r="R57" s="3352"/>
      <c r="S57" s="3352"/>
      <c r="T57" s="3352"/>
      <c r="U57" s="3352"/>
      <c r="V57" s="3352"/>
      <c r="W57" s="3352"/>
      <c r="X57" s="3352"/>
      <c r="Y57" s="3352"/>
      <c r="Z57" s="3352"/>
      <c r="AA57" s="3352"/>
      <c r="AB57" s="3352"/>
      <c r="AC57" s="3352"/>
    </row>
    <row r="58" spans="1:29" s="3392" customFormat="1" ht="15">
      <c r="A58" s="3386" t="s">
        <v>3046</v>
      </c>
      <c r="B58" s="3387"/>
      <c r="C58" s="3388" t="str">
        <f>YEAR(C7)&amp;"-"&amp;MONTH(C7)</f>
        <v>2020-3</v>
      </c>
      <c r="D58" s="3389">
        <f>EDATE(C58,-1)</f>
        <v>43862</v>
      </c>
      <c r="E58" s="3389">
        <f t="shared" ref="E58:O58" si="13">EDATE(D58,-1)</f>
        <v>43831</v>
      </c>
      <c r="F58" s="3389">
        <f t="shared" si="13"/>
        <v>43800</v>
      </c>
      <c r="G58" s="3389">
        <f t="shared" si="13"/>
        <v>43770</v>
      </c>
      <c r="H58" s="3389">
        <f t="shared" si="13"/>
        <v>43739</v>
      </c>
      <c r="I58" s="3389">
        <f t="shared" si="13"/>
        <v>43709</v>
      </c>
      <c r="J58" s="3389">
        <f t="shared" si="13"/>
        <v>43678</v>
      </c>
      <c r="K58" s="3389">
        <f t="shared" si="13"/>
        <v>43647</v>
      </c>
      <c r="L58" s="3389">
        <f t="shared" si="13"/>
        <v>43617</v>
      </c>
      <c r="M58" s="3389">
        <f t="shared" si="13"/>
        <v>43586</v>
      </c>
      <c r="N58" s="3389">
        <f t="shared" si="13"/>
        <v>43556</v>
      </c>
      <c r="O58" s="3389">
        <f t="shared" si="13"/>
        <v>43525</v>
      </c>
      <c r="P58" s="3390"/>
      <c r="Q58" s="3391"/>
      <c r="R58" s="3391"/>
      <c r="S58" s="3391"/>
      <c r="T58" s="3391"/>
      <c r="U58" s="3391"/>
      <c r="V58" s="3391"/>
      <c r="W58" s="3391"/>
      <c r="X58" s="3391"/>
      <c r="Y58" s="3391"/>
      <c r="Z58" s="3391"/>
      <c r="AA58" s="3391"/>
      <c r="AB58" s="3391"/>
      <c r="AC58" s="3391"/>
    </row>
    <row r="59" spans="1:29" s="3224" customFormat="1" ht="15">
      <c r="A59" s="3393"/>
      <c r="B59" s="3394"/>
      <c r="C59" s="3395">
        <v>100</v>
      </c>
      <c r="D59" s="3396"/>
      <c r="E59" s="3396"/>
      <c r="F59" s="3396"/>
      <c r="G59" s="3396"/>
      <c r="H59" s="3396"/>
      <c r="I59" s="3396"/>
      <c r="J59" s="3396"/>
      <c r="K59" s="3396"/>
      <c r="L59" s="3396"/>
      <c r="M59" s="3397"/>
      <c r="N59" s="3396"/>
      <c r="O59" s="3398"/>
      <c r="P59" s="3385"/>
      <c r="Q59" s="3399"/>
      <c r="R59" s="3399"/>
      <c r="S59" s="3399"/>
      <c r="T59" s="3399"/>
      <c r="U59" s="3399"/>
      <c r="V59" s="3399"/>
      <c r="W59" s="3399"/>
      <c r="X59" s="3399"/>
      <c r="Y59" s="3399"/>
      <c r="Z59" s="3399"/>
      <c r="AA59" s="3399"/>
      <c r="AB59" s="3399"/>
      <c r="AC59" s="3399"/>
    </row>
    <row r="60" spans="1:29" s="3224" customFormat="1" ht="15.75" thickBot="1">
      <c r="A60" s="3400" t="s">
        <v>3093</v>
      </c>
      <c r="B60" s="3401"/>
      <c r="C60" s="3402"/>
      <c r="D60" s="3403"/>
      <c r="E60" s="3403"/>
      <c r="F60" s="3403"/>
      <c r="G60" s="3403"/>
      <c r="H60" s="3403"/>
      <c r="I60" s="3403"/>
      <c r="J60" s="3403"/>
      <c r="K60" s="3403"/>
      <c r="L60" s="3403"/>
      <c r="M60" s="3404"/>
      <c r="N60" s="3403"/>
      <c r="O60" s="3405"/>
      <c r="P60" s="3385"/>
      <c r="Q60" s="3385"/>
      <c r="R60" s="3399"/>
      <c r="S60" s="3399"/>
      <c r="T60" s="3399"/>
      <c r="U60" s="3399"/>
      <c r="V60" s="3399"/>
      <c r="W60" s="3399"/>
      <c r="X60" s="3399"/>
      <c r="Y60" s="3399"/>
      <c r="Z60" s="3399"/>
      <c r="AA60" s="3399"/>
      <c r="AB60" s="3399"/>
      <c r="AC60" s="3399"/>
    </row>
    <row r="61" spans="1:29" s="3224" customFormat="1" ht="15">
      <c r="A61" s="3406" t="s">
        <v>3050</v>
      </c>
      <c r="B61" s="3394"/>
      <c r="C61" s="3407" t="s">
        <v>3051</v>
      </c>
      <c r="D61" s="3408"/>
      <c r="E61" s="3408"/>
      <c r="F61" s="3408"/>
      <c r="G61" s="3408"/>
      <c r="H61" s="3408"/>
      <c r="I61" s="3408"/>
      <c r="J61" s="3408"/>
      <c r="K61" s="3408"/>
      <c r="L61" s="3409"/>
      <c r="M61" s="3410"/>
      <c r="N61" s="3411"/>
      <c r="O61" s="3411"/>
      <c r="P61" s="3412"/>
      <c r="Q61" s="3385"/>
      <c r="R61" s="3399"/>
      <c r="S61" s="3399"/>
      <c r="T61" s="3399"/>
      <c r="U61" s="3399"/>
      <c r="V61" s="3399"/>
      <c r="W61" s="3399"/>
      <c r="X61" s="3399"/>
      <c r="Y61" s="3399"/>
      <c r="Z61" s="3399"/>
      <c r="AA61" s="3399"/>
      <c r="AB61" s="3399"/>
      <c r="AC61" s="3399"/>
    </row>
    <row r="62" spans="1:29" s="3224" customFormat="1" ht="15.75" thickBot="1">
      <c r="A62" s="3406"/>
      <c r="B62" s="3394"/>
      <c r="C62" s="3413">
        <v>100</v>
      </c>
      <c r="D62" s="3396"/>
      <c r="E62" s="3396"/>
      <c r="F62" s="3396"/>
      <c r="G62" s="3396"/>
      <c r="H62" s="3396"/>
      <c r="I62" s="3396"/>
      <c r="J62" s="3396"/>
      <c r="K62" s="3396"/>
      <c r="L62" s="3396"/>
      <c r="M62" s="3398"/>
      <c r="N62" s="3411"/>
      <c r="O62" s="3411"/>
      <c r="P62" s="3385"/>
      <c r="Q62" s="3385"/>
      <c r="R62" s="3399"/>
      <c r="S62" s="3399"/>
      <c r="T62" s="3399"/>
      <c r="U62" s="3399"/>
      <c r="V62" s="3399"/>
      <c r="W62" s="3399"/>
      <c r="X62" s="3399"/>
      <c r="Y62" s="3399"/>
      <c r="Z62" s="3399"/>
      <c r="AA62" s="3399"/>
      <c r="AB62" s="3399"/>
      <c r="AC62" s="3414"/>
    </row>
    <row r="63" spans="1:29">
      <c r="A63" s="3415" t="s">
        <v>3094</v>
      </c>
      <c r="B63" s="3416" t="s">
        <v>3095</v>
      </c>
      <c r="C63" s="3417" t="str">
        <f>C9</f>
        <v>商业</v>
      </c>
      <c r="D63" s="3418"/>
      <c r="E63" s="3418"/>
      <c r="F63" s="3418"/>
      <c r="G63" s="3418"/>
      <c r="H63" s="3418"/>
      <c r="I63" s="3418"/>
      <c r="J63" s="3418"/>
      <c r="K63" s="3419"/>
      <c r="L63" s="3420"/>
      <c r="M63" s="3421"/>
      <c r="N63" s="3422"/>
      <c r="O63" s="3422"/>
      <c r="P63" s="3423"/>
      <c r="Q63" s="3385"/>
      <c r="R63" s="3352"/>
      <c r="S63" s="3352"/>
      <c r="T63" s="3352"/>
      <c r="U63" s="3352"/>
      <c r="V63" s="3352"/>
      <c r="W63" s="3352"/>
      <c r="X63" s="3352"/>
      <c r="Y63" s="3352"/>
      <c r="Z63" s="3352"/>
      <c r="AA63" s="3352"/>
      <c r="AB63" s="3352"/>
      <c r="AC63" s="3352"/>
    </row>
    <row r="64" spans="1:29" ht="15.75" thickBot="1">
      <c r="A64" s="3424"/>
      <c r="B64" s="3425"/>
      <c r="C64" s="3426"/>
      <c r="D64" s="3426"/>
      <c r="E64" s="3426"/>
      <c r="F64" s="3426"/>
      <c r="G64" s="3426"/>
      <c r="H64" s="3426"/>
      <c r="I64" s="3426"/>
      <c r="J64" s="3426"/>
      <c r="K64" s="3426"/>
      <c r="L64" s="3426"/>
      <c r="M64" s="3427"/>
      <c r="N64" s="3428"/>
      <c r="O64" s="3428"/>
      <c r="P64" s="3423"/>
      <c r="Q64" s="3385"/>
      <c r="R64" s="3352"/>
      <c r="S64" s="3352"/>
      <c r="T64" s="3352"/>
      <c r="U64" s="3352"/>
      <c r="V64" s="3352"/>
      <c r="W64" s="3352"/>
      <c r="X64" s="3352"/>
      <c r="Y64" s="3352"/>
      <c r="Z64" s="3352"/>
      <c r="AA64" s="3352"/>
      <c r="AB64" s="3352"/>
      <c r="AC64" s="3352"/>
    </row>
    <row r="65" spans="1:29" ht="27.75" thickTop="1">
      <c r="A65" s="3424"/>
      <c r="B65" s="3429" t="s">
        <v>3096</v>
      </c>
      <c r="C65" s="3430" t="s">
        <v>3097</v>
      </c>
      <c r="D65" s="3430" t="s">
        <v>3098</v>
      </c>
      <c r="E65" s="3430" t="s">
        <v>3099</v>
      </c>
      <c r="F65" s="3430" t="s">
        <v>3100</v>
      </c>
      <c r="G65" s="3430" t="s">
        <v>3101</v>
      </c>
      <c r="H65" s="3430" t="s">
        <v>3102</v>
      </c>
      <c r="I65" s="3430" t="s">
        <v>3103</v>
      </c>
      <c r="J65" s="3430"/>
      <c r="K65" s="3431"/>
      <c r="L65" s="3432"/>
      <c r="M65" s="3433"/>
      <c r="N65" s="3422"/>
      <c r="O65" s="3422"/>
      <c r="P65" s="3423"/>
      <c r="Q65" s="3385"/>
      <c r="R65" s="3352"/>
      <c r="S65" s="3352"/>
      <c r="T65" s="3352"/>
      <c r="U65" s="3352"/>
      <c r="V65" s="3352"/>
      <c r="W65" s="3352"/>
      <c r="X65" s="3352"/>
      <c r="Y65" s="3352"/>
      <c r="Z65" s="3352"/>
      <c r="AA65" s="3352"/>
      <c r="AB65" s="3352"/>
      <c r="AC65" s="3352"/>
    </row>
    <row r="66" spans="1:29" ht="15.75" thickBot="1">
      <c r="A66" s="3424"/>
      <c r="B66" s="3434"/>
      <c r="C66" s="3435" t="s">
        <v>3104</v>
      </c>
      <c r="D66" s="3435" t="s">
        <v>3104</v>
      </c>
      <c r="E66" s="3435" t="s">
        <v>3104</v>
      </c>
      <c r="F66" s="3435">
        <v>100</v>
      </c>
      <c r="G66" s="3435">
        <f>F66-$K10</f>
        <v>100</v>
      </c>
      <c r="H66" s="3435">
        <f>G66-$K10</f>
        <v>100</v>
      </c>
      <c r="I66" s="3435">
        <f>H66-$K10</f>
        <v>100</v>
      </c>
      <c r="J66" s="3435"/>
      <c r="K66" s="3435"/>
      <c r="L66" s="3435"/>
      <c r="M66" s="3436"/>
      <c r="N66" s="3428"/>
      <c r="O66" s="3428"/>
      <c r="P66" s="3423"/>
      <c r="Q66" s="3385"/>
      <c r="R66" s="3352"/>
      <c r="S66" s="3352"/>
      <c r="T66" s="3352"/>
      <c r="U66" s="3352"/>
      <c r="V66" s="3352"/>
      <c r="W66" s="3352"/>
      <c r="X66" s="3352"/>
      <c r="Y66" s="3352"/>
      <c r="Z66" s="3352"/>
      <c r="AA66" s="3352"/>
      <c r="AB66" s="3352"/>
      <c r="AC66" s="3352"/>
    </row>
    <row r="67" spans="1:29" ht="15.75" thickTop="1">
      <c r="A67" s="3424"/>
      <c r="B67" s="3437" t="s">
        <v>3105</v>
      </c>
      <c r="C67" s="3438" t="str">
        <f>C68&amp;"（含）"&amp;"-"&amp;D68</f>
        <v>1（含）-3</v>
      </c>
      <c r="D67" s="3438" t="str">
        <f t="shared" ref="D67:L67" si="14">D68&amp;"（含）"&amp;"-"&amp;E68</f>
        <v>3（含）-</v>
      </c>
      <c r="E67" s="3438" t="str">
        <f t="shared" si="14"/>
        <v>（含）-</v>
      </c>
      <c r="F67" s="3438" t="str">
        <f t="shared" si="14"/>
        <v>（含）-</v>
      </c>
      <c r="G67" s="3438" t="str">
        <f t="shared" si="14"/>
        <v>（含）-</v>
      </c>
      <c r="H67" s="3438" t="str">
        <f t="shared" si="14"/>
        <v>（含）-</v>
      </c>
      <c r="I67" s="3438" t="str">
        <f t="shared" si="14"/>
        <v>（含）-</v>
      </c>
      <c r="J67" s="3438" t="str">
        <f t="shared" si="14"/>
        <v>（含）-</v>
      </c>
      <c r="K67" s="3438" t="str">
        <f t="shared" si="14"/>
        <v>（含）-</v>
      </c>
      <c r="L67" s="3438" t="str">
        <f t="shared" si="14"/>
        <v>（含）-</v>
      </c>
      <c r="M67" s="3280" t="str">
        <f>M68&amp;"（含）"&amp;"-"&amp;P68</f>
        <v>（含）-</v>
      </c>
      <c r="N67" s="3428"/>
      <c r="O67" s="3428"/>
      <c r="P67" s="3423"/>
      <c r="Q67" s="3385"/>
      <c r="R67" s="3352"/>
      <c r="S67" s="3352"/>
      <c r="T67" s="3352"/>
      <c r="U67" s="3352"/>
      <c r="V67" s="3352"/>
      <c r="W67" s="3352"/>
      <c r="X67" s="3352"/>
      <c r="Y67" s="3352"/>
      <c r="Z67" s="3352"/>
      <c r="AA67" s="3352"/>
      <c r="AB67" s="3352"/>
      <c r="AC67" s="3352"/>
    </row>
    <row r="68" spans="1:29" ht="15">
      <c r="A68" s="3424"/>
      <c r="B68" s="3439"/>
      <c r="C68" s="3440">
        <v>1</v>
      </c>
      <c r="D68" s="3440">
        <v>3</v>
      </c>
      <c r="E68" s="3440"/>
      <c r="F68" s="3440"/>
      <c r="G68" s="3440"/>
      <c r="H68" s="3440"/>
      <c r="I68" s="3440"/>
      <c r="J68" s="3440"/>
      <c r="K68" s="3441"/>
      <c r="L68" s="3442"/>
      <c r="M68" s="3443"/>
      <c r="N68" s="3422"/>
      <c r="O68" s="3422"/>
      <c r="P68" s="3423"/>
      <c r="Q68" s="3385"/>
      <c r="R68" s="3352"/>
      <c r="S68" s="3352"/>
      <c r="T68" s="3352"/>
      <c r="U68" s="3352"/>
      <c r="V68" s="3352"/>
      <c r="W68" s="3352"/>
      <c r="X68" s="3352"/>
      <c r="Y68" s="3352"/>
      <c r="Z68" s="3352"/>
      <c r="AA68" s="3352"/>
      <c r="AB68" s="3352"/>
      <c r="AC68" s="3352"/>
    </row>
    <row r="69" spans="1:29" ht="15.75" thickBot="1">
      <c r="A69" s="3424"/>
      <c r="B69" s="3425"/>
      <c r="C69" s="3435">
        <v>100</v>
      </c>
      <c r="D69" s="3435">
        <f t="shared" ref="D69:M69" si="15">C69-$K11</f>
        <v>100</v>
      </c>
      <c r="E69" s="3435">
        <f t="shared" si="15"/>
        <v>100</v>
      </c>
      <c r="F69" s="3435">
        <f t="shared" si="15"/>
        <v>100</v>
      </c>
      <c r="G69" s="3435">
        <f t="shared" si="15"/>
        <v>100</v>
      </c>
      <c r="H69" s="3435">
        <f t="shared" si="15"/>
        <v>100</v>
      </c>
      <c r="I69" s="3435">
        <f t="shared" si="15"/>
        <v>100</v>
      </c>
      <c r="J69" s="3435">
        <f t="shared" si="15"/>
        <v>100</v>
      </c>
      <c r="K69" s="3435">
        <f t="shared" si="15"/>
        <v>100</v>
      </c>
      <c r="L69" s="3435">
        <f t="shared" si="15"/>
        <v>100</v>
      </c>
      <c r="M69" s="3436">
        <f t="shared" si="15"/>
        <v>100</v>
      </c>
      <c r="N69" s="3428"/>
      <c r="O69" s="3428"/>
      <c r="P69" s="3423"/>
      <c r="Q69" s="3385"/>
      <c r="R69" s="3352"/>
      <c r="S69" s="3352"/>
      <c r="T69" s="3352"/>
      <c r="U69" s="3352"/>
      <c r="V69" s="3352"/>
      <c r="W69" s="3352"/>
      <c r="X69" s="3352"/>
      <c r="Y69" s="3352"/>
      <c r="Z69" s="3352"/>
      <c r="AA69" s="3352"/>
      <c r="AB69" s="3352"/>
      <c r="AC69" s="3352"/>
    </row>
    <row r="70" spans="1:29" s="3328" customFormat="1" ht="15.75" thickTop="1">
      <c r="A70" s="3444"/>
      <c r="B70" s="3429">
        <f>B12</f>
        <v>111</v>
      </c>
      <c r="C70" s="3445"/>
      <c r="D70" s="3445"/>
      <c r="E70" s="3445"/>
      <c r="F70" s="3445"/>
      <c r="G70" s="3445"/>
      <c r="H70" s="3446"/>
      <c r="I70" s="3446"/>
      <c r="J70" s="3446"/>
      <c r="K70" s="3446"/>
      <c r="L70" s="3447"/>
      <c r="M70" s="3448"/>
      <c r="N70" s="3449"/>
      <c r="O70" s="3449"/>
      <c r="P70" s="3450"/>
      <c r="Q70" s="3451"/>
      <c r="R70" s="3452"/>
      <c r="S70" s="3452"/>
      <c r="T70" s="3452"/>
      <c r="U70" s="3452"/>
      <c r="V70" s="3452"/>
      <c r="W70" s="3452"/>
      <c r="X70" s="3452"/>
      <c r="Y70" s="3452"/>
      <c r="Z70" s="3452"/>
      <c r="AA70" s="3452"/>
      <c r="AB70" s="3452"/>
      <c r="AC70" s="3452"/>
    </row>
    <row r="71" spans="1:29" s="3328" customFormat="1" ht="15.75" thickBot="1">
      <c r="A71" s="3444"/>
      <c r="B71" s="3434"/>
      <c r="C71" s="3453"/>
      <c r="D71" s="3426"/>
      <c r="E71" s="3426"/>
      <c r="F71" s="3426"/>
      <c r="G71" s="3426"/>
      <c r="H71" s="3426"/>
      <c r="I71" s="3426"/>
      <c r="J71" s="3426"/>
      <c r="K71" s="3426"/>
      <c r="L71" s="3426"/>
      <c r="M71" s="3427"/>
      <c r="N71" s="3428"/>
      <c r="O71" s="3428"/>
      <c r="P71" s="3450"/>
      <c r="Q71" s="3451"/>
      <c r="R71" s="3452"/>
      <c r="S71" s="3452"/>
      <c r="T71" s="3452"/>
      <c r="U71" s="3452"/>
      <c r="V71" s="3452"/>
      <c r="W71" s="3452"/>
      <c r="X71" s="3452"/>
      <c r="Y71" s="3452"/>
      <c r="Z71" s="3452"/>
      <c r="AA71" s="3452"/>
      <c r="AB71" s="3452"/>
      <c r="AC71" s="3452"/>
    </row>
    <row r="72" spans="1:29" s="3328" customFormat="1" ht="15.75" thickTop="1">
      <c r="A72" s="3444"/>
      <c r="B72" s="3429">
        <f>B13</f>
        <v>111</v>
      </c>
      <c r="C72" s="3445"/>
      <c r="D72" s="3445"/>
      <c r="E72" s="3445"/>
      <c r="F72" s="3445"/>
      <c r="G72" s="3445"/>
      <c r="H72" s="3446"/>
      <c r="I72" s="3446"/>
      <c r="J72" s="3446"/>
      <c r="K72" s="3446"/>
      <c r="L72" s="3447"/>
      <c r="M72" s="3448"/>
      <c r="N72" s="3449"/>
      <c r="O72" s="3449"/>
      <c r="P72" s="3321"/>
      <c r="Q72" s="3454"/>
      <c r="R72" s="3452"/>
      <c r="S72" s="3452"/>
      <c r="T72" s="3452"/>
      <c r="U72" s="3452"/>
      <c r="V72" s="3452"/>
      <c r="W72" s="3452"/>
      <c r="X72" s="3452"/>
      <c r="Y72" s="3452"/>
      <c r="Z72" s="3452"/>
      <c r="AA72" s="3452"/>
      <c r="AB72" s="3452"/>
      <c r="AC72" s="3452"/>
    </row>
    <row r="73" spans="1:29" s="3328" customFormat="1" ht="15.75" thickBot="1">
      <c r="A73" s="3444"/>
      <c r="B73" s="3434"/>
      <c r="C73" s="3453"/>
      <c r="D73" s="3426"/>
      <c r="E73" s="3426"/>
      <c r="F73" s="3426"/>
      <c r="G73" s="3453"/>
      <c r="H73" s="3455"/>
      <c r="I73" s="3455"/>
      <c r="J73" s="3455"/>
      <c r="K73" s="3455"/>
      <c r="L73" s="3455"/>
      <c r="M73" s="3456"/>
      <c r="N73" s="3449"/>
      <c r="O73" s="3449"/>
      <c r="P73" s="3450"/>
      <c r="Q73" s="3451"/>
      <c r="R73" s="3452"/>
      <c r="S73" s="3452"/>
      <c r="T73" s="3452"/>
      <c r="U73" s="3452"/>
      <c r="V73" s="3452"/>
      <c r="W73" s="3452"/>
      <c r="X73" s="3452"/>
      <c r="Y73" s="3452"/>
      <c r="Z73" s="3452"/>
      <c r="AA73" s="3452"/>
      <c r="AB73" s="3452"/>
      <c r="AC73" s="3452"/>
    </row>
    <row r="74" spans="1:29" s="3328" customFormat="1" ht="15.75" thickTop="1">
      <c r="A74" s="3444"/>
      <c r="B74" s="3437">
        <f>B14</f>
        <v>111</v>
      </c>
      <c r="C74" s="3445"/>
      <c r="D74" s="3445"/>
      <c r="E74" s="3445"/>
      <c r="F74" s="3445"/>
      <c r="G74" s="3408"/>
      <c r="H74" s="3457"/>
      <c r="I74" s="3457"/>
      <c r="J74" s="3457"/>
      <c r="K74" s="3457"/>
      <c r="L74" s="3458"/>
      <c r="M74" s="3459"/>
      <c r="N74" s="3449"/>
      <c r="O74" s="3449"/>
      <c r="P74" s="3460"/>
      <c r="Q74" s="3451"/>
      <c r="R74" s="3452"/>
      <c r="S74" s="3452"/>
      <c r="T74" s="3452"/>
      <c r="U74" s="3452"/>
      <c r="V74" s="3452"/>
      <c r="W74" s="3452"/>
      <c r="X74" s="3452"/>
      <c r="Y74" s="3452"/>
      <c r="Z74" s="3452"/>
      <c r="AA74" s="3452"/>
      <c r="AB74" s="3452"/>
      <c r="AC74" s="3452"/>
    </row>
    <row r="75" spans="1:29" s="3328" customFormat="1" ht="15.75" thickBot="1">
      <c r="A75" s="3461"/>
      <c r="B75" s="3462"/>
      <c r="C75" s="3463"/>
      <c r="D75" s="3463"/>
      <c r="E75" s="3463"/>
      <c r="F75" s="3463"/>
      <c r="G75" s="3463"/>
      <c r="H75" s="3464"/>
      <c r="I75" s="3464"/>
      <c r="J75" s="3464"/>
      <c r="K75" s="3464"/>
      <c r="L75" s="3464"/>
      <c r="M75" s="3465"/>
      <c r="N75" s="3449"/>
      <c r="O75" s="3449"/>
      <c r="P75" s="3450"/>
      <c r="Q75" s="3451"/>
      <c r="R75" s="3452"/>
      <c r="S75" s="3452"/>
      <c r="T75" s="3452"/>
      <c r="U75" s="3452"/>
      <c r="V75" s="3452"/>
      <c r="W75" s="3452"/>
      <c r="X75" s="3452"/>
      <c r="Y75" s="3452"/>
      <c r="Z75" s="3452"/>
      <c r="AA75" s="3452"/>
      <c r="AB75" s="3452"/>
      <c r="AC75" s="3452"/>
    </row>
    <row r="76" spans="1:29">
      <c r="A76" s="3415" t="s">
        <v>3106</v>
      </c>
      <c r="B76" s="3416" t="s">
        <v>3107</v>
      </c>
      <c r="C76" s="3466" t="s">
        <v>3108</v>
      </c>
      <c r="D76" s="3466" t="s">
        <v>3109</v>
      </c>
      <c r="E76" s="3466" t="s">
        <v>3110</v>
      </c>
      <c r="F76" s="3466" t="s">
        <v>3111</v>
      </c>
      <c r="G76" s="3466" t="s">
        <v>3112</v>
      </c>
      <c r="H76" s="3417"/>
      <c r="I76" s="3417"/>
      <c r="J76" s="3417"/>
      <c r="K76" s="3467"/>
      <c r="L76" s="3468"/>
      <c r="M76" s="3469"/>
      <c r="N76" s="3422"/>
      <c r="O76" s="3422"/>
      <c r="P76" s="3470"/>
      <c r="Q76" s="3385"/>
      <c r="R76" s="3352"/>
      <c r="S76" s="3352"/>
      <c r="T76" s="3352"/>
      <c r="U76" s="3352"/>
      <c r="V76" s="3352"/>
      <c r="W76" s="3352"/>
      <c r="X76" s="3352"/>
      <c r="Y76" s="3352"/>
      <c r="Z76" s="3352"/>
      <c r="AA76" s="3352"/>
      <c r="AB76" s="3352"/>
      <c r="AC76" s="3352"/>
    </row>
    <row r="77" spans="1:29" ht="15.75" thickBot="1">
      <c r="A77" s="3424"/>
      <c r="B77" s="3434"/>
      <c r="C77" s="3435">
        <v>100</v>
      </c>
      <c r="D77" s="3435">
        <f>C77-$K15</f>
        <v>100</v>
      </c>
      <c r="E77" s="3435">
        <f>D77-$K15</f>
        <v>100</v>
      </c>
      <c r="F77" s="3435">
        <f>E77-$K15</f>
        <v>100</v>
      </c>
      <c r="G77" s="3435">
        <f>F77-$K15</f>
        <v>100</v>
      </c>
      <c r="H77" s="3435"/>
      <c r="I77" s="3435"/>
      <c r="J77" s="3435"/>
      <c r="K77" s="3435"/>
      <c r="L77" s="3435"/>
      <c r="M77" s="3436"/>
      <c r="N77" s="3428"/>
      <c r="O77" s="3428"/>
      <c r="P77" s="3423"/>
      <c r="Q77" s="3385"/>
      <c r="R77" s="3352"/>
      <c r="S77" s="3352"/>
      <c r="T77" s="3352"/>
      <c r="U77" s="3352"/>
      <c r="V77" s="3352"/>
      <c r="W77" s="3352"/>
      <c r="X77" s="3352"/>
      <c r="Y77" s="3352"/>
      <c r="Z77" s="3352"/>
      <c r="AA77" s="3352"/>
      <c r="AB77" s="3352"/>
      <c r="AC77" s="3352"/>
    </row>
    <row r="78" spans="1:29" ht="15.75" thickTop="1">
      <c r="A78" s="3424"/>
      <c r="B78" s="3429" t="s">
        <v>3113</v>
      </c>
      <c r="C78" s="3471" t="s">
        <v>3108</v>
      </c>
      <c r="D78" s="3471" t="s">
        <v>3109</v>
      </c>
      <c r="E78" s="3471" t="s">
        <v>3110</v>
      </c>
      <c r="F78" s="3471" t="s">
        <v>3111</v>
      </c>
      <c r="G78" s="3471" t="s">
        <v>3112</v>
      </c>
      <c r="H78" s="3430"/>
      <c r="I78" s="3430"/>
      <c r="J78" s="3430"/>
      <c r="K78" s="3431"/>
      <c r="L78" s="3432"/>
      <c r="M78" s="3433"/>
      <c r="N78" s="3422"/>
      <c r="O78" s="3422"/>
      <c r="P78" s="3423"/>
      <c r="Q78" s="3385"/>
      <c r="R78" s="3352"/>
      <c r="S78" s="3352"/>
      <c r="T78" s="3352"/>
      <c r="U78" s="3352"/>
      <c r="V78" s="3352"/>
      <c r="W78" s="3352"/>
      <c r="X78" s="3352"/>
      <c r="Y78" s="3352"/>
      <c r="Z78" s="3352"/>
      <c r="AA78" s="3352"/>
      <c r="AB78" s="3352"/>
      <c r="AC78" s="3352"/>
    </row>
    <row r="79" spans="1:29" ht="15.75" thickBot="1">
      <c r="A79" s="3424"/>
      <c r="B79" s="3434"/>
      <c r="C79" s="3435">
        <v>100</v>
      </c>
      <c r="D79" s="3435">
        <f>C79-$K17</f>
        <v>99</v>
      </c>
      <c r="E79" s="3435">
        <f>D79-$K17</f>
        <v>98</v>
      </c>
      <c r="F79" s="3435">
        <f>E79-$K17</f>
        <v>97</v>
      </c>
      <c r="G79" s="3435">
        <f>F79-$K17</f>
        <v>96</v>
      </c>
      <c r="H79" s="3435"/>
      <c r="I79" s="3435"/>
      <c r="J79" s="3435"/>
      <c r="K79" s="3435"/>
      <c r="L79" s="3435"/>
      <c r="M79" s="3436"/>
      <c r="N79" s="3428"/>
      <c r="O79" s="3428"/>
      <c r="P79" s="3423"/>
      <c r="Q79" s="3385"/>
      <c r="R79" s="3352"/>
      <c r="S79" s="3352"/>
      <c r="T79" s="3352"/>
      <c r="U79" s="3352"/>
      <c r="V79" s="3352"/>
      <c r="W79" s="3352"/>
      <c r="X79" s="3352"/>
      <c r="Y79" s="3352"/>
      <c r="Z79" s="3352"/>
      <c r="AA79" s="3352"/>
      <c r="AB79" s="3352"/>
      <c r="AC79" s="3352"/>
    </row>
    <row r="80" spans="1:29" ht="15.75" thickTop="1">
      <c r="A80" s="3424"/>
      <c r="B80" s="3472" t="s">
        <v>3067</v>
      </c>
      <c r="C80" s="3471" t="s">
        <v>3108</v>
      </c>
      <c r="D80" s="3471" t="s">
        <v>3109</v>
      </c>
      <c r="E80" s="3471" t="s">
        <v>3110</v>
      </c>
      <c r="F80" s="3471" t="s">
        <v>3111</v>
      </c>
      <c r="G80" s="3471" t="s">
        <v>3112</v>
      </c>
      <c r="H80" s="3430"/>
      <c r="I80" s="3430"/>
      <c r="J80" s="3430"/>
      <c r="K80" s="3431"/>
      <c r="L80" s="3432"/>
      <c r="M80" s="3433"/>
      <c r="N80" s="3422"/>
      <c r="O80" s="3422"/>
      <c r="P80" s="3423"/>
      <c r="Q80" s="3385"/>
      <c r="R80" s="3352"/>
      <c r="S80" s="3352"/>
      <c r="T80" s="3352"/>
      <c r="U80" s="3352"/>
      <c r="V80" s="3352"/>
      <c r="W80" s="3352"/>
      <c r="X80" s="3352"/>
      <c r="Y80" s="3352"/>
      <c r="Z80" s="3352"/>
      <c r="AA80" s="3352"/>
      <c r="AB80" s="3352"/>
      <c r="AC80" s="3352"/>
    </row>
    <row r="81" spans="1:29" ht="15.75" thickBot="1">
      <c r="A81" s="3424"/>
      <c r="B81" s="3434"/>
      <c r="C81" s="3435">
        <v>100</v>
      </c>
      <c r="D81" s="3435">
        <f>C81-$K19</f>
        <v>100</v>
      </c>
      <c r="E81" s="3435">
        <f>D81-$K19</f>
        <v>100</v>
      </c>
      <c r="F81" s="3435">
        <f>E81-$K19</f>
        <v>100</v>
      </c>
      <c r="G81" s="3435">
        <f>F81-$K19</f>
        <v>100</v>
      </c>
      <c r="H81" s="3435"/>
      <c r="I81" s="3435"/>
      <c r="J81" s="3435"/>
      <c r="K81" s="3435"/>
      <c r="L81" s="3435"/>
      <c r="M81" s="3436"/>
      <c r="N81" s="3428"/>
      <c r="O81" s="3428"/>
      <c r="P81" s="3423"/>
      <c r="Q81" s="3385"/>
      <c r="R81" s="3352"/>
      <c r="S81" s="3352"/>
      <c r="T81" s="3352"/>
      <c r="U81" s="3352"/>
      <c r="V81" s="3352"/>
      <c r="W81" s="3352"/>
      <c r="X81" s="3352"/>
      <c r="Y81" s="3352"/>
      <c r="Z81" s="3352"/>
      <c r="AA81" s="3352"/>
      <c r="AB81" s="3352"/>
      <c r="AC81" s="3352"/>
    </row>
    <row r="82" spans="1:29" ht="15.75" thickTop="1">
      <c r="A82" s="3424"/>
      <c r="B82" s="3473" t="s">
        <v>3068</v>
      </c>
      <c r="C82" s="3474" t="s">
        <v>3114</v>
      </c>
      <c r="D82" s="3474" t="s">
        <v>3115</v>
      </c>
      <c r="E82" s="3474" t="s">
        <v>3116</v>
      </c>
      <c r="F82" s="3474" t="s">
        <v>3117</v>
      </c>
      <c r="G82" s="3474" t="s">
        <v>3118</v>
      </c>
      <c r="H82" s="3430"/>
      <c r="I82" s="3430"/>
      <c r="J82" s="3430"/>
      <c r="K82" s="3430"/>
      <c r="L82" s="3430"/>
      <c r="M82" s="3475"/>
      <c r="N82" s="3428"/>
      <c r="O82" s="3428"/>
      <c r="P82" s="3423"/>
      <c r="Q82" s="3385"/>
      <c r="R82" s="3352"/>
      <c r="S82" s="3352"/>
      <c r="T82" s="3352"/>
      <c r="U82" s="3352"/>
      <c r="V82" s="3352"/>
      <c r="W82" s="3352"/>
      <c r="X82" s="3352"/>
      <c r="Y82" s="3352"/>
      <c r="Z82" s="3352"/>
      <c r="AA82" s="3352"/>
      <c r="AB82" s="3352"/>
      <c r="AC82" s="3352"/>
    </row>
    <row r="83" spans="1:29" ht="15.75" thickBot="1">
      <c r="A83" s="3424"/>
      <c r="B83" s="3437"/>
      <c r="C83" s="3435">
        <v>100</v>
      </c>
      <c r="D83" s="3435">
        <f>C83-$K21</f>
        <v>100</v>
      </c>
      <c r="E83" s="3435">
        <f>D83-$K21</f>
        <v>100</v>
      </c>
      <c r="F83" s="3435">
        <f>E83-$K21</f>
        <v>100</v>
      </c>
      <c r="G83" s="3435">
        <f>F83-$K21</f>
        <v>100</v>
      </c>
      <c r="H83" s="3476"/>
      <c r="I83" s="3476"/>
      <c r="J83" s="3476"/>
      <c r="K83" s="3476"/>
      <c r="L83" s="3476"/>
      <c r="M83" s="3282"/>
      <c r="N83" s="3428"/>
      <c r="O83" s="3428"/>
      <c r="P83" s="3423"/>
      <c r="Q83" s="3385"/>
      <c r="R83" s="3352"/>
      <c r="S83" s="3352"/>
      <c r="T83" s="3352"/>
      <c r="U83" s="3352"/>
      <c r="V83" s="3352"/>
      <c r="W83" s="3352"/>
      <c r="X83" s="3352"/>
      <c r="Y83" s="3352"/>
      <c r="Z83" s="3352"/>
      <c r="AA83" s="3352"/>
      <c r="AB83" s="3352"/>
      <c r="AC83" s="3352"/>
    </row>
    <row r="84" spans="1:29" ht="15.75" thickTop="1">
      <c r="A84" s="3424"/>
      <c r="B84" s="3429" t="s">
        <v>3119</v>
      </c>
      <c r="C84" s="3471" t="s">
        <v>3108</v>
      </c>
      <c r="D84" s="3471" t="s">
        <v>3109</v>
      </c>
      <c r="E84" s="3471" t="s">
        <v>3110</v>
      </c>
      <c r="F84" s="3471" t="s">
        <v>3111</v>
      </c>
      <c r="G84" s="3471" t="s">
        <v>3112</v>
      </c>
      <c r="H84" s="3430"/>
      <c r="I84" s="3430"/>
      <c r="J84" s="3430"/>
      <c r="K84" s="3431"/>
      <c r="L84" s="3432"/>
      <c r="M84" s="3433"/>
      <c r="N84" s="3422"/>
      <c r="O84" s="3422"/>
      <c r="P84" s="3423"/>
      <c r="Q84" s="3385"/>
      <c r="R84" s="3352"/>
      <c r="S84" s="3352"/>
      <c r="T84" s="3352"/>
      <c r="U84" s="3352"/>
      <c r="V84" s="3352"/>
      <c r="W84" s="3352"/>
      <c r="X84" s="3352"/>
      <c r="Y84" s="3352"/>
      <c r="Z84" s="3352"/>
      <c r="AA84" s="3352"/>
      <c r="AB84" s="3352"/>
      <c r="AC84" s="3352"/>
    </row>
    <row r="85" spans="1:29" ht="15.75" thickBot="1">
      <c r="A85" s="3424"/>
      <c r="B85" s="3434"/>
      <c r="C85" s="3435">
        <v>100</v>
      </c>
      <c r="D85" s="3435">
        <f>C85-$K23</f>
        <v>100</v>
      </c>
      <c r="E85" s="3435">
        <f>D85-$K23</f>
        <v>100</v>
      </c>
      <c r="F85" s="3435">
        <f>E85-$K23</f>
        <v>100</v>
      </c>
      <c r="G85" s="3435">
        <f>F85-$K23</f>
        <v>100</v>
      </c>
      <c r="H85" s="3435"/>
      <c r="I85" s="3435"/>
      <c r="J85" s="3435"/>
      <c r="K85" s="3435"/>
      <c r="L85" s="3435"/>
      <c r="M85" s="3436"/>
      <c r="N85" s="3428"/>
      <c r="O85" s="3428"/>
      <c r="P85" s="3423"/>
      <c r="Q85" s="3385"/>
      <c r="R85" s="3352"/>
      <c r="S85" s="3352"/>
      <c r="T85" s="3352"/>
      <c r="U85" s="3352"/>
      <c r="V85" s="3352"/>
      <c r="W85" s="3352"/>
      <c r="X85" s="3352"/>
      <c r="Y85" s="3352"/>
      <c r="Z85" s="3352"/>
      <c r="AA85" s="3352"/>
      <c r="AB85" s="3352"/>
      <c r="AC85" s="3352"/>
    </row>
    <row r="86" spans="1:29" s="3224" customFormat="1" ht="15.75" thickTop="1">
      <c r="A86" s="3477"/>
      <c r="B86" s="3429" t="s">
        <v>3070</v>
      </c>
      <c r="C86" s="3478" t="s">
        <v>3120</v>
      </c>
      <c r="D86" s="3445"/>
      <c r="E86" s="3445"/>
      <c r="F86" s="3445"/>
      <c r="G86" s="3445"/>
      <c r="H86" s="3445"/>
      <c r="I86" s="3445"/>
      <c r="J86" s="3445"/>
      <c r="K86" s="3445"/>
      <c r="L86" s="3479"/>
      <c r="M86" s="3480"/>
      <c r="N86" s="3411"/>
      <c r="O86" s="3411"/>
      <c r="P86" s="3423"/>
      <c r="Q86" s="3385"/>
      <c r="R86" s="3399"/>
      <c r="S86" s="3399"/>
      <c r="T86" s="3399"/>
      <c r="U86" s="3399"/>
      <c r="V86" s="3399"/>
      <c r="W86" s="3399"/>
      <c r="X86" s="3399"/>
      <c r="Y86" s="3399"/>
      <c r="Z86" s="3399"/>
      <c r="AA86" s="3399"/>
      <c r="AB86" s="3399"/>
      <c r="AC86" s="3399"/>
    </row>
    <row r="87" spans="1:29" s="3224" customFormat="1" ht="15.75" thickBot="1">
      <c r="A87" s="3477"/>
      <c r="B87" s="3434"/>
      <c r="C87" s="3481">
        <v>100</v>
      </c>
      <c r="D87" s="3435">
        <f t="shared" ref="D87:M87" si="16">C87-$K25</f>
        <v>100</v>
      </c>
      <c r="E87" s="3435">
        <f t="shared" si="16"/>
        <v>100</v>
      </c>
      <c r="F87" s="3435">
        <f t="shared" si="16"/>
        <v>100</v>
      </c>
      <c r="G87" s="3435">
        <f t="shared" si="16"/>
        <v>100</v>
      </c>
      <c r="H87" s="3435">
        <f t="shared" si="16"/>
        <v>100</v>
      </c>
      <c r="I87" s="3435">
        <f t="shared" si="16"/>
        <v>100</v>
      </c>
      <c r="J87" s="3435">
        <f t="shared" si="16"/>
        <v>100</v>
      </c>
      <c r="K87" s="3435">
        <f t="shared" si="16"/>
        <v>100</v>
      </c>
      <c r="L87" s="3435">
        <f t="shared" si="16"/>
        <v>100</v>
      </c>
      <c r="M87" s="3435">
        <f t="shared" si="16"/>
        <v>100</v>
      </c>
      <c r="N87" s="3428"/>
      <c r="O87" s="3428"/>
      <c r="P87" s="3423"/>
      <c r="Q87" s="3385"/>
      <c r="R87" s="3399"/>
      <c r="S87" s="3399"/>
      <c r="T87" s="3399"/>
      <c r="U87" s="3399"/>
      <c r="V87" s="3399"/>
      <c r="W87" s="3399"/>
      <c r="X87" s="3399"/>
      <c r="Y87" s="3399"/>
      <c r="Z87" s="3399"/>
      <c r="AA87" s="3399"/>
      <c r="AB87" s="3399"/>
      <c r="AC87" s="3399"/>
    </row>
    <row r="88" spans="1:29" s="3224" customFormat="1" ht="15.75" thickTop="1">
      <c r="A88" s="3477"/>
      <c r="B88" s="3429" t="str">
        <f>B26</f>
        <v>平面位置/可视性</v>
      </c>
      <c r="C88" s="3478" t="s">
        <v>3121</v>
      </c>
      <c r="D88" s="3445"/>
      <c r="E88" s="3445"/>
      <c r="F88" s="3482"/>
      <c r="G88" s="3445"/>
      <c r="H88" s="3445"/>
      <c r="I88" s="3445"/>
      <c r="J88" s="3445"/>
      <c r="K88" s="3445"/>
      <c r="L88" s="3445"/>
      <c r="M88" s="3480"/>
      <c r="N88" s="3411"/>
      <c r="O88" s="3411"/>
      <c r="P88" s="3423"/>
      <c r="Q88" s="3385"/>
      <c r="R88" s="3399"/>
      <c r="S88" s="3399"/>
      <c r="T88" s="3399"/>
      <c r="U88" s="3399"/>
      <c r="V88" s="3399"/>
      <c r="W88" s="3399"/>
      <c r="X88" s="3399"/>
      <c r="Y88" s="3399"/>
      <c r="Z88" s="3399"/>
      <c r="AA88" s="3399"/>
      <c r="AB88" s="3399"/>
      <c r="AC88" s="3399"/>
    </row>
    <row r="89" spans="1:29" s="3224" customFormat="1" ht="15.75" thickBot="1">
      <c r="A89" s="3477"/>
      <c r="B89" s="3434"/>
      <c r="C89" s="3453">
        <v>100</v>
      </c>
      <c r="D89" s="3426"/>
      <c r="E89" s="3426"/>
      <c r="F89" s="3426"/>
      <c r="G89" s="3426"/>
      <c r="H89" s="3426"/>
      <c r="I89" s="3426"/>
      <c r="J89" s="3426"/>
      <c r="K89" s="3426"/>
      <c r="L89" s="3426"/>
      <c r="M89" s="3426"/>
      <c r="N89" s="3428"/>
      <c r="O89" s="3428"/>
      <c r="P89" s="3423"/>
      <c r="Q89" s="3385"/>
      <c r="R89" s="3399"/>
      <c r="S89" s="3399"/>
      <c r="T89" s="3399"/>
      <c r="U89" s="3399"/>
      <c r="V89" s="3399"/>
      <c r="W89" s="3399"/>
      <c r="X89" s="3399"/>
      <c r="Y89" s="3399"/>
      <c r="Z89" s="3399"/>
      <c r="AA89" s="3399"/>
      <c r="AB89" s="3399"/>
      <c r="AC89" s="3399"/>
    </row>
    <row r="90" spans="1:29" s="3328" customFormat="1" ht="15.75" thickTop="1">
      <c r="A90" s="3444"/>
      <c r="B90" s="3429" t="str">
        <f>B27</f>
        <v>人流量</v>
      </c>
      <c r="C90" s="3478" t="s">
        <v>3122</v>
      </c>
      <c r="D90" s="3445"/>
      <c r="E90" s="3445"/>
      <c r="F90" s="3445"/>
      <c r="G90" s="3445"/>
      <c r="H90" s="3446"/>
      <c r="I90" s="3446"/>
      <c r="J90" s="3446"/>
      <c r="K90" s="3446"/>
      <c r="L90" s="3447"/>
      <c r="M90" s="3448"/>
      <c r="N90" s="3449"/>
      <c r="O90" s="3449"/>
      <c r="P90" s="3450"/>
      <c r="Q90" s="3451"/>
      <c r="R90" s="3452"/>
      <c r="S90" s="3452"/>
      <c r="T90" s="3452"/>
      <c r="U90" s="3452"/>
      <c r="V90" s="3452"/>
      <c r="W90" s="3452"/>
      <c r="X90" s="3452"/>
      <c r="Y90" s="3452"/>
      <c r="Z90" s="3452"/>
      <c r="AA90" s="3452"/>
      <c r="AB90" s="3452"/>
      <c r="AC90" s="3452"/>
    </row>
    <row r="91" spans="1:29" s="3328" customFormat="1" ht="15.75" thickBot="1">
      <c r="A91" s="3444"/>
      <c r="B91" s="3434"/>
      <c r="C91" s="3481">
        <v>100</v>
      </c>
      <c r="D91" s="3435">
        <f>C91-$K27</f>
        <v>100</v>
      </c>
      <c r="E91" s="3435">
        <f t="shared" ref="E91:M91" si="17">D91-$K27</f>
        <v>100</v>
      </c>
      <c r="F91" s="3435">
        <f t="shared" si="17"/>
        <v>100</v>
      </c>
      <c r="G91" s="3435">
        <f t="shared" si="17"/>
        <v>100</v>
      </c>
      <c r="H91" s="3435">
        <f t="shared" si="17"/>
        <v>100</v>
      </c>
      <c r="I91" s="3435">
        <f t="shared" si="17"/>
        <v>100</v>
      </c>
      <c r="J91" s="3435">
        <f t="shared" si="17"/>
        <v>100</v>
      </c>
      <c r="K91" s="3435">
        <f t="shared" si="17"/>
        <v>100</v>
      </c>
      <c r="L91" s="3435">
        <f t="shared" si="17"/>
        <v>100</v>
      </c>
      <c r="M91" s="3435">
        <f t="shared" si="17"/>
        <v>100</v>
      </c>
      <c r="N91" s="3449"/>
      <c r="O91" s="3449"/>
      <c r="P91" s="3450"/>
      <c r="Q91" s="3451"/>
      <c r="R91" s="3452"/>
      <c r="S91" s="3452"/>
      <c r="T91" s="3452"/>
      <c r="U91" s="3452"/>
      <c r="V91" s="3452"/>
      <c r="W91" s="3452"/>
      <c r="X91" s="3452"/>
      <c r="Y91" s="3452"/>
      <c r="Z91" s="3452"/>
      <c r="AA91" s="3452"/>
      <c r="AB91" s="3452"/>
      <c r="AC91" s="3452"/>
    </row>
    <row r="92" spans="1:29" ht="15.75" thickTop="1">
      <c r="A92" s="3424"/>
      <c r="B92" s="3429" t="str">
        <f>B28</f>
        <v>楼层</v>
      </c>
      <c r="C92" s="3445"/>
      <c r="D92" s="3445"/>
      <c r="E92" s="3445"/>
      <c r="F92" s="3445"/>
      <c r="G92" s="3445"/>
      <c r="H92" s="3445"/>
      <c r="I92" s="3445"/>
      <c r="J92" s="3445"/>
      <c r="K92" s="3445"/>
      <c r="L92" s="3479"/>
      <c r="M92" s="3480"/>
      <c r="N92" s="3422"/>
      <c r="O92" s="3422"/>
      <c r="P92" s="3423"/>
      <c r="Q92" s="3385"/>
      <c r="R92" s="3352"/>
      <c r="S92" s="3352"/>
      <c r="T92" s="3352"/>
      <c r="U92" s="3352"/>
      <c r="V92" s="3352"/>
      <c r="W92" s="3352"/>
      <c r="X92" s="3352"/>
      <c r="Y92" s="3352"/>
      <c r="Z92" s="3352"/>
      <c r="AA92" s="3352"/>
      <c r="AB92" s="3352"/>
      <c r="AC92" s="3352"/>
    </row>
    <row r="93" spans="1:29" ht="15.75" thickBot="1">
      <c r="A93" s="3424"/>
      <c r="B93" s="3434"/>
      <c r="C93" s="3426"/>
      <c r="D93" s="3426"/>
      <c r="E93" s="3426"/>
      <c r="F93" s="3426"/>
      <c r="G93" s="3426"/>
      <c r="H93" s="3426"/>
      <c r="I93" s="3426"/>
      <c r="J93" s="3426"/>
      <c r="K93" s="3426"/>
      <c r="L93" s="3426"/>
      <c r="M93" s="3427"/>
      <c r="N93" s="3428"/>
      <c r="O93" s="3428"/>
      <c r="P93" s="3423"/>
      <c r="Q93" s="3385"/>
      <c r="R93" s="3352"/>
      <c r="S93" s="3352"/>
      <c r="T93" s="3352"/>
      <c r="U93" s="3352"/>
      <c r="V93" s="3352"/>
      <c r="W93" s="3352"/>
      <c r="X93" s="3352"/>
      <c r="Y93" s="3352"/>
      <c r="Z93" s="3352"/>
      <c r="AA93" s="3352"/>
      <c r="AB93" s="3352"/>
      <c r="AC93" s="3352"/>
    </row>
    <row r="94" spans="1:29" ht="15.75" thickTop="1">
      <c r="A94" s="3424"/>
      <c r="B94" s="3429">
        <f>B29</f>
        <v>111</v>
      </c>
      <c r="C94" s="3445"/>
      <c r="D94" s="3445"/>
      <c r="E94" s="3445"/>
      <c r="F94" s="3445"/>
      <c r="G94" s="3483"/>
      <c r="H94" s="3483"/>
      <c r="I94" s="3483"/>
      <c r="J94" s="3483"/>
      <c r="K94" s="3484"/>
      <c r="L94" s="3485"/>
      <c r="M94" s="3486"/>
      <c r="N94" s="3422"/>
      <c r="O94" s="3422"/>
      <c r="P94" s="3423"/>
      <c r="Q94" s="3385"/>
      <c r="R94" s="3352"/>
      <c r="S94" s="3352"/>
      <c r="T94" s="3352"/>
      <c r="U94" s="3352"/>
      <c r="V94" s="3352"/>
      <c r="W94" s="3352"/>
      <c r="X94" s="3352"/>
      <c r="Y94" s="3352"/>
      <c r="Z94" s="3352"/>
      <c r="AA94" s="3352"/>
      <c r="AB94" s="3352"/>
      <c r="AC94" s="3352"/>
    </row>
    <row r="95" spans="1:29" ht="15.75" thickBot="1">
      <c r="A95" s="3424"/>
      <c r="B95" s="3434"/>
      <c r="C95" s="3453"/>
      <c r="D95" s="3426"/>
      <c r="E95" s="3426"/>
      <c r="F95" s="3426"/>
      <c r="G95" s="3426"/>
      <c r="H95" s="3426"/>
      <c r="I95" s="3426"/>
      <c r="J95" s="3426"/>
      <c r="K95" s="3426"/>
      <c r="L95" s="3426"/>
      <c r="M95" s="3427"/>
      <c r="N95" s="3428"/>
      <c r="O95" s="3428"/>
      <c r="P95" s="3423"/>
      <c r="Q95" s="3385"/>
      <c r="R95" s="3352"/>
      <c r="S95" s="3352"/>
      <c r="T95" s="3352"/>
      <c r="U95" s="3352"/>
      <c r="V95" s="3352"/>
      <c r="W95" s="3352"/>
      <c r="X95" s="3352"/>
      <c r="Y95" s="3352"/>
      <c r="Z95" s="3352"/>
      <c r="AA95" s="3352"/>
      <c r="AB95" s="3352"/>
      <c r="AC95" s="3352"/>
    </row>
    <row r="96" spans="1:29" ht="15.75" thickTop="1">
      <c r="A96" s="3424"/>
      <c r="B96" s="3429">
        <f>B30</f>
        <v>111</v>
      </c>
      <c r="C96" s="3445"/>
      <c r="D96" s="3445"/>
      <c r="E96" s="3445"/>
      <c r="F96" s="3445"/>
      <c r="G96" s="3483"/>
      <c r="H96" s="3483"/>
      <c r="I96" s="3483"/>
      <c r="J96" s="3483"/>
      <c r="K96" s="3484"/>
      <c r="L96" s="3485"/>
      <c r="M96" s="3486"/>
      <c r="N96" s="3422"/>
      <c r="O96" s="3422"/>
      <c r="P96" s="3423"/>
      <c r="Q96" s="3385"/>
      <c r="R96" s="3352"/>
      <c r="S96" s="3352"/>
      <c r="T96" s="3352"/>
      <c r="U96" s="3352"/>
      <c r="V96" s="3352"/>
      <c r="W96" s="3352"/>
      <c r="X96" s="3352"/>
      <c r="Y96" s="3352"/>
      <c r="Z96" s="3352"/>
      <c r="AA96" s="3352"/>
      <c r="AB96" s="3352"/>
      <c r="AC96" s="3352"/>
    </row>
    <row r="97" spans="1:29" ht="15.75" thickBot="1">
      <c r="A97" s="3424"/>
      <c r="B97" s="3434"/>
      <c r="C97" s="3453"/>
      <c r="D97" s="3426"/>
      <c r="E97" s="3426"/>
      <c r="F97" s="3426"/>
      <c r="G97" s="3426"/>
      <c r="H97" s="3426"/>
      <c r="I97" s="3426"/>
      <c r="J97" s="3426"/>
      <c r="K97" s="3426"/>
      <c r="L97" s="3426"/>
      <c r="M97" s="3427"/>
      <c r="N97" s="3428"/>
      <c r="O97" s="3428"/>
      <c r="P97" s="3423"/>
      <c r="Q97" s="3385"/>
      <c r="R97" s="3352"/>
      <c r="S97" s="3352"/>
      <c r="T97" s="3352"/>
      <c r="U97" s="3352"/>
      <c r="V97" s="3352"/>
      <c r="W97" s="3352"/>
      <c r="X97" s="3352"/>
      <c r="Y97" s="3352"/>
      <c r="Z97" s="3352"/>
      <c r="AA97" s="3352"/>
      <c r="AB97" s="3352"/>
      <c r="AC97" s="3352"/>
    </row>
    <row r="98" spans="1:29" ht="15.75" thickTop="1">
      <c r="A98" s="3424"/>
      <c r="B98" s="3437">
        <f>B31</f>
        <v>111</v>
      </c>
      <c r="C98" s="3445"/>
      <c r="D98" s="3445"/>
      <c r="E98" s="3445"/>
      <c r="F98" s="3445"/>
      <c r="G98" s="3487"/>
      <c r="H98" s="3487"/>
      <c r="I98" s="3487"/>
      <c r="J98" s="3487"/>
      <c r="K98" s="3488"/>
      <c r="L98" s="3489"/>
      <c r="M98" s="3490"/>
      <c r="N98" s="3422"/>
      <c r="O98" s="3422"/>
      <c r="P98" s="3423"/>
      <c r="Q98" s="3385"/>
      <c r="R98" s="3352"/>
      <c r="S98" s="3352"/>
      <c r="T98" s="3352"/>
      <c r="U98" s="3352"/>
      <c r="V98" s="3352"/>
      <c r="W98" s="3352"/>
      <c r="X98" s="3352"/>
      <c r="Y98" s="3352"/>
      <c r="Z98" s="3352"/>
      <c r="AA98" s="3352"/>
      <c r="AB98" s="3352"/>
      <c r="AC98" s="3352"/>
    </row>
    <row r="99" spans="1:29" ht="15.75" thickBot="1">
      <c r="A99" s="3491"/>
      <c r="B99" s="3462"/>
      <c r="C99" s="3463"/>
      <c r="D99" s="3463"/>
      <c r="E99" s="3463"/>
      <c r="F99" s="3463"/>
      <c r="G99" s="3492"/>
      <c r="H99" s="3492"/>
      <c r="I99" s="3492"/>
      <c r="J99" s="3492"/>
      <c r="K99" s="3492"/>
      <c r="L99" s="3492"/>
      <c r="M99" s="3493"/>
      <c r="N99" s="3428"/>
      <c r="O99" s="3428"/>
      <c r="P99" s="3423"/>
      <c r="Q99" s="3385"/>
      <c r="R99" s="3352"/>
      <c r="S99" s="3352"/>
      <c r="T99" s="3352"/>
      <c r="U99" s="3352"/>
      <c r="V99" s="3352"/>
      <c r="W99" s="3352"/>
      <c r="X99" s="3352"/>
      <c r="Y99" s="3352"/>
      <c r="Z99" s="3352"/>
      <c r="AA99" s="3352"/>
      <c r="AB99" s="3352"/>
      <c r="AC99" s="3352"/>
    </row>
    <row r="100" spans="1:29">
      <c r="A100" s="3415" t="s">
        <v>3123</v>
      </c>
      <c r="B100" s="3416" t="s">
        <v>3124</v>
      </c>
      <c r="C100" s="3494" t="s">
        <v>3125</v>
      </c>
      <c r="D100" s="3418"/>
      <c r="E100" s="3418"/>
      <c r="F100" s="3418"/>
      <c r="G100" s="3418"/>
      <c r="H100" s="3418"/>
      <c r="I100" s="3418"/>
      <c r="J100" s="3418"/>
      <c r="K100" s="3419"/>
      <c r="L100" s="3420"/>
      <c r="M100" s="3421"/>
      <c r="N100" s="3422"/>
      <c r="O100" s="3422"/>
      <c r="P100" s="3423"/>
      <c r="Q100" s="3385"/>
      <c r="R100" s="3352"/>
      <c r="S100" s="3352"/>
      <c r="T100" s="3352"/>
      <c r="U100" s="3352"/>
      <c r="V100" s="3352"/>
      <c r="W100" s="3352"/>
      <c r="X100" s="3352"/>
      <c r="Y100" s="3352"/>
      <c r="Z100" s="3352"/>
      <c r="AA100" s="3352"/>
      <c r="AB100" s="3352"/>
      <c r="AC100" s="3352"/>
    </row>
    <row r="101" spans="1:29" ht="15.75" thickBot="1">
      <c r="A101" s="3424"/>
      <c r="B101" s="3434"/>
      <c r="C101" s="3435">
        <v>100</v>
      </c>
      <c r="D101" s="3435">
        <f t="shared" ref="D101:M101" si="18">C101-$K32</f>
        <v>100</v>
      </c>
      <c r="E101" s="3435">
        <f t="shared" si="18"/>
        <v>100</v>
      </c>
      <c r="F101" s="3435">
        <f t="shared" si="18"/>
        <v>100</v>
      </c>
      <c r="G101" s="3435">
        <f t="shared" si="18"/>
        <v>100</v>
      </c>
      <c r="H101" s="3435">
        <f t="shared" si="18"/>
        <v>100</v>
      </c>
      <c r="I101" s="3435">
        <f t="shared" si="18"/>
        <v>100</v>
      </c>
      <c r="J101" s="3435">
        <f t="shared" si="18"/>
        <v>100</v>
      </c>
      <c r="K101" s="3435">
        <f t="shared" si="18"/>
        <v>100</v>
      </c>
      <c r="L101" s="3435">
        <f t="shared" si="18"/>
        <v>100</v>
      </c>
      <c r="M101" s="3436">
        <f t="shared" si="18"/>
        <v>100</v>
      </c>
      <c r="N101" s="3428"/>
      <c r="O101" s="3428"/>
      <c r="P101" s="3423"/>
      <c r="Q101" s="3385"/>
      <c r="R101" s="3352"/>
      <c r="S101" s="3352"/>
      <c r="T101" s="3352"/>
      <c r="U101" s="3352"/>
      <c r="V101" s="3352"/>
      <c r="W101" s="3352"/>
      <c r="X101" s="3352"/>
      <c r="Y101" s="3352"/>
      <c r="Z101" s="3352"/>
      <c r="AA101" s="3352"/>
      <c r="AB101" s="3352"/>
      <c r="AC101" s="3352"/>
    </row>
    <row r="102" spans="1:29" ht="15.75" thickTop="1">
      <c r="A102" s="3424"/>
      <c r="B102" s="3429" t="s">
        <v>3126</v>
      </c>
      <c r="C102" s="3471" t="str">
        <f>C103&amp;"(含)"&amp;"-"&amp;D103</f>
        <v>0(含)-200</v>
      </c>
      <c r="D102" s="3471" t="str">
        <f t="shared" ref="D102:L102" si="19">D103&amp;"(含)"&amp;"-"&amp;E103</f>
        <v>200(含)-</v>
      </c>
      <c r="E102" s="3471" t="str">
        <f t="shared" si="19"/>
        <v>(含)-</v>
      </c>
      <c r="F102" s="3471" t="str">
        <f t="shared" si="19"/>
        <v>(含)-</v>
      </c>
      <c r="G102" s="3471" t="str">
        <f t="shared" si="19"/>
        <v>(含)-</v>
      </c>
      <c r="H102" s="3471" t="str">
        <f t="shared" si="19"/>
        <v>(含)-</v>
      </c>
      <c r="I102" s="3471" t="str">
        <f t="shared" si="19"/>
        <v>(含)-</v>
      </c>
      <c r="J102" s="3471" t="str">
        <f t="shared" si="19"/>
        <v>(含)-</v>
      </c>
      <c r="K102" s="3471" t="str">
        <f t="shared" si="19"/>
        <v>(含)-</v>
      </c>
      <c r="L102" s="3471" t="str">
        <f t="shared" si="19"/>
        <v>(含)-</v>
      </c>
      <c r="M102" s="3495" t="str">
        <f>M103&amp;"(含)"&amp;"-"&amp;P103</f>
        <v>(含)-</v>
      </c>
      <c r="N102" s="3411"/>
      <c r="O102" s="3411"/>
      <c r="P102" s="3423"/>
      <c r="Q102" s="3385"/>
      <c r="R102" s="3352"/>
      <c r="S102" s="3352"/>
      <c r="T102" s="3352"/>
      <c r="U102" s="3352"/>
      <c r="V102" s="3352"/>
      <c r="W102" s="3352"/>
      <c r="X102" s="3352"/>
      <c r="Y102" s="3352"/>
      <c r="Z102" s="3352"/>
      <c r="AA102" s="3352"/>
      <c r="AB102" s="3352"/>
      <c r="AC102" s="3352"/>
    </row>
    <row r="103" spans="1:29" s="3328" customFormat="1">
      <c r="A103" s="3496"/>
      <c r="B103" s="3497"/>
      <c r="C103" s="3498">
        <v>0</v>
      </c>
      <c r="D103" s="3498">
        <v>200</v>
      </c>
      <c r="E103" s="3498"/>
      <c r="F103" s="3498"/>
      <c r="G103" s="3498"/>
      <c r="H103" s="3498"/>
      <c r="I103" s="3498"/>
      <c r="J103" s="3499"/>
      <c r="K103" s="3499"/>
      <c r="L103" s="3500"/>
      <c r="M103" s="3501"/>
      <c r="N103" s="3449"/>
      <c r="O103" s="3449"/>
      <c r="P103" s="3450"/>
      <c r="Q103" s="3451"/>
      <c r="R103" s="3452"/>
      <c r="S103" s="3452"/>
      <c r="T103" s="3452"/>
      <c r="U103" s="3452"/>
      <c r="V103" s="3452"/>
      <c r="W103" s="3452"/>
      <c r="X103" s="3452"/>
      <c r="Y103" s="3452"/>
      <c r="Z103" s="3452"/>
      <c r="AA103" s="3452"/>
      <c r="AB103" s="3452"/>
      <c r="AC103" s="3452"/>
    </row>
    <row r="104" spans="1:29" s="3328" customFormat="1" ht="15.75" thickBot="1">
      <c r="A104" s="3444"/>
      <c r="B104" s="3434"/>
      <c r="C104" s="3453"/>
      <c r="D104" s="3426"/>
      <c r="E104" s="3426"/>
      <c r="F104" s="3426"/>
      <c r="G104" s="3426"/>
      <c r="H104" s="3426"/>
      <c r="I104" s="3426"/>
      <c r="J104" s="3426"/>
      <c r="K104" s="3426"/>
      <c r="L104" s="3426"/>
      <c r="M104" s="3427"/>
      <c r="N104" s="3428"/>
      <c r="O104" s="3428"/>
      <c r="P104" s="3450"/>
      <c r="Q104" s="3451"/>
      <c r="R104" s="3452"/>
      <c r="S104" s="3452"/>
      <c r="T104" s="3452"/>
      <c r="U104" s="3452"/>
      <c r="V104" s="3452"/>
      <c r="W104" s="3452"/>
      <c r="X104" s="3452"/>
      <c r="Y104" s="3452"/>
      <c r="Z104" s="3452"/>
      <c r="AA104" s="3452"/>
      <c r="AB104" s="3452"/>
      <c r="AC104" s="3452"/>
    </row>
    <row r="105" spans="1:29" ht="15" thickTop="1">
      <c r="A105" s="3502"/>
      <c r="B105" s="3429" t="s">
        <v>3127</v>
      </c>
      <c r="C105" s="3478" t="s">
        <v>3128</v>
      </c>
      <c r="D105" s="3445"/>
      <c r="E105" s="3483"/>
      <c r="F105" s="3483"/>
      <c r="G105" s="3483"/>
      <c r="H105" s="3483"/>
      <c r="I105" s="3483"/>
      <c r="J105" s="3483"/>
      <c r="K105" s="3484"/>
      <c r="L105" s="3485"/>
      <c r="M105" s="3486"/>
      <c r="N105" s="3422"/>
      <c r="O105" s="3422"/>
      <c r="P105" s="3423"/>
      <c r="Q105" s="3385"/>
      <c r="R105" s="3352"/>
      <c r="S105" s="3352"/>
      <c r="T105" s="3352"/>
      <c r="U105" s="3352"/>
      <c r="V105" s="3352"/>
      <c r="W105" s="3352"/>
      <c r="X105" s="3352"/>
      <c r="Y105" s="3352"/>
      <c r="Z105" s="3352"/>
      <c r="AA105" s="3352"/>
      <c r="AB105" s="3352"/>
      <c r="AC105" s="3352"/>
    </row>
    <row r="106" spans="1:29" ht="15.75" thickBot="1">
      <c r="A106" s="3424"/>
      <c r="B106" s="3434"/>
      <c r="C106" s="3435">
        <v>100</v>
      </c>
      <c r="D106" s="3435">
        <f t="shared" ref="D106:M106" si="20">C106-$K34</f>
        <v>100</v>
      </c>
      <c r="E106" s="3435">
        <f t="shared" si="20"/>
        <v>100</v>
      </c>
      <c r="F106" s="3435">
        <f t="shared" si="20"/>
        <v>100</v>
      </c>
      <c r="G106" s="3435">
        <f t="shared" si="20"/>
        <v>100</v>
      </c>
      <c r="H106" s="3435">
        <f t="shared" si="20"/>
        <v>100</v>
      </c>
      <c r="I106" s="3435">
        <f t="shared" si="20"/>
        <v>100</v>
      </c>
      <c r="J106" s="3435">
        <f t="shared" si="20"/>
        <v>100</v>
      </c>
      <c r="K106" s="3435">
        <f t="shared" si="20"/>
        <v>100</v>
      </c>
      <c r="L106" s="3435">
        <f t="shared" si="20"/>
        <v>100</v>
      </c>
      <c r="M106" s="3436">
        <f t="shared" si="20"/>
        <v>100</v>
      </c>
      <c r="N106" s="3428"/>
      <c r="O106" s="3428"/>
      <c r="P106" s="3423"/>
      <c r="Q106" s="3385"/>
      <c r="R106" s="3352"/>
      <c r="S106" s="3352"/>
      <c r="T106" s="3352"/>
      <c r="U106" s="3352"/>
      <c r="V106" s="3352"/>
      <c r="W106" s="3352"/>
      <c r="X106" s="3352"/>
      <c r="Y106" s="3352"/>
      <c r="Z106" s="3352"/>
      <c r="AA106" s="3352"/>
      <c r="AB106" s="3352"/>
      <c r="AC106" s="3352"/>
    </row>
    <row r="107" spans="1:29" ht="15" thickTop="1">
      <c r="A107" s="3502"/>
      <c r="B107" s="3429" t="s">
        <v>3079</v>
      </c>
      <c r="C107" s="3478" t="s">
        <v>3129</v>
      </c>
      <c r="D107" s="3445"/>
      <c r="E107" s="3445"/>
      <c r="F107" s="3483"/>
      <c r="G107" s="3483"/>
      <c r="H107" s="3483"/>
      <c r="I107" s="3483"/>
      <c r="J107" s="3483"/>
      <c r="K107" s="3484"/>
      <c r="L107" s="3485"/>
      <c r="M107" s="3486"/>
      <c r="N107" s="3422"/>
      <c r="O107" s="3422"/>
      <c r="P107" s="3423"/>
      <c r="Q107" s="3385"/>
      <c r="R107" s="3352"/>
      <c r="S107" s="3352"/>
      <c r="T107" s="3352"/>
      <c r="U107" s="3352"/>
      <c r="V107" s="3352"/>
      <c r="W107" s="3352"/>
      <c r="X107" s="3352"/>
      <c r="Y107" s="3352"/>
      <c r="Z107" s="3352"/>
      <c r="AA107" s="3352"/>
      <c r="AB107" s="3352"/>
      <c r="AC107" s="3352"/>
    </row>
    <row r="108" spans="1:29" ht="15.75" thickBot="1">
      <c r="A108" s="3424"/>
      <c r="B108" s="3434"/>
      <c r="C108" s="3435">
        <v>100</v>
      </c>
      <c r="D108" s="3435">
        <f t="shared" ref="D108:M108" si="21">C108-$K35</f>
        <v>100</v>
      </c>
      <c r="E108" s="3435">
        <f t="shared" si="21"/>
        <v>100</v>
      </c>
      <c r="F108" s="3435">
        <f t="shared" si="21"/>
        <v>100</v>
      </c>
      <c r="G108" s="3435">
        <f t="shared" si="21"/>
        <v>100</v>
      </c>
      <c r="H108" s="3435">
        <f t="shared" si="21"/>
        <v>100</v>
      </c>
      <c r="I108" s="3435">
        <f t="shared" si="21"/>
        <v>100</v>
      </c>
      <c r="J108" s="3435">
        <f t="shared" si="21"/>
        <v>100</v>
      </c>
      <c r="K108" s="3435">
        <f t="shared" si="21"/>
        <v>100</v>
      </c>
      <c r="L108" s="3435">
        <f t="shared" si="21"/>
        <v>100</v>
      </c>
      <c r="M108" s="3436">
        <f t="shared" si="21"/>
        <v>100</v>
      </c>
      <c r="N108" s="3428"/>
      <c r="O108" s="3428"/>
      <c r="P108" s="3423"/>
      <c r="Q108" s="3385"/>
      <c r="R108" s="3352"/>
      <c r="S108" s="3352"/>
      <c r="T108" s="3352"/>
      <c r="U108" s="3352"/>
      <c r="V108" s="3352"/>
      <c r="W108" s="3352"/>
      <c r="X108" s="3352"/>
      <c r="Y108" s="3352"/>
      <c r="Z108" s="3352"/>
      <c r="AA108" s="3352"/>
      <c r="AB108" s="3352"/>
      <c r="AC108" s="3352"/>
    </row>
    <row r="109" spans="1:29" ht="15" thickTop="1">
      <c r="A109" s="3502"/>
      <c r="B109" s="3429" t="s">
        <v>3081</v>
      </c>
      <c r="C109" s="3471" t="str">
        <f>C110&amp;"(含)"&amp;"-"&amp;D110</f>
        <v>0.5(含)-0.6</v>
      </c>
      <c r="D109" s="3471" t="str">
        <f>D110&amp;"(含)"&amp;"-"&amp;E110</f>
        <v>0.6(含)-0.7</v>
      </c>
      <c r="E109" s="3471" t="str">
        <f>E110&amp;"(含)"&amp;"-"&amp;F110</f>
        <v>0.7(含)-0.8</v>
      </c>
      <c r="F109" s="3471" t="str">
        <f>F110&amp;"(含)"&amp;"-"&amp;G110</f>
        <v>0.8(含)-0.9</v>
      </c>
      <c r="G109" s="3471" t="str">
        <f>G110&amp;"(含)"&amp;"-"&amp;ROUND(H110,0)</f>
        <v>0.9(含)-1</v>
      </c>
      <c r="H109" s="3471"/>
      <c r="I109" s="3483"/>
      <c r="J109" s="3483"/>
      <c r="K109" s="3484"/>
      <c r="L109" s="3485"/>
      <c r="M109" s="3486"/>
      <c r="N109" s="3422"/>
      <c r="O109" s="3422"/>
      <c r="P109" s="3423"/>
      <c r="Q109" s="3385"/>
      <c r="R109" s="3352"/>
      <c r="S109" s="3352"/>
      <c r="T109" s="3352"/>
      <c r="U109" s="3352"/>
      <c r="V109" s="3352"/>
      <c r="W109" s="3352"/>
      <c r="X109" s="3352"/>
      <c r="Y109" s="3352"/>
      <c r="Z109" s="3352"/>
      <c r="AA109" s="3352"/>
      <c r="AB109" s="3352"/>
      <c r="AC109" s="3352"/>
    </row>
    <row r="110" spans="1:29">
      <c r="A110" s="3502"/>
      <c r="B110" s="3437"/>
      <c r="C110" s="3503">
        <v>0.5</v>
      </c>
      <c r="D110" s="3503">
        <v>0.6</v>
      </c>
      <c r="E110" s="3503">
        <v>0.7</v>
      </c>
      <c r="F110" s="3503">
        <v>0.8</v>
      </c>
      <c r="G110" s="3503">
        <v>0.9</v>
      </c>
      <c r="H110" s="3503">
        <v>1.0001</v>
      </c>
      <c r="I110" s="3504"/>
      <c r="J110" s="3504"/>
      <c r="K110" s="3505"/>
      <c r="L110" s="3506"/>
      <c r="M110" s="3507"/>
      <c r="N110" s="3422"/>
      <c r="O110" s="3422"/>
      <c r="P110" s="3423"/>
      <c r="Q110" s="3385"/>
      <c r="R110" s="3352"/>
      <c r="S110" s="3352"/>
      <c r="T110" s="3352"/>
      <c r="U110" s="3352"/>
      <c r="V110" s="3352"/>
      <c r="W110" s="3352"/>
      <c r="X110" s="3352"/>
      <c r="Y110" s="3352"/>
      <c r="Z110" s="3352"/>
      <c r="AA110" s="3352"/>
      <c r="AB110" s="3352"/>
      <c r="AC110" s="3352"/>
    </row>
    <row r="111" spans="1:29" ht="15.75" thickBot="1">
      <c r="A111" s="3424"/>
      <c r="B111" s="3434"/>
      <c r="C111" s="3481">
        <v>100</v>
      </c>
      <c r="D111" s="3435">
        <f>C111+$K36</f>
        <v>101</v>
      </c>
      <c r="E111" s="3435">
        <f t="shared" ref="E111:M111" si="22">D111+$K36</f>
        <v>102</v>
      </c>
      <c r="F111" s="3435">
        <f t="shared" si="22"/>
        <v>103</v>
      </c>
      <c r="G111" s="3435">
        <f t="shared" si="22"/>
        <v>104</v>
      </c>
      <c r="H111" s="3435">
        <f t="shared" si="22"/>
        <v>105</v>
      </c>
      <c r="I111" s="3435">
        <f t="shared" si="22"/>
        <v>106</v>
      </c>
      <c r="J111" s="3435">
        <f t="shared" si="22"/>
        <v>107</v>
      </c>
      <c r="K111" s="3435">
        <f t="shared" si="22"/>
        <v>108</v>
      </c>
      <c r="L111" s="3435">
        <f t="shared" si="22"/>
        <v>109</v>
      </c>
      <c r="M111" s="3435">
        <f t="shared" si="22"/>
        <v>110</v>
      </c>
      <c r="N111" s="3428"/>
      <c r="O111" s="3428"/>
      <c r="P111" s="3423"/>
      <c r="Q111" s="3385"/>
      <c r="R111" s="3352"/>
      <c r="S111" s="3352"/>
      <c r="T111" s="3352"/>
      <c r="U111" s="3352"/>
      <c r="V111" s="3352"/>
      <c r="W111" s="3352"/>
      <c r="X111" s="3352"/>
      <c r="Y111" s="3352"/>
      <c r="Z111" s="3352"/>
      <c r="AA111" s="3352"/>
      <c r="AB111" s="3352"/>
      <c r="AC111" s="3352"/>
    </row>
    <row r="112" spans="1:29" s="3328" customFormat="1" ht="15" thickTop="1">
      <c r="A112" s="3496"/>
      <c r="B112" s="3472" t="s">
        <v>3082</v>
      </c>
      <c r="C112" s="3478" t="s">
        <v>3130</v>
      </c>
      <c r="D112" s="3445"/>
      <c r="E112" s="3445"/>
      <c r="F112" s="3445"/>
      <c r="G112" s="3445"/>
      <c r="H112" s="3483"/>
      <c r="I112" s="3483"/>
      <c r="J112" s="3483"/>
      <c r="K112" s="3484"/>
      <c r="L112" s="3485"/>
      <c r="M112" s="3486"/>
      <c r="N112" s="3449"/>
      <c r="O112" s="3449"/>
      <c r="P112" s="3450"/>
      <c r="Q112" s="3451"/>
      <c r="R112" s="3452"/>
      <c r="S112" s="3452"/>
      <c r="T112" s="3452"/>
      <c r="U112" s="3452"/>
      <c r="V112" s="3452"/>
      <c r="W112" s="3452"/>
      <c r="X112" s="3452"/>
      <c r="Y112" s="3452"/>
      <c r="Z112" s="3452"/>
      <c r="AA112" s="3452"/>
      <c r="AB112" s="3452"/>
      <c r="AC112" s="3452"/>
    </row>
    <row r="113" spans="1:29" s="3328" customFormat="1" ht="15.75" thickBot="1">
      <c r="A113" s="3444"/>
      <c r="B113" s="3434"/>
      <c r="C113" s="3435">
        <v>100</v>
      </c>
      <c r="D113" s="3435">
        <f>C113-$K37</f>
        <v>100</v>
      </c>
      <c r="E113" s="3435">
        <f t="shared" ref="E113:M113" si="23">D113-$K37</f>
        <v>100</v>
      </c>
      <c r="F113" s="3435">
        <f t="shared" si="23"/>
        <v>100</v>
      </c>
      <c r="G113" s="3435">
        <f t="shared" si="23"/>
        <v>100</v>
      </c>
      <c r="H113" s="3435">
        <f t="shared" si="23"/>
        <v>100</v>
      </c>
      <c r="I113" s="3435">
        <f t="shared" si="23"/>
        <v>100</v>
      </c>
      <c r="J113" s="3435">
        <f t="shared" si="23"/>
        <v>100</v>
      </c>
      <c r="K113" s="3435">
        <f t="shared" si="23"/>
        <v>100</v>
      </c>
      <c r="L113" s="3435">
        <f t="shared" si="23"/>
        <v>100</v>
      </c>
      <c r="M113" s="3435">
        <f t="shared" si="23"/>
        <v>100</v>
      </c>
      <c r="N113" s="3449"/>
      <c r="O113" s="3449"/>
      <c r="P113" s="3450"/>
      <c r="Q113" s="3451"/>
      <c r="R113" s="3452"/>
      <c r="S113" s="3452"/>
      <c r="T113" s="3452"/>
      <c r="U113" s="3452"/>
      <c r="V113" s="3452"/>
      <c r="W113" s="3452"/>
      <c r="X113" s="3452"/>
      <c r="Y113" s="3452"/>
      <c r="Z113" s="3452"/>
      <c r="AA113" s="3452"/>
      <c r="AB113" s="3452"/>
      <c r="AC113" s="3452"/>
    </row>
    <row r="114" spans="1:29" ht="15" thickTop="1">
      <c r="A114" s="3502"/>
      <c r="B114" s="3429" t="s">
        <v>3083</v>
      </c>
      <c r="C114" s="3445"/>
      <c r="D114" s="3445"/>
      <c r="E114" s="3483"/>
      <c r="F114" s="3483"/>
      <c r="G114" s="3483"/>
      <c r="H114" s="3483"/>
      <c r="I114" s="3483"/>
      <c r="J114" s="3483"/>
      <c r="K114" s="3484"/>
      <c r="L114" s="3485"/>
      <c r="M114" s="3486"/>
      <c r="N114" s="3422"/>
      <c r="O114" s="3422"/>
      <c r="P114" s="3423"/>
      <c r="Q114" s="3385"/>
      <c r="R114" s="3352"/>
      <c r="S114" s="3352"/>
      <c r="T114" s="3352"/>
      <c r="U114" s="3352"/>
      <c r="V114" s="3352"/>
      <c r="W114" s="3352"/>
      <c r="X114" s="3352"/>
      <c r="Y114" s="3352"/>
      <c r="Z114" s="3352"/>
      <c r="AA114" s="3352"/>
      <c r="AB114" s="3352"/>
      <c r="AC114" s="3352"/>
    </row>
    <row r="115" spans="1:29" ht="15.75" thickBot="1">
      <c r="A115" s="3424"/>
      <c r="B115" s="3434"/>
      <c r="C115" s="3435">
        <v>100</v>
      </c>
      <c r="D115" s="3435">
        <f t="shared" ref="D115:M115" si="24">C115-$K38</f>
        <v>100</v>
      </c>
      <c r="E115" s="3435">
        <f t="shared" si="24"/>
        <v>100</v>
      </c>
      <c r="F115" s="3435">
        <f t="shared" si="24"/>
        <v>100</v>
      </c>
      <c r="G115" s="3435">
        <f t="shared" si="24"/>
        <v>100</v>
      </c>
      <c r="H115" s="3435">
        <f t="shared" si="24"/>
        <v>100</v>
      </c>
      <c r="I115" s="3435">
        <f t="shared" si="24"/>
        <v>100</v>
      </c>
      <c r="J115" s="3435">
        <f t="shared" si="24"/>
        <v>100</v>
      </c>
      <c r="K115" s="3435">
        <f t="shared" si="24"/>
        <v>100</v>
      </c>
      <c r="L115" s="3435">
        <f t="shared" si="24"/>
        <v>100</v>
      </c>
      <c r="M115" s="3436">
        <f t="shared" si="24"/>
        <v>100</v>
      </c>
      <c r="N115" s="3428"/>
      <c r="O115" s="3428"/>
      <c r="P115" s="3423"/>
      <c r="Q115" s="3385"/>
      <c r="R115" s="3352"/>
      <c r="S115" s="3352"/>
      <c r="T115" s="3352"/>
      <c r="U115" s="3352"/>
      <c r="V115" s="3352"/>
      <c r="W115" s="3352"/>
      <c r="X115" s="3352"/>
      <c r="Y115" s="3352"/>
      <c r="Z115" s="3352"/>
      <c r="AA115" s="3352"/>
      <c r="AB115" s="3352"/>
      <c r="AC115" s="3352"/>
    </row>
    <row r="116" spans="1:29" ht="15" thickTop="1">
      <c r="A116" s="3502"/>
      <c r="B116" s="3429" t="s">
        <v>3084</v>
      </c>
      <c r="C116" s="3478" t="s">
        <v>3131</v>
      </c>
      <c r="D116" s="3445"/>
      <c r="E116" s="3445"/>
      <c r="F116" s="3445"/>
      <c r="G116" s="3445"/>
      <c r="H116" s="3483"/>
      <c r="I116" s="3483"/>
      <c r="J116" s="3483"/>
      <c r="K116" s="3484"/>
      <c r="L116" s="3485"/>
      <c r="M116" s="3486"/>
      <c r="N116" s="3422"/>
      <c r="O116" s="3422"/>
      <c r="P116" s="3423"/>
      <c r="Q116" s="3385"/>
      <c r="R116" s="3352"/>
      <c r="S116" s="3352"/>
      <c r="T116" s="3352"/>
      <c r="U116" s="3352"/>
      <c r="V116" s="3352"/>
      <c r="W116" s="3352"/>
      <c r="X116" s="3352"/>
      <c r="Y116" s="3352"/>
      <c r="Z116" s="3352"/>
      <c r="AA116" s="3352"/>
      <c r="AB116" s="3352"/>
      <c r="AC116" s="3352"/>
    </row>
    <row r="117" spans="1:29" ht="15.75" thickBot="1">
      <c r="A117" s="3424"/>
      <c r="B117" s="3434"/>
      <c r="C117" s="3435">
        <v>100</v>
      </c>
      <c r="D117" s="3435">
        <f>C117-$K39</f>
        <v>100</v>
      </c>
      <c r="E117" s="3435">
        <f>D117-$K39</f>
        <v>100</v>
      </c>
      <c r="F117" s="3435">
        <f>E117-$K39</f>
        <v>100</v>
      </c>
      <c r="G117" s="3435">
        <f>F117-$K39</f>
        <v>100</v>
      </c>
      <c r="H117" s="3435"/>
      <c r="I117" s="3435"/>
      <c r="J117" s="3435"/>
      <c r="K117" s="3435"/>
      <c r="L117" s="3435"/>
      <c r="M117" s="3436"/>
      <c r="N117" s="3428"/>
      <c r="O117" s="3428"/>
      <c r="P117" s="3423"/>
      <c r="Q117" s="3385"/>
      <c r="R117" s="3352"/>
      <c r="S117" s="3352"/>
      <c r="T117" s="3352"/>
      <c r="U117" s="3352"/>
      <c r="V117" s="3352"/>
      <c r="W117" s="3352"/>
      <c r="X117" s="3352"/>
      <c r="Y117" s="3352"/>
      <c r="Z117" s="3352"/>
      <c r="AA117" s="3352"/>
      <c r="AB117" s="3352"/>
      <c r="AC117" s="3352"/>
    </row>
    <row r="118" spans="1:29" ht="15" thickTop="1">
      <c r="A118" s="3502"/>
      <c r="B118" s="3429" t="s">
        <v>3086</v>
      </c>
      <c r="C118" s="3508"/>
      <c r="D118" s="3508"/>
      <c r="E118" s="3508"/>
      <c r="F118" s="3508"/>
      <c r="G118" s="3508"/>
      <c r="H118" s="3446"/>
      <c r="I118" s="3446"/>
      <c r="J118" s="3446"/>
      <c r="K118" s="3446"/>
      <c r="L118" s="3447"/>
      <c r="M118" s="3448"/>
      <c r="N118" s="3422"/>
      <c r="O118" s="3422"/>
      <c r="P118" s="3423"/>
      <c r="Q118" s="3385"/>
      <c r="R118" s="3352"/>
      <c r="S118" s="3352"/>
      <c r="T118" s="3352"/>
      <c r="U118" s="3352"/>
      <c r="V118" s="3352"/>
      <c r="W118" s="3352"/>
      <c r="X118" s="3352"/>
      <c r="Y118" s="3352"/>
      <c r="Z118" s="3352"/>
      <c r="AA118" s="3352"/>
      <c r="AB118" s="3352"/>
      <c r="AC118" s="3352"/>
    </row>
    <row r="119" spans="1:29" ht="15.75" thickBot="1">
      <c r="A119" s="3424"/>
      <c r="B119" s="3434"/>
      <c r="C119" s="3453"/>
      <c r="D119" s="3426"/>
      <c r="E119" s="3426"/>
      <c r="F119" s="3426"/>
      <c r="G119" s="3426"/>
      <c r="H119" s="3426"/>
      <c r="I119" s="3426"/>
      <c r="J119" s="3426"/>
      <c r="K119" s="3426"/>
      <c r="L119" s="3426"/>
      <c r="M119" s="3427"/>
      <c r="N119" s="3428"/>
      <c r="O119" s="3428"/>
      <c r="P119" s="3423"/>
      <c r="Q119" s="3385"/>
      <c r="R119" s="3352"/>
      <c r="S119" s="3352"/>
      <c r="T119" s="3352"/>
      <c r="U119" s="3352"/>
      <c r="V119" s="3352"/>
      <c r="W119" s="3352"/>
      <c r="X119" s="3352"/>
      <c r="Y119" s="3352"/>
      <c r="Z119" s="3352"/>
      <c r="AA119" s="3352"/>
      <c r="AB119" s="3352"/>
      <c r="AC119" s="3352"/>
    </row>
    <row r="120" spans="1:29" s="3328" customFormat="1" ht="15" thickTop="1">
      <c r="A120" s="3496"/>
      <c r="B120" s="3429" t="s">
        <v>3132</v>
      </c>
      <c r="C120" s="3483"/>
      <c r="D120" s="3483"/>
      <c r="E120" s="3483"/>
      <c r="F120" s="3483"/>
      <c r="G120" s="3446"/>
      <c r="H120" s="3446"/>
      <c r="I120" s="3446"/>
      <c r="J120" s="3446"/>
      <c r="K120" s="3446"/>
      <c r="L120" s="3447"/>
      <c r="M120" s="3448"/>
      <c r="N120" s="3449"/>
      <c r="O120" s="3449"/>
      <c r="P120" s="3450"/>
      <c r="Q120" s="3451"/>
      <c r="R120" s="3452"/>
      <c r="S120" s="3452"/>
      <c r="T120" s="3452"/>
      <c r="U120" s="3452"/>
      <c r="V120" s="3452"/>
      <c r="W120" s="3452"/>
      <c r="X120" s="3452"/>
      <c r="Y120" s="3452"/>
      <c r="Z120" s="3452"/>
      <c r="AA120" s="3452"/>
      <c r="AB120" s="3452"/>
      <c r="AC120" s="3452"/>
    </row>
    <row r="121" spans="1:29" s="3328" customFormat="1" ht="15.75" thickBot="1">
      <c r="A121" s="3444"/>
      <c r="B121" s="3425"/>
      <c r="C121" s="3481">
        <v>100</v>
      </c>
      <c r="D121" s="3435">
        <f>C121-$K41</f>
        <v>100</v>
      </c>
      <c r="E121" s="3435">
        <f t="shared" ref="E121:M121" si="25">D121-$K41</f>
        <v>100</v>
      </c>
      <c r="F121" s="3435">
        <f t="shared" si="25"/>
        <v>100</v>
      </c>
      <c r="G121" s="3435">
        <f t="shared" si="25"/>
        <v>100</v>
      </c>
      <c r="H121" s="3435">
        <f t="shared" si="25"/>
        <v>100</v>
      </c>
      <c r="I121" s="3435">
        <f t="shared" si="25"/>
        <v>100</v>
      </c>
      <c r="J121" s="3435">
        <f t="shared" si="25"/>
        <v>100</v>
      </c>
      <c r="K121" s="3435">
        <f t="shared" si="25"/>
        <v>100</v>
      </c>
      <c r="L121" s="3435">
        <f t="shared" si="25"/>
        <v>100</v>
      </c>
      <c r="M121" s="3436">
        <f t="shared" si="25"/>
        <v>100</v>
      </c>
      <c r="N121" s="3449"/>
      <c r="O121" s="3449"/>
      <c r="P121" s="3450"/>
      <c r="Q121" s="3451"/>
      <c r="R121" s="3452"/>
      <c r="S121" s="3452"/>
      <c r="T121" s="3452"/>
      <c r="U121" s="3452"/>
      <c r="V121" s="3452"/>
      <c r="W121" s="3452"/>
      <c r="X121" s="3452"/>
      <c r="Y121" s="3452"/>
      <c r="Z121" s="3452"/>
      <c r="AA121" s="3452"/>
      <c r="AB121" s="3452"/>
      <c r="AC121" s="3452"/>
    </row>
    <row r="122" spans="1:29" ht="15" thickTop="1">
      <c r="A122" s="3502"/>
      <c r="B122" s="3429" t="s">
        <v>3133</v>
      </c>
      <c r="C122" s="3478" t="s">
        <v>3129</v>
      </c>
      <c r="D122" s="3445"/>
      <c r="E122" s="3445"/>
      <c r="F122" s="3483"/>
      <c r="G122" s="3483"/>
      <c r="H122" s="3483"/>
      <c r="I122" s="3483"/>
      <c r="J122" s="3483"/>
      <c r="K122" s="3484"/>
      <c r="L122" s="3485"/>
      <c r="M122" s="3486"/>
      <c r="N122" s="3422"/>
      <c r="O122" s="3422"/>
      <c r="P122" s="3423"/>
      <c r="Q122" s="3385"/>
      <c r="R122" s="3352"/>
      <c r="S122" s="3352"/>
      <c r="T122" s="3352"/>
      <c r="U122" s="3352"/>
      <c r="V122" s="3352"/>
      <c r="W122" s="3352"/>
      <c r="X122" s="3352"/>
      <c r="Y122" s="3352"/>
      <c r="Z122" s="3352"/>
      <c r="AA122" s="3352"/>
      <c r="AB122" s="3352"/>
      <c r="AC122" s="3352"/>
    </row>
    <row r="123" spans="1:29" ht="15.75" thickBot="1">
      <c r="A123" s="3424"/>
      <c r="B123" s="3434"/>
      <c r="C123" s="3435">
        <v>100</v>
      </c>
      <c r="D123" s="3435">
        <f t="shared" ref="D123:M123" si="26">C123-$K42</f>
        <v>100</v>
      </c>
      <c r="E123" s="3435">
        <f t="shared" si="26"/>
        <v>100</v>
      </c>
      <c r="F123" s="3435">
        <f t="shared" si="26"/>
        <v>100</v>
      </c>
      <c r="G123" s="3435">
        <f t="shared" si="26"/>
        <v>100</v>
      </c>
      <c r="H123" s="3435">
        <f t="shared" si="26"/>
        <v>100</v>
      </c>
      <c r="I123" s="3435">
        <f t="shared" si="26"/>
        <v>100</v>
      </c>
      <c r="J123" s="3435">
        <f t="shared" si="26"/>
        <v>100</v>
      </c>
      <c r="K123" s="3435">
        <f t="shared" si="26"/>
        <v>100</v>
      </c>
      <c r="L123" s="3435">
        <f t="shared" si="26"/>
        <v>100</v>
      </c>
      <c r="M123" s="3436">
        <f t="shared" si="26"/>
        <v>100</v>
      </c>
      <c r="N123" s="3428"/>
      <c r="O123" s="3428"/>
      <c r="P123" s="3423"/>
      <c r="Q123" s="3385"/>
      <c r="R123" s="3352"/>
      <c r="S123" s="3352"/>
      <c r="T123" s="3352"/>
      <c r="U123" s="3352"/>
      <c r="V123" s="3352"/>
      <c r="W123" s="3352"/>
      <c r="X123" s="3352"/>
      <c r="Y123" s="3352"/>
      <c r="Z123" s="3352"/>
      <c r="AA123" s="3352"/>
      <c r="AB123" s="3352"/>
      <c r="AC123" s="3352"/>
    </row>
    <row r="124" spans="1:29" ht="27.75" thickTop="1">
      <c r="A124" s="3502"/>
      <c r="B124" s="3429" t="s">
        <v>3134</v>
      </c>
      <c r="C124" s="3471" t="s">
        <v>3108</v>
      </c>
      <c r="D124" s="3471" t="s">
        <v>3109</v>
      </c>
      <c r="E124" s="3471" t="s">
        <v>3110</v>
      </c>
      <c r="F124" s="3471" t="s">
        <v>3111</v>
      </c>
      <c r="G124" s="3471" t="s">
        <v>3112</v>
      </c>
      <c r="H124" s="3430"/>
      <c r="I124" s="3430"/>
      <c r="J124" s="3430"/>
      <c r="K124" s="3431"/>
      <c r="L124" s="3432"/>
      <c r="M124" s="3433"/>
      <c r="N124" s="3422"/>
      <c r="O124" s="3422"/>
      <c r="P124" s="3450"/>
      <c r="Q124" s="3385"/>
      <c r="R124" s="3352"/>
      <c r="S124" s="3352"/>
      <c r="T124" s="3352"/>
      <c r="U124" s="3352"/>
      <c r="V124" s="3352"/>
      <c r="W124" s="3352"/>
      <c r="X124" s="3352"/>
      <c r="Y124" s="3352"/>
      <c r="Z124" s="3352"/>
      <c r="AA124" s="3352"/>
      <c r="AB124" s="3352"/>
      <c r="AC124" s="3352"/>
    </row>
    <row r="125" spans="1:29" ht="15.75" thickBot="1">
      <c r="A125" s="3424"/>
      <c r="B125" s="3434"/>
      <c r="C125" s="3435">
        <v>100</v>
      </c>
      <c r="D125" s="3435">
        <f>C125-$K43</f>
        <v>100</v>
      </c>
      <c r="E125" s="3435">
        <f>D125-$K43</f>
        <v>100</v>
      </c>
      <c r="F125" s="3435">
        <f>E125-$K43</f>
        <v>100</v>
      </c>
      <c r="G125" s="3435">
        <f>F125-$K43</f>
        <v>100</v>
      </c>
      <c r="H125" s="3435"/>
      <c r="I125" s="3435"/>
      <c r="J125" s="3435"/>
      <c r="K125" s="3435"/>
      <c r="L125" s="3435"/>
      <c r="M125" s="3436"/>
      <c r="N125" s="3428"/>
      <c r="O125" s="3428"/>
      <c r="P125" s="3423"/>
      <c r="Q125" s="3385"/>
      <c r="R125" s="3352"/>
      <c r="S125" s="3352"/>
      <c r="T125" s="3352"/>
      <c r="U125" s="3352"/>
      <c r="V125" s="3352"/>
      <c r="W125" s="3352"/>
      <c r="X125" s="3352"/>
      <c r="Y125" s="3352"/>
      <c r="Z125" s="3352"/>
      <c r="AA125" s="3352"/>
      <c r="AB125" s="3352"/>
      <c r="AC125" s="3352"/>
    </row>
    <row r="126" spans="1:29" s="3328" customFormat="1" ht="15" thickTop="1">
      <c r="A126" s="3496"/>
      <c r="B126" s="3429">
        <f>B44</f>
        <v>111</v>
      </c>
      <c r="C126" s="3445"/>
      <c r="D126" s="3445"/>
      <c r="E126" s="3445"/>
      <c r="F126" s="3445"/>
      <c r="G126" s="3445"/>
      <c r="H126" s="3446"/>
      <c r="I126" s="3446"/>
      <c r="J126" s="3446"/>
      <c r="K126" s="3446"/>
      <c r="L126" s="3447"/>
      <c r="M126" s="3448"/>
      <c r="N126" s="3449"/>
      <c r="O126" s="3449"/>
      <c r="P126" s="3450"/>
      <c r="Q126" s="3451"/>
      <c r="R126" s="3452"/>
      <c r="S126" s="3452"/>
      <c r="T126" s="3452"/>
      <c r="U126" s="3452"/>
      <c r="V126" s="3452"/>
      <c r="W126" s="3452"/>
      <c r="X126" s="3452"/>
      <c r="Y126" s="3452"/>
      <c r="Z126" s="3452"/>
      <c r="AA126" s="3452"/>
      <c r="AB126" s="3452"/>
      <c r="AC126" s="3452"/>
    </row>
    <row r="127" spans="1:29" s="3328" customFormat="1" ht="15.75" thickBot="1">
      <c r="A127" s="3444"/>
      <c r="B127" s="3434"/>
      <c r="C127" s="3453"/>
      <c r="D127" s="3426"/>
      <c r="E127" s="3426"/>
      <c r="F127" s="3426"/>
      <c r="G127" s="3453"/>
      <c r="H127" s="3455"/>
      <c r="I127" s="3455"/>
      <c r="J127" s="3455"/>
      <c r="K127" s="3455"/>
      <c r="L127" s="3455"/>
      <c r="M127" s="3456"/>
      <c r="N127" s="3449"/>
      <c r="O127" s="3449"/>
      <c r="P127" s="3450"/>
      <c r="Q127" s="3451"/>
      <c r="R127" s="3452"/>
      <c r="S127" s="3452"/>
      <c r="T127" s="3452"/>
      <c r="U127" s="3452"/>
      <c r="V127" s="3452"/>
      <c r="W127" s="3452"/>
      <c r="X127" s="3452"/>
      <c r="Y127" s="3452"/>
      <c r="Z127" s="3452"/>
      <c r="AA127" s="3452"/>
      <c r="AB127" s="3452"/>
      <c r="AC127" s="3452"/>
    </row>
    <row r="128" spans="1:29" ht="15" thickTop="1">
      <c r="A128" s="3502"/>
      <c r="B128" s="3429">
        <f>B45</f>
        <v>111</v>
      </c>
      <c r="C128" s="3445"/>
      <c r="D128" s="3445"/>
      <c r="E128" s="3445"/>
      <c r="F128" s="3445"/>
      <c r="G128" s="3483"/>
      <c r="H128" s="3483"/>
      <c r="I128" s="3483"/>
      <c r="J128" s="3483"/>
      <c r="K128" s="3484"/>
      <c r="L128" s="3485"/>
      <c r="M128" s="3486"/>
      <c r="N128" s="3422"/>
      <c r="O128" s="3422"/>
      <c r="P128" s="3423"/>
      <c r="Q128" s="3385"/>
      <c r="R128" s="3352"/>
      <c r="S128" s="3352"/>
      <c r="T128" s="3352"/>
      <c r="U128" s="3352"/>
      <c r="V128" s="3352"/>
      <c r="W128" s="3352"/>
      <c r="X128" s="3352"/>
      <c r="Y128" s="3352"/>
      <c r="Z128" s="3352"/>
      <c r="AA128" s="3352"/>
      <c r="AB128" s="3352"/>
      <c r="AC128" s="3352"/>
    </row>
    <row r="129" spans="1:29" ht="15.75" thickBot="1">
      <c r="A129" s="3424"/>
      <c r="B129" s="3434"/>
      <c r="C129" s="3453"/>
      <c r="D129" s="3426"/>
      <c r="E129" s="3426"/>
      <c r="F129" s="3426"/>
      <c r="G129" s="3426"/>
      <c r="H129" s="3426"/>
      <c r="I129" s="3426"/>
      <c r="J129" s="3426"/>
      <c r="K129" s="3426"/>
      <c r="L129" s="3426"/>
      <c r="M129" s="3427"/>
      <c r="N129" s="3428"/>
      <c r="O129" s="3428"/>
      <c r="P129" s="3423"/>
      <c r="Q129" s="3385"/>
      <c r="R129" s="3352"/>
      <c r="S129" s="3352"/>
      <c r="T129" s="3352"/>
      <c r="U129" s="3352"/>
      <c r="V129" s="3352"/>
      <c r="W129" s="3352"/>
      <c r="X129" s="3352"/>
      <c r="Y129" s="3352"/>
      <c r="Z129" s="3352"/>
      <c r="AA129" s="3352"/>
      <c r="AB129" s="3352"/>
      <c r="AC129" s="3352"/>
    </row>
    <row r="130" spans="1:29" ht="15" thickTop="1">
      <c r="A130" s="3502"/>
      <c r="B130" s="3437">
        <f>B46</f>
        <v>111</v>
      </c>
      <c r="C130" s="3445"/>
      <c r="D130" s="3445"/>
      <c r="E130" s="3445"/>
      <c r="F130" s="3445"/>
      <c r="G130" s="3487"/>
      <c r="H130" s="3487"/>
      <c r="I130" s="3487"/>
      <c r="J130" s="3487"/>
      <c r="K130" s="3408"/>
      <c r="L130" s="3409"/>
      <c r="M130" s="3490"/>
      <c r="N130" s="3422"/>
      <c r="O130" s="3422"/>
      <c r="P130" s="3423"/>
      <c r="Q130" s="3385"/>
      <c r="R130" s="3352"/>
      <c r="S130" s="3352"/>
      <c r="T130" s="3352"/>
      <c r="U130" s="3352"/>
      <c r="V130" s="3352"/>
      <c r="W130" s="3352"/>
      <c r="X130" s="3352"/>
      <c r="Y130" s="3352"/>
      <c r="Z130" s="3352"/>
      <c r="AA130" s="3352"/>
      <c r="AB130" s="3352"/>
      <c r="AC130" s="3352"/>
    </row>
    <row r="131" spans="1:29" ht="15.75" thickBot="1">
      <c r="A131" s="3491"/>
      <c r="B131" s="3462"/>
      <c r="C131" s="3463"/>
      <c r="D131" s="3463"/>
      <c r="E131" s="3463"/>
      <c r="F131" s="3463"/>
      <c r="G131" s="3492"/>
      <c r="H131" s="3492"/>
      <c r="I131" s="3492"/>
      <c r="J131" s="3492"/>
      <c r="K131" s="3492"/>
      <c r="L131" s="3492"/>
      <c r="M131" s="3493"/>
      <c r="N131" s="3428"/>
      <c r="O131" s="3428"/>
      <c r="P131" s="3423"/>
      <c r="Q131" s="3385"/>
      <c r="R131" s="3352"/>
      <c r="S131" s="3352"/>
      <c r="T131" s="3352"/>
      <c r="U131" s="3352"/>
      <c r="V131" s="3352"/>
      <c r="W131" s="3352"/>
      <c r="X131" s="3352"/>
      <c r="Y131" s="3352"/>
      <c r="Z131" s="3352"/>
      <c r="AA131" s="3352"/>
      <c r="AB131" s="3352"/>
      <c r="AC131" s="3352"/>
    </row>
    <row r="132" spans="1:29">
      <c r="A132" s="3509"/>
      <c r="B132" s="3509"/>
      <c r="C132" s="3509"/>
      <c r="D132" s="3509"/>
      <c r="E132" s="3509"/>
      <c r="F132" s="3509"/>
      <c r="G132" s="3509"/>
      <c r="H132" s="3509"/>
      <c r="I132" s="3509"/>
      <c r="J132" s="3509"/>
      <c r="K132" s="3510"/>
      <c r="L132" s="3511"/>
      <c r="M132" s="3509"/>
      <c r="N132" s="3509"/>
      <c r="O132" s="3509"/>
      <c r="P132" s="3509"/>
      <c r="Q132" s="3509"/>
      <c r="R132" s="3509"/>
      <c r="S132" s="3509"/>
      <c r="T132" s="3509"/>
      <c r="U132" s="3509"/>
      <c r="V132" s="3509"/>
      <c r="W132" s="3509"/>
      <c r="X132" s="3509"/>
      <c r="Y132" s="3509"/>
      <c r="Z132" s="3509"/>
      <c r="AA132" s="3509"/>
      <c r="AB132" s="3509"/>
      <c r="AC132" s="3509"/>
    </row>
    <row r="133" spans="1:29">
      <c r="A133" s="3509"/>
      <c r="B133" s="3509"/>
      <c r="C133" s="3509"/>
      <c r="D133" s="3509"/>
      <c r="E133" s="3509"/>
      <c r="F133" s="3509"/>
      <c r="G133" s="3509"/>
      <c r="H133" s="3509"/>
      <c r="I133" s="3509"/>
      <c r="J133" s="3509"/>
      <c r="K133" s="3510"/>
      <c r="L133" s="3511"/>
      <c r="M133" s="3509"/>
      <c r="N133" s="3509"/>
      <c r="O133" s="3509"/>
      <c r="P133" s="3509"/>
      <c r="Q133" s="3509"/>
      <c r="R133" s="3509"/>
      <c r="S133" s="3509"/>
      <c r="T133" s="3509"/>
      <c r="U133" s="3509"/>
      <c r="V133" s="3509"/>
      <c r="W133" s="3509"/>
      <c r="X133" s="3509"/>
      <c r="Y133" s="3509"/>
      <c r="Z133" s="3509"/>
      <c r="AA133" s="3509"/>
      <c r="AB133" s="3509"/>
      <c r="AC133" s="3509"/>
    </row>
    <row r="134" spans="1:29">
      <c r="A134" s="3509"/>
      <c r="B134" s="3509"/>
      <c r="C134" s="3509"/>
      <c r="D134" s="3509"/>
      <c r="E134" s="3509"/>
      <c r="F134" s="3509"/>
      <c r="G134" s="3509"/>
      <c r="H134" s="3509"/>
      <c r="I134" s="3509"/>
      <c r="J134" s="3509"/>
      <c r="K134" s="3510"/>
      <c r="L134" s="3511"/>
      <c r="M134" s="3509"/>
      <c r="N134" s="3509"/>
      <c r="O134" s="3509"/>
      <c r="P134" s="3509"/>
      <c r="Q134" s="3509"/>
      <c r="R134" s="3509"/>
      <c r="S134" s="3509"/>
      <c r="T134" s="3509"/>
      <c r="U134" s="3509"/>
      <c r="V134" s="3509"/>
      <c r="W134" s="3509"/>
      <c r="X134" s="3509"/>
      <c r="Y134" s="3509"/>
      <c r="Z134" s="3509"/>
      <c r="AA134" s="3509"/>
      <c r="AB134" s="3509"/>
      <c r="AC134" s="3509"/>
    </row>
    <row r="135" spans="1:29">
      <c r="A135" s="3509"/>
      <c r="B135" s="3509"/>
      <c r="C135" s="3509"/>
      <c r="D135" s="3509"/>
      <c r="E135" s="3509"/>
      <c r="F135" s="3509"/>
      <c r="G135" s="3509"/>
      <c r="H135" s="3509"/>
      <c r="I135" s="3509"/>
      <c r="J135" s="3509"/>
      <c r="K135" s="3510"/>
      <c r="L135" s="3511"/>
      <c r="M135" s="3509"/>
      <c r="N135" s="3509"/>
      <c r="O135" s="3509"/>
      <c r="P135" s="3509"/>
      <c r="Q135" s="3509"/>
      <c r="R135" s="3509"/>
      <c r="S135" s="3509"/>
      <c r="T135" s="3509"/>
      <c r="U135" s="3509"/>
      <c r="V135" s="3509"/>
      <c r="W135" s="3509"/>
      <c r="X135" s="3509"/>
      <c r="Y135" s="3509"/>
      <c r="Z135" s="3509"/>
      <c r="AA135" s="3509"/>
      <c r="AB135" s="3509"/>
      <c r="AC135" s="3509"/>
    </row>
    <row r="136" spans="1:29">
      <c r="A136" s="3509"/>
      <c r="B136" s="3509"/>
      <c r="C136" s="3509"/>
      <c r="D136" s="3509"/>
      <c r="E136" s="3509"/>
      <c r="F136" s="3509"/>
      <c r="G136" s="3509"/>
      <c r="H136" s="3509"/>
      <c r="I136" s="3509"/>
      <c r="J136" s="3509"/>
      <c r="K136" s="3510"/>
      <c r="L136" s="3511"/>
      <c r="M136" s="3509"/>
      <c r="N136" s="3509"/>
      <c r="O136" s="3509"/>
      <c r="P136" s="3509"/>
      <c r="Q136" s="3509"/>
      <c r="R136" s="3509"/>
      <c r="S136" s="3509"/>
      <c r="T136" s="3509"/>
      <c r="U136" s="3509"/>
      <c r="V136" s="3509"/>
      <c r="W136" s="3509"/>
      <c r="X136" s="3509"/>
      <c r="Y136" s="3509"/>
      <c r="Z136" s="3509"/>
      <c r="AA136" s="3509"/>
      <c r="AB136" s="3509"/>
      <c r="AC136" s="3509"/>
    </row>
    <row r="137" spans="1:29">
      <c r="A137" s="3509"/>
      <c r="B137" s="3509"/>
      <c r="C137" s="3509"/>
      <c r="D137" s="3509"/>
      <c r="E137" s="3509"/>
      <c r="F137" s="3509"/>
      <c r="G137" s="3509"/>
      <c r="H137" s="3509"/>
      <c r="I137" s="3509"/>
      <c r="J137" s="3509"/>
      <c r="K137" s="3510"/>
      <c r="L137" s="3511"/>
      <c r="M137" s="3509"/>
      <c r="N137" s="3509"/>
      <c r="O137" s="3509"/>
      <c r="P137" s="3509"/>
      <c r="Q137" s="3509"/>
      <c r="R137" s="3509"/>
      <c r="S137" s="3509"/>
      <c r="T137" s="3509"/>
      <c r="U137" s="3509"/>
      <c r="V137" s="3509"/>
      <c r="W137" s="3509"/>
      <c r="X137" s="3509"/>
      <c r="Y137" s="3509"/>
      <c r="Z137" s="3509"/>
      <c r="AA137" s="3509"/>
      <c r="AB137" s="3509"/>
      <c r="AC137" s="3509"/>
    </row>
    <row r="138" spans="1:29">
      <c r="A138" s="3509"/>
      <c r="B138" s="3509"/>
      <c r="C138" s="3509"/>
      <c r="D138" s="3509"/>
      <c r="E138" s="3509"/>
      <c r="F138" s="3509"/>
      <c r="G138" s="3509"/>
      <c r="H138" s="3509"/>
      <c r="I138" s="3509"/>
      <c r="J138" s="3509"/>
      <c r="K138" s="3510"/>
      <c r="L138" s="3511"/>
      <c r="M138" s="3509"/>
      <c r="N138" s="3509"/>
      <c r="O138" s="3509"/>
      <c r="P138" s="3509"/>
      <c r="Q138" s="3509"/>
      <c r="R138" s="3509"/>
      <c r="S138" s="3509"/>
      <c r="T138" s="3509"/>
      <c r="U138" s="3509"/>
      <c r="V138" s="3509"/>
      <c r="W138" s="3509"/>
      <c r="X138" s="3509"/>
      <c r="Y138" s="3509"/>
      <c r="Z138" s="3509"/>
      <c r="AA138" s="3509"/>
      <c r="AB138" s="3509"/>
      <c r="AC138" s="3509"/>
    </row>
    <row r="139" spans="1:29">
      <c r="A139" s="3509"/>
      <c r="B139" s="3509"/>
      <c r="C139" s="3509"/>
      <c r="D139" s="3509"/>
      <c r="E139" s="3509"/>
      <c r="F139" s="3509"/>
      <c r="G139" s="3509"/>
      <c r="H139" s="3509"/>
      <c r="I139" s="3509"/>
      <c r="J139" s="3509"/>
      <c r="K139" s="3510"/>
      <c r="L139" s="3511"/>
      <c r="M139" s="3509"/>
      <c r="N139" s="3509"/>
      <c r="O139" s="3509"/>
      <c r="P139" s="3509"/>
      <c r="Q139" s="3509"/>
      <c r="R139" s="3509"/>
      <c r="S139" s="3509"/>
      <c r="T139" s="3509"/>
      <c r="U139" s="3509"/>
      <c r="V139" s="3509"/>
      <c r="W139" s="3509"/>
      <c r="X139" s="3509"/>
      <c r="Y139" s="3509"/>
      <c r="Z139" s="3509"/>
      <c r="AA139" s="3509"/>
      <c r="AB139" s="3509"/>
      <c r="AC139" s="3509"/>
    </row>
    <row r="140" spans="1:29">
      <c r="A140" s="3509"/>
      <c r="B140" s="3509"/>
      <c r="C140" s="3509"/>
      <c r="D140" s="3509"/>
      <c r="E140" s="3509"/>
      <c r="F140" s="3509"/>
      <c r="G140" s="3509"/>
      <c r="H140" s="3509"/>
      <c r="I140" s="3509"/>
      <c r="J140" s="3509"/>
      <c r="K140" s="3510"/>
      <c r="L140" s="3511"/>
      <c r="M140" s="3509"/>
      <c r="N140" s="3509"/>
      <c r="O140" s="3509"/>
      <c r="P140" s="3509"/>
      <c r="Q140" s="3509"/>
      <c r="R140" s="3509"/>
      <c r="S140" s="3509"/>
      <c r="T140" s="3509"/>
      <c r="U140" s="3509"/>
      <c r="V140" s="3509"/>
      <c r="W140" s="3509"/>
      <c r="X140" s="3509"/>
      <c r="Y140" s="3509"/>
      <c r="Z140" s="3509"/>
      <c r="AA140" s="3509"/>
      <c r="AB140" s="3509"/>
      <c r="AC140" s="3509"/>
    </row>
    <row r="141" spans="1:29">
      <c r="A141" s="3509"/>
      <c r="B141" s="3509"/>
      <c r="C141" s="3509"/>
      <c r="D141" s="3509"/>
      <c r="E141" s="3509"/>
      <c r="F141" s="3509"/>
      <c r="G141" s="3509"/>
      <c r="H141" s="3509"/>
      <c r="I141" s="3509"/>
      <c r="J141" s="3509"/>
      <c r="K141" s="3510"/>
      <c r="L141" s="3511"/>
      <c r="M141" s="3509"/>
      <c r="N141" s="3509"/>
      <c r="O141" s="3509"/>
      <c r="P141" s="3509"/>
      <c r="Q141" s="3509"/>
      <c r="R141" s="3509"/>
      <c r="S141" s="3509"/>
      <c r="T141" s="3509"/>
      <c r="U141" s="3509"/>
      <c r="V141" s="3509"/>
      <c r="W141" s="3509"/>
      <c r="X141" s="3509"/>
      <c r="Y141" s="3509"/>
      <c r="Z141" s="3509"/>
      <c r="AA141" s="3509"/>
      <c r="AB141" s="3509"/>
      <c r="AC141" s="3509"/>
    </row>
    <row r="142" spans="1:29">
      <c r="A142" s="3509"/>
      <c r="B142" s="3509"/>
      <c r="C142" s="3509"/>
      <c r="D142" s="3509"/>
      <c r="E142" s="3509"/>
      <c r="F142" s="3509"/>
      <c r="G142" s="3509"/>
      <c r="H142" s="3509"/>
      <c r="I142" s="3509"/>
      <c r="J142" s="3509"/>
      <c r="K142" s="3510"/>
      <c r="L142" s="3511"/>
      <c r="M142" s="3509"/>
      <c r="N142" s="3509"/>
      <c r="O142" s="3509"/>
      <c r="P142" s="3509"/>
      <c r="Q142" s="3509"/>
      <c r="R142" s="3509"/>
      <c r="S142" s="3509"/>
      <c r="T142" s="3509"/>
      <c r="U142" s="3509"/>
      <c r="V142" s="3509"/>
      <c r="W142" s="3509"/>
      <c r="X142" s="3509"/>
      <c r="Y142" s="3509"/>
      <c r="Z142" s="3509"/>
      <c r="AA142" s="3509"/>
      <c r="AB142" s="3509"/>
      <c r="AC142" s="3509"/>
    </row>
    <row r="143" spans="1:29">
      <c r="A143" s="3509"/>
      <c r="B143" s="3509"/>
      <c r="C143" s="3509"/>
      <c r="D143" s="3509"/>
      <c r="E143" s="3509"/>
      <c r="F143" s="3509"/>
      <c r="G143" s="3509"/>
      <c r="H143" s="3509"/>
      <c r="I143" s="3509"/>
      <c r="J143" s="3509"/>
      <c r="K143" s="3510"/>
      <c r="L143" s="3511"/>
      <c r="M143" s="3509"/>
      <c r="N143" s="3509"/>
      <c r="O143" s="3509"/>
      <c r="P143" s="3509"/>
      <c r="Q143" s="3509"/>
      <c r="R143" s="3509"/>
      <c r="S143" s="3509"/>
      <c r="T143" s="3509"/>
      <c r="U143" s="3509"/>
      <c r="V143" s="3509"/>
      <c r="W143" s="3509"/>
      <c r="X143" s="3509"/>
      <c r="Y143" s="3509"/>
      <c r="Z143" s="3509"/>
      <c r="AA143" s="3509"/>
      <c r="AB143" s="3509"/>
      <c r="AC143" s="3509"/>
    </row>
    <row r="144" spans="1:29">
      <c r="A144" s="3509"/>
      <c r="B144" s="3509"/>
      <c r="C144" s="3509"/>
      <c r="D144" s="3509"/>
      <c r="E144" s="3509"/>
      <c r="F144" s="3509"/>
      <c r="G144" s="3509"/>
      <c r="H144" s="3509"/>
      <c r="I144" s="3509"/>
      <c r="J144" s="3509"/>
      <c r="K144" s="3510"/>
      <c r="L144" s="3511"/>
      <c r="M144" s="3509"/>
      <c r="N144" s="3509"/>
      <c r="O144" s="3509"/>
      <c r="P144" s="3509"/>
      <c r="Q144" s="3509"/>
      <c r="R144" s="3509"/>
      <c r="S144" s="3509"/>
      <c r="T144" s="3509"/>
      <c r="U144" s="3509"/>
      <c r="V144" s="3509"/>
      <c r="W144" s="3509"/>
      <c r="X144" s="3509"/>
      <c r="Y144" s="3509"/>
      <c r="Z144" s="3509"/>
      <c r="AA144" s="3509"/>
      <c r="AB144" s="3509"/>
      <c r="AC144" s="3509"/>
    </row>
    <row r="145" spans="1:29">
      <c r="A145" s="3509"/>
      <c r="B145" s="3509"/>
      <c r="C145" s="3509"/>
      <c r="D145" s="3509"/>
      <c r="E145" s="3509"/>
      <c r="F145" s="3509"/>
      <c r="G145" s="3509"/>
      <c r="H145" s="3509"/>
      <c r="I145" s="3509"/>
      <c r="J145" s="3509"/>
      <c r="K145" s="3510"/>
      <c r="L145" s="3511"/>
      <c r="M145" s="3509"/>
      <c r="N145" s="3509"/>
      <c r="O145" s="3509"/>
      <c r="P145" s="3509"/>
      <c r="Q145" s="3509"/>
      <c r="R145" s="3509"/>
      <c r="S145" s="3509"/>
      <c r="T145" s="3509"/>
      <c r="U145" s="3509"/>
      <c r="V145" s="3509"/>
      <c r="W145" s="3509"/>
      <c r="X145" s="3509"/>
      <c r="Y145" s="3509"/>
      <c r="Z145" s="3509"/>
      <c r="AA145" s="3509"/>
      <c r="AB145" s="3509"/>
      <c r="AC145" s="3509"/>
    </row>
    <row r="146" spans="1:29">
      <c r="A146" s="3509"/>
      <c r="B146" s="3509"/>
      <c r="C146" s="3509"/>
      <c r="D146" s="3509"/>
      <c r="E146" s="3509"/>
      <c r="F146" s="3509"/>
      <c r="G146" s="3509"/>
      <c r="H146" s="3509"/>
      <c r="I146" s="3509"/>
      <c r="J146" s="3509"/>
      <c r="K146" s="3510"/>
      <c r="L146" s="3511"/>
      <c r="M146" s="3509"/>
      <c r="N146" s="3509"/>
      <c r="O146" s="3509"/>
      <c r="P146" s="3509"/>
      <c r="Q146" s="3509"/>
      <c r="R146" s="3509"/>
      <c r="S146" s="3509"/>
      <c r="T146" s="3509"/>
      <c r="U146" s="3509"/>
      <c r="V146" s="3509"/>
      <c r="W146" s="3509"/>
      <c r="X146" s="3509"/>
      <c r="Y146" s="3509"/>
      <c r="Z146" s="3509"/>
      <c r="AA146" s="3509"/>
      <c r="AB146" s="3509"/>
      <c r="AC146" s="3509"/>
    </row>
    <row r="147" spans="1:29">
      <c r="A147" s="3509"/>
      <c r="B147" s="3509"/>
      <c r="C147" s="3509"/>
      <c r="D147" s="3509"/>
      <c r="E147" s="3509"/>
      <c r="F147" s="3509"/>
      <c r="G147" s="3509"/>
      <c r="H147" s="3509"/>
      <c r="I147" s="3509"/>
      <c r="J147" s="3509"/>
      <c r="K147" s="3510"/>
      <c r="L147" s="3511"/>
      <c r="M147" s="3509"/>
      <c r="N147" s="3509"/>
      <c r="O147" s="3509"/>
      <c r="P147" s="3509"/>
      <c r="Q147" s="3509"/>
      <c r="R147" s="3509"/>
      <c r="S147" s="3509"/>
      <c r="T147" s="3509"/>
      <c r="U147" s="3509"/>
      <c r="V147" s="3509"/>
      <c r="W147" s="3509"/>
      <c r="X147" s="3509"/>
      <c r="Y147" s="3509"/>
      <c r="Z147" s="3509"/>
      <c r="AA147" s="3509"/>
      <c r="AB147" s="3509"/>
      <c r="AC147" s="3509"/>
    </row>
    <row r="148" spans="1:29">
      <c r="A148" s="3509"/>
      <c r="B148" s="3509"/>
      <c r="C148" s="3509"/>
      <c r="D148" s="3509"/>
      <c r="E148" s="3509"/>
      <c r="F148" s="3509"/>
      <c r="G148" s="3509"/>
      <c r="H148" s="3509"/>
      <c r="I148" s="3509"/>
      <c r="J148" s="3509"/>
      <c r="K148" s="3510"/>
      <c r="L148" s="3511"/>
      <c r="M148" s="3509"/>
      <c r="N148" s="3509"/>
      <c r="O148" s="3509"/>
      <c r="P148" s="3509"/>
      <c r="Q148" s="3509"/>
      <c r="R148" s="3509"/>
      <c r="S148" s="3509"/>
      <c r="T148" s="3509"/>
      <c r="U148" s="3509"/>
      <c r="V148" s="3509"/>
      <c r="W148" s="3509"/>
      <c r="X148" s="3509"/>
      <c r="Y148" s="3509"/>
      <c r="Z148" s="3509"/>
      <c r="AA148" s="3509"/>
      <c r="AB148" s="3509"/>
      <c r="AC148" s="3509"/>
    </row>
    <row r="149" spans="1:29">
      <c r="A149" s="3509"/>
      <c r="B149" s="3509"/>
      <c r="C149" s="3509"/>
      <c r="D149" s="3509"/>
      <c r="E149" s="3509"/>
      <c r="F149" s="3509"/>
      <c r="G149" s="3509"/>
      <c r="H149" s="3509"/>
      <c r="I149" s="3509"/>
      <c r="J149" s="3509"/>
      <c r="K149" s="3510"/>
      <c r="L149" s="3511"/>
      <c r="M149" s="3509"/>
      <c r="N149" s="3509"/>
      <c r="O149" s="3509"/>
      <c r="P149" s="3509"/>
      <c r="Q149" s="3509"/>
      <c r="R149" s="3509"/>
      <c r="S149" s="3509"/>
      <c r="T149" s="3509"/>
      <c r="U149" s="3509"/>
      <c r="V149" s="3509"/>
      <c r="W149" s="3509"/>
      <c r="X149" s="3509"/>
      <c r="Y149" s="3509"/>
      <c r="Z149" s="3509"/>
      <c r="AA149" s="3509"/>
      <c r="AB149" s="3509"/>
      <c r="AC149" s="3509"/>
    </row>
    <row r="150" spans="1:29">
      <c r="A150" s="3509"/>
      <c r="B150" s="3509"/>
      <c r="C150" s="3509"/>
      <c r="D150" s="3509"/>
      <c r="E150" s="3509"/>
      <c r="F150" s="3509"/>
      <c r="G150" s="3509"/>
      <c r="H150" s="3509"/>
      <c r="I150" s="3509"/>
      <c r="J150" s="3509"/>
      <c r="K150" s="3510"/>
      <c r="L150" s="3511"/>
      <c r="M150" s="3509"/>
      <c r="N150" s="3509"/>
      <c r="O150" s="3509"/>
      <c r="P150" s="3509"/>
      <c r="Q150" s="3509"/>
      <c r="R150" s="3509"/>
      <c r="S150" s="3509"/>
      <c r="T150" s="3509"/>
      <c r="U150" s="3509"/>
      <c r="V150" s="3509"/>
      <c r="W150" s="3509"/>
      <c r="X150" s="3509"/>
      <c r="Y150" s="3509"/>
      <c r="Z150" s="3509"/>
      <c r="AA150" s="3509"/>
      <c r="AB150" s="3509"/>
      <c r="AC150" s="3509"/>
    </row>
    <row r="151" spans="1:29">
      <c r="A151" s="3509"/>
      <c r="B151" s="3509"/>
      <c r="C151" s="3509"/>
      <c r="D151" s="3509"/>
      <c r="E151" s="3509"/>
      <c r="F151" s="3509"/>
      <c r="G151" s="3509"/>
      <c r="H151" s="3509"/>
      <c r="I151" s="3509"/>
      <c r="J151" s="3509"/>
      <c r="K151" s="3510"/>
      <c r="L151" s="3511"/>
      <c r="M151" s="3509"/>
      <c r="N151" s="3509"/>
      <c r="O151" s="3509"/>
      <c r="P151" s="3509"/>
      <c r="Q151" s="3509"/>
      <c r="R151" s="3509"/>
      <c r="S151" s="3509"/>
      <c r="T151" s="3509"/>
      <c r="U151" s="3509"/>
      <c r="V151" s="3509"/>
      <c r="W151" s="3509"/>
      <c r="X151" s="3509"/>
      <c r="Y151" s="3509"/>
      <c r="Z151" s="3509"/>
      <c r="AA151" s="3509"/>
      <c r="AB151" s="3509"/>
      <c r="AC151" s="3509"/>
    </row>
    <row r="152" spans="1:29">
      <c r="A152" s="3509"/>
      <c r="B152" s="3509"/>
      <c r="C152" s="3509"/>
      <c r="D152" s="3509"/>
      <c r="E152" s="3509"/>
      <c r="F152" s="3509"/>
      <c r="G152" s="3509"/>
      <c r="H152" s="3509"/>
      <c r="I152" s="3509"/>
      <c r="J152" s="3509"/>
      <c r="K152" s="3510"/>
      <c r="L152" s="3511"/>
      <c r="M152" s="3509"/>
      <c r="N152" s="3509"/>
      <c r="O152" s="3509"/>
      <c r="P152" s="3509"/>
      <c r="Q152" s="3509"/>
      <c r="R152" s="3509"/>
      <c r="S152" s="3509"/>
      <c r="T152" s="3509"/>
      <c r="U152" s="3509"/>
      <c r="V152" s="3509"/>
      <c r="W152" s="3509"/>
      <c r="X152" s="3509"/>
      <c r="Y152" s="3509"/>
      <c r="Z152" s="3509"/>
      <c r="AA152" s="3509"/>
      <c r="AB152" s="3509"/>
      <c r="AC152" s="3509"/>
    </row>
    <row r="153" spans="1:29">
      <c r="A153" s="3509"/>
      <c r="B153" s="3509"/>
      <c r="C153" s="3509"/>
      <c r="D153" s="3509"/>
      <c r="E153" s="3509"/>
      <c r="F153" s="3509"/>
      <c r="G153" s="3509"/>
      <c r="H153" s="3509"/>
      <c r="I153" s="3509"/>
      <c r="J153" s="3509"/>
      <c r="K153" s="3510"/>
      <c r="L153" s="3511"/>
      <c r="M153" s="3509"/>
      <c r="N153" s="3509"/>
      <c r="O153" s="3509"/>
      <c r="P153" s="3509"/>
      <c r="Q153" s="3509"/>
      <c r="R153" s="3509"/>
      <c r="S153" s="3509"/>
      <c r="T153" s="3509"/>
      <c r="U153" s="3509"/>
      <c r="V153" s="3509"/>
      <c r="W153" s="3509"/>
      <c r="X153" s="3509"/>
      <c r="Y153" s="3509"/>
      <c r="Z153" s="3509"/>
      <c r="AA153" s="3509"/>
      <c r="AB153" s="3509"/>
      <c r="AC153" s="3509"/>
    </row>
    <row r="154" spans="1:29">
      <c r="A154" s="3509"/>
      <c r="B154" s="3509"/>
      <c r="C154" s="3509"/>
      <c r="D154" s="3509"/>
      <c r="E154" s="3509"/>
      <c r="F154" s="3509"/>
      <c r="G154" s="3509"/>
      <c r="H154" s="3509"/>
      <c r="I154" s="3509"/>
      <c r="J154" s="3509"/>
      <c r="K154" s="3510"/>
      <c r="L154" s="3511"/>
      <c r="M154" s="3509"/>
      <c r="N154" s="3509"/>
      <c r="O154" s="3509"/>
      <c r="P154" s="3509"/>
      <c r="Q154" s="3509"/>
      <c r="R154" s="3509"/>
      <c r="S154" s="3509"/>
      <c r="T154" s="3509"/>
      <c r="U154" s="3509"/>
      <c r="V154" s="3509"/>
      <c r="W154" s="3509"/>
      <c r="X154" s="3509"/>
      <c r="Y154" s="3509"/>
      <c r="Z154" s="3509"/>
      <c r="AA154" s="3509"/>
      <c r="AB154" s="3509"/>
      <c r="AC154" s="3509"/>
    </row>
    <row r="155" spans="1:29">
      <c r="A155" s="3509"/>
      <c r="B155" s="3509"/>
      <c r="C155" s="3509"/>
      <c r="D155" s="3509"/>
      <c r="E155" s="3509"/>
      <c r="F155" s="3509"/>
      <c r="G155" s="3509"/>
      <c r="H155" s="3509"/>
      <c r="I155" s="3509"/>
      <c r="J155" s="3509"/>
      <c r="K155" s="3510"/>
      <c r="L155" s="3511"/>
      <c r="M155" s="3509"/>
      <c r="N155" s="3509"/>
      <c r="O155" s="3509"/>
      <c r="P155" s="3509"/>
      <c r="Q155" s="3509"/>
      <c r="R155" s="3509"/>
      <c r="S155" s="3509"/>
      <c r="T155" s="3509"/>
      <c r="U155" s="3509"/>
      <c r="V155" s="3509"/>
      <c r="W155" s="3509"/>
      <c r="X155" s="3509"/>
      <c r="Y155" s="3509"/>
      <c r="Z155" s="3509"/>
      <c r="AA155" s="3509"/>
      <c r="AB155" s="3509"/>
      <c r="AC155" s="3509"/>
    </row>
    <row r="156" spans="1:29">
      <c r="A156" s="3509"/>
      <c r="B156" s="3509"/>
      <c r="C156" s="3509"/>
      <c r="D156" s="3509"/>
      <c r="E156" s="3509"/>
      <c r="F156" s="3509"/>
      <c r="G156" s="3509"/>
      <c r="H156" s="3509"/>
      <c r="I156" s="3509"/>
      <c r="J156" s="3509"/>
      <c r="K156" s="3510"/>
      <c r="L156" s="3511"/>
      <c r="M156" s="3509"/>
      <c r="N156" s="3509"/>
      <c r="O156" s="3509"/>
      <c r="P156" s="3509"/>
      <c r="Q156" s="3509"/>
      <c r="R156" s="3509"/>
      <c r="S156" s="3509"/>
      <c r="T156" s="3509"/>
      <c r="U156" s="3509"/>
      <c r="V156" s="3509"/>
      <c r="W156" s="3509"/>
      <c r="X156" s="3509"/>
      <c r="Y156" s="3509"/>
      <c r="Z156" s="3509"/>
      <c r="AA156" s="3509"/>
      <c r="AB156" s="3509"/>
      <c r="AC156" s="3509"/>
    </row>
    <row r="157" spans="1:29">
      <c r="A157" s="3509"/>
      <c r="B157" s="3509"/>
      <c r="C157" s="3509"/>
      <c r="D157" s="3509"/>
      <c r="E157" s="3509"/>
      <c r="F157" s="3509"/>
      <c r="G157" s="3509"/>
      <c r="H157" s="3509"/>
      <c r="I157" s="3509"/>
      <c r="J157" s="3509"/>
      <c r="K157" s="3510"/>
      <c r="L157" s="3511"/>
      <c r="M157" s="3509"/>
      <c r="N157" s="3509"/>
      <c r="O157" s="3509"/>
      <c r="P157" s="3509"/>
      <c r="Q157" s="3509"/>
      <c r="R157" s="3509"/>
      <c r="S157" s="3509"/>
      <c r="T157" s="3509"/>
      <c r="U157" s="3509"/>
      <c r="V157" s="3509"/>
      <c r="W157" s="3509"/>
      <c r="X157" s="3509"/>
      <c r="Y157" s="3509"/>
      <c r="Z157" s="3509"/>
      <c r="AA157" s="3509"/>
      <c r="AB157" s="3509"/>
      <c r="AC157" s="3509"/>
    </row>
    <row r="158" spans="1:29">
      <c r="A158" s="3509"/>
      <c r="B158" s="3509"/>
      <c r="C158" s="3509"/>
      <c r="D158" s="3509"/>
      <c r="E158" s="3509"/>
      <c r="F158" s="3509"/>
      <c r="G158" s="3509"/>
      <c r="H158" s="3509"/>
      <c r="I158" s="3509"/>
      <c r="J158" s="3509"/>
      <c r="K158" s="3510"/>
      <c r="L158" s="3511"/>
      <c r="M158" s="3509"/>
      <c r="N158" s="3509"/>
      <c r="O158" s="3509"/>
      <c r="P158" s="3509"/>
      <c r="Q158" s="3509"/>
      <c r="R158" s="3509"/>
      <c r="S158" s="3509"/>
      <c r="T158" s="3509"/>
      <c r="U158" s="3509"/>
      <c r="V158" s="3509"/>
      <c r="W158" s="3509"/>
      <c r="X158" s="3509"/>
      <c r="Y158" s="3509"/>
      <c r="Z158" s="3509"/>
      <c r="AA158" s="3509"/>
      <c r="AB158" s="3509"/>
      <c r="AC158" s="3509"/>
    </row>
    <row r="159" spans="1:29">
      <c r="A159" s="3509"/>
      <c r="B159" s="3509"/>
      <c r="C159" s="3509"/>
      <c r="D159" s="3509"/>
      <c r="E159" s="3509"/>
      <c r="F159" s="3509"/>
      <c r="G159" s="3509"/>
      <c r="H159" s="3509"/>
      <c r="I159" s="3509"/>
      <c r="J159" s="3509"/>
      <c r="K159" s="3510"/>
      <c r="L159" s="3511"/>
      <c r="M159" s="3509"/>
      <c r="N159" s="3509"/>
      <c r="O159" s="3509"/>
      <c r="P159" s="3509"/>
      <c r="Q159" s="3509"/>
      <c r="R159" s="3509"/>
      <c r="S159" s="3509"/>
      <c r="T159" s="3509"/>
      <c r="U159" s="3509"/>
      <c r="V159" s="3509"/>
      <c r="W159" s="3509"/>
      <c r="X159" s="3509"/>
      <c r="Y159" s="3509"/>
      <c r="Z159" s="3509"/>
      <c r="AA159" s="3509"/>
      <c r="AB159" s="3509"/>
      <c r="AC159" s="3509"/>
    </row>
    <row r="160" spans="1:29">
      <c r="A160" s="3509"/>
      <c r="B160" s="3509"/>
      <c r="C160" s="3509"/>
      <c r="D160" s="3509"/>
      <c r="E160" s="3509"/>
      <c r="F160" s="3509"/>
      <c r="G160" s="3509"/>
      <c r="H160" s="3509"/>
      <c r="I160" s="3509"/>
      <c r="J160" s="3509"/>
      <c r="K160" s="3510"/>
      <c r="L160" s="3511"/>
      <c r="M160" s="3509"/>
      <c r="N160" s="3509"/>
      <c r="O160" s="3509"/>
      <c r="P160" s="3509"/>
      <c r="Q160" s="3509"/>
      <c r="R160" s="3509"/>
      <c r="S160" s="3509"/>
      <c r="T160" s="3509"/>
      <c r="U160" s="3509"/>
      <c r="V160" s="3509"/>
      <c r="W160" s="3509"/>
      <c r="X160" s="3509"/>
      <c r="Y160" s="3509"/>
      <c r="Z160" s="3509"/>
      <c r="AA160" s="3509"/>
      <c r="AB160" s="3509"/>
      <c r="AC160" s="3509"/>
    </row>
    <row r="161" spans="1:29">
      <c r="A161" s="3509"/>
      <c r="B161" s="3509"/>
      <c r="C161" s="3509"/>
      <c r="D161" s="3509"/>
      <c r="E161" s="3509"/>
      <c r="F161" s="3509"/>
      <c r="G161" s="3509"/>
      <c r="H161" s="3509"/>
      <c r="I161" s="3509"/>
      <c r="J161" s="3509"/>
      <c r="K161" s="3510"/>
      <c r="L161" s="3511"/>
      <c r="M161" s="3509"/>
      <c r="N161" s="3509"/>
      <c r="O161" s="3509"/>
      <c r="P161" s="3509"/>
      <c r="Q161" s="3509"/>
      <c r="R161" s="3509"/>
      <c r="S161" s="3509"/>
      <c r="T161" s="3509"/>
      <c r="U161" s="3509"/>
      <c r="V161" s="3509"/>
      <c r="W161" s="3509"/>
      <c r="X161" s="3509"/>
      <c r="Y161" s="3509"/>
      <c r="Z161" s="3509"/>
      <c r="AA161" s="3509"/>
      <c r="AB161" s="3509"/>
      <c r="AC161" s="3509"/>
    </row>
    <row r="162" spans="1:29">
      <c r="A162" s="3509"/>
      <c r="B162" s="3509"/>
      <c r="C162" s="3509"/>
      <c r="D162" s="3509"/>
      <c r="E162" s="3509"/>
      <c r="F162" s="3509"/>
      <c r="G162" s="3509"/>
      <c r="H162" s="3509"/>
      <c r="I162" s="3509"/>
      <c r="J162" s="3509"/>
      <c r="K162" s="3510"/>
      <c r="L162" s="3511"/>
      <c r="M162" s="3509"/>
      <c r="N162" s="3509"/>
      <c r="O162" s="3509"/>
      <c r="P162" s="3509"/>
      <c r="Q162" s="3509"/>
      <c r="R162" s="3509"/>
      <c r="S162" s="3509"/>
      <c r="T162" s="3509"/>
      <c r="U162" s="3509"/>
      <c r="V162" s="3509"/>
      <c r="W162" s="3509"/>
      <c r="X162" s="3509"/>
      <c r="Y162" s="3509"/>
      <c r="Z162" s="3509"/>
      <c r="AA162" s="3509"/>
      <c r="AB162" s="3509"/>
      <c r="AC162" s="3509"/>
    </row>
    <row r="163" spans="1:29">
      <c r="A163" s="3509"/>
      <c r="B163" s="3509"/>
      <c r="C163" s="3509"/>
      <c r="D163" s="3509"/>
      <c r="E163" s="3509"/>
      <c r="F163" s="3509"/>
      <c r="G163" s="3509"/>
      <c r="H163" s="3509"/>
      <c r="I163" s="3509"/>
      <c r="J163" s="3509"/>
      <c r="K163" s="3510"/>
      <c r="L163" s="3511"/>
      <c r="M163" s="3509"/>
      <c r="N163" s="3509"/>
      <c r="O163" s="3509"/>
      <c r="P163" s="3509"/>
      <c r="Q163" s="3509"/>
      <c r="R163" s="3509"/>
      <c r="S163" s="3509"/>
      <c r="T163" s="3509"/>
      <c r="U163" s="3509"/>
      <c r="V163" s="3509"/>
      <c r="W163" s="3509"/>
      <c r="X163" s="3509"/>
      <c r="Y163" s="3509"/>
      <c r="Z163" s="3509"/>
      <c r="AA163" s="3509"/>
      <c r="AB163" s="3509"/>
      <c r="AC163" s="3509"/>
    </row>
    <row r="164" spans="1:29">
      <c r="A164" s="3509"/>
      <c r="B164" s="3509"/>
      <c r="C164" s="3509"/>
      <c r="D164" s="3509"/>
      <c r="E164" s="3509"/>
      <c r="F164" s="3509"/>
      <c r="G164" s="3509"/>
      <c r="H164" s="3509"/>
      <c r="I164" s="3509"/>
      <c r="J164" s="3509"/>
      <c r="K164" s="3510"/>
      <c r="L164" s="3511"/>
      <c r="M164" s="3509"/>
      <c r="N164" s="3509"/>
      <c r="O164" s="3509"/>
      <c r="P164" s="3509"/>
      <c r="Q164" s="3509"/>
      <c r="R164" s="3509"/>
      <c r="S164" s="3509"/>
      <c r="T164" s="3509"/>
      <c r="U164" s="3509"/>
      <c r="V164" s="3509"/>
      <c r="W164" s="3509"/>
      <c r="X164" s="3509"/>
      <c r="Y164" s="3509"/>
      <c r="Z164" s="3509"/>
      <c r="AA164" s="3509"/>
      <c r="AB164" s="3509"/>
      <c r="AC164" s="3509"/>
    </row>
    <row r="165" spans="1:29">
      <c r="A165" s="3509"/>
      <c r="B165" s="3509"/>
      <c r="C165" s="3509"/>
      <c r="D165" s="3509"/>
      <c r="E165" s="3509"/>
      <c r="F165" s="3509"/>
      <c r="G165" s="3509"/>
      <c r="H165" s="3509"/>
      <c r="I165" s="3509"/>
      <c r="J165" s="3509"/>
      <c r="K165" s="3510"/>
      <c r="L165" s="3511"/>
      <c r="M165" s="3509"/>
      <c r="N165" s="3509"/>
      <c r="O165" s="3509"/>
      <c r="P165" s="3509"/>
      <c r="Q165" s="3509"/>
      <c r="R165" s="3509"/>
      <c r="S165" s="3509"/>
      <c r="T165" s="3509"/>
      <c r="U165" s="3509"/>
      <c r="V165" s="3509"/>
      <c r="W165" s="3509"/>
      <c r="X165" s="3509"/>
      <c r="Y165" s="3509"/>
      <c r="Z165" s="3509"/>
      <c r="AA165" s="3509"/>
      <c r="AB165" s="3509"/>
      <c r="AC165" s="3509"/>
    </row>
    <row r="166" spans="1:29">
      <c r="A166" s="3509"/>
      <c r="B166" s="3509"/>
      <c r="C166" s="3509"/>
      <c r="D166" s="3509"/>
      <c r="E166" s="3509"/>
      <c r="F166" s="3509"/>
      <c r="G166" s="3509"/>
      <c r="H166" s="3509"/>
      <c r="I166" s="3509"/>
      <c r="J166" s="3509"/>
      <c r="K166" s="3510"/>
      <c r="L166" s="3511"/>
      <c r="M166" s="3509"/>
      <c r="N166" s="3509"/>
      <c r="O166" s="3509"/>
      <c r="P166" s="3509"/>
      <c r="Q166" s="3509"/>
      <c r="R166" s="3509"/>
      <c r="S166" s="3509"/>
      <c r="T166" s="3509"/>
      <c r="U166" s="3509"/>
      <c r="V166" s="3509"/>
      <c r="W166" s="3509"/>
      <c r="X166" s="3509"/>
      <c r="Y166" s="3509"/>
      <c r="Z166" s="3509"/>
      <c r="AA166" s="3509"/>
      <c r="AB166" s="3509"/>
      <c r="AC166" s="3509"/>
    </row>
    <row r="167" spans="1:29">
      <c r="A167" s="3509"/>
      <c r="B167" s="3509"/>
      <c r="C167" s="3509"/>
      <c r="D167" s="3509"/>
      <c r="E167" s="3509"/>
      <c r="F167" s="3509"/>
      <c r="G167" s="3509"/>
      <c r="H167" s="3509"/>
      <c r="I167" s="3509"/>
      <c r="J167" s="3509"/>
      <c r="K167" s="3510"/>
      <c r="L167" s="3511"/>
      <c r="M167" s="3509"/>
      <c r="N167" s="3509"/>
      <c r="O167" s="3509"/>
      <c r="P167" s="3509"/>
      <c r="Q167" s="3509"/>
      <c r="R167" s="3509"/>
      <c r="S167" s="3509"/>
      <c r="T167" s="3509"/>
      <c r="U167" s="3509"/>
      <c r="V167" s="3509"/>
      <c r="W167" s="3509"/>
      <c r="X167" s="3509"/>
      <c r="Y167" s="3509"/>
      <c r="Z167" s="3509"/>
      <c r="AA167" s="3509"/>
      <c r="AB167" s="3509"/>
      <c r="AC167" s="3509"/>
    </row>
    <row r="168" spans="1:29">
      <c r="A168" s="3509"/>
      <c r="B168" s="3509"/>
      <c r="C168" s="3509"/>
      <c r="D168" s="3509"/>
      <c r="E168" s="3509"/>
      <c r="F168" s="3509"/>
      <c r="G168" s="3509"/>
      <c r="H168" s="3509"/>
      <c r="I168" s="3509"/>
      <c r="J168" s="3509"/>
      <c r="K168" s="3510"/>
      <c r="L168" s="3511"/>
      <c r="M168" s="3509"/>
      <c r="N168" s="3509"/>
      <c r="O168" s="3509"/>
      <c r="P168" s="3509"/>
      <c r="Q168" s="3509"/>
      <c r="R168" s="3509"/>
      <c r="S168" s="3509"/>
      <c r="T168" s="3509"/>
      <c r="U168" s="3509"/>
      <c r="V168" s="3509"/>
      <c r="W168" s="3509"/>
      <c r="X168" s="3509"/>
      <c r="Y168" s="3509"/>
      <c r="Z168" s="3509"/>
      <c r="AA168" s="3509"/>
      <c r="AB168" s="3509"/>
      <c r="AC168" s="3509"/>
    </row>
    <row r="169" spans="1:29">
      <c r="A169" s="3509"/>
      <c r="B169" s="3509"/>
      <c r="C169" s="3509"/>
      <c r="D169" s="3509"/>
      <c r="E169" s="3509"/>
      <c r="F169" s="3509"/>
      <c r="G169" s="3509"/>
      <c r="H169" s="3509"/>
      <c r="I169" s="3509"/>
      <c r="J169" s="3509"/>
      <c r="K169" s="3510"/>
      <c r="L169" s="3511"/>
      <c r="M169" s="3509"/>
      <c r="N169" s="3509"/>
      <c r="O169" s="3509"/>
      <c r="P169" s="3509"/>
      <c r="Q169" s="3509"/>
      <c r="R169" s="3509"/>
      <c r="S169" s="3509"/>
      <c r="T169" s="3509"/>
      <c r="U169" s="3509"/>
      <c r="V169" s="3509"/>
      <c r="W169" s="3509"/>
      <c r="X169" s="3509"/>
      <c r="Y169" s="3509"/>
      <c r="Z169" s="3509"/>
      <c r="AA169" s="3509"/>
      <c r="AB169" s="3509"/>
      <c r="AC169" s="3509"/>
    </row>
    <row r="170" spans="1:29">
      <c r="A170" s="3509"/>
      <c r="B170" s="3509"/>
      <c r="C170" s="3509"/>
      <c r="D170" s="3509"/>
      <c r="E170" s="3509"/>
      <c r="F170" s="3509"/>
      <c r="G170" s="3509"/>
      <c r="H170" s="3509"/>
      <c r="I170" s="3509"/>
      <c r="J170" s="3509"/>
      <c r="K170" s="3510"/>
      <c r="L170" s="3511"/>
      <c r="M170" s="3509"/>
      <c r="N170" s="3509"/>
      <c r="O170" s="3509"/>
      <c r="P170" s="3509"/>
      <c r="Q170" s="3509"/>
      <c r="R170" s="3509"/>
      <c r="S170" s="3509"/>
      <c r="T170" s="3509"/>
      <c r="U170" s="3509"/>
      <c r="V170" s="3509"/>
      <c r="W170" s="3509"/>
      <c r="X170" s="3509"/>
      <c r="Y170" s="3509"/>
      <c r="Z170" s="3509"/>
      <c r="AA170" s="3509"/>
      <c r="AB170" s="3509"/>
      <c r="AC170" s="3509"/>
    </row>
    <row r="171" spans="1:29">
      <c r="A171" s="3509"/>
      <c r="B171" s="3509"/>
      <c r="C171" s="3509"/>
      <c r="D171" s="3509"/>
      <c r="E171" s="3509"/>
      <c r="F171" s="3509"/>
      <c r="G171" s="3509"/>
      <c r="H171" s="3509"/>
      <c r="I171" s="3509"/>
      <c r="J171" s="3509"/>
      <c r="K171" s="3510"/>
      <c r="L171" s="3511"/>
      <c r="M171" s="3509"/>
      <c r="N171" s="3509"/>
      <c r="O171" s="3509"/>
      <c r="P171" s="3509"/>
      <c r="Q171" s="3509"/>
      <c r="R171" s="3509"/>
      <c r="S171" s="3509"/>
      <c r="T171" s="3509"/>
      <c r="U171" s="3509"/>
      <c r="V171" s="3509"/>
      <c r="W171" s="3509"/>
      <c r="X171" s="3509"/>
      <c r="Y171" s="3509"/>
      <c r="Z171" s="3509"/>
      <c r="AA171" s="3509"/>
      <c r="AB171" s="3509"/>
      <c r="AC171" s="3509"/>
    </row>
    <row r="172" spans="1:29">
      <c r="A172" s="3509"/>
      <c r="B172" s="3509"/>
      <c r="C172" s="3509"/>
      <c r="D172" s="3509"/>
      <c r="E172" s="3509"/>
      <c r="F172" s="3509"/>
      <c r="G172" s="3509"/>
      <c r="H172" s="3509"/>
      <c r="I172" s="3509"/>
      <c r="J172" s="3509"/>
      <c r="K172" s="3510"/>
      <c r="L172" s="3511"/>
      <c r="M172" s="3509"/>
      <c r="N172" s="3509"/>
      <c r="O172" s="3509"/>
      <c r="P172" s="3509"/>
      <c r="Q172" s="3509"/>
      <c r="R172" s="3509"/>
      <c r="S172" s="3509"/>
      <c r="T172" s="3509"/>
      <c r="U172" s="3509"/>
      <c r="V172" s="3509"/>
      <c r="W172" s="3509"/>
      <c r="X172" s="3509"/>
      <c r="Y172" s="3509"/>
      <c r="Z172" s="3509"/>
      <c r="AA172" s="3509"/>
      <c r="AB172" s="3509"/>
      <c r="AC172" s="3509"/>
    </row>
    <row r="173" spans="1:29">
      <c r="A173" s="3509"/>
      <c r="B173" s="3509"/>
      <c r="C173" s="3509"/>
      <c r="D173" s="3509"/>
      <c r="E173" s="3509"/>
      <c r="F173" s="3509"/>
      <c r="G173" s="3509"/>
      <c r="H173" s="3509"/>
      <c r="I173" s="3509"/>
      <c r="J173" s="3509"/>
      <c r="K173" s="3510"/>
      <c r="L173" s="3511"/>
      <c r="M173" s="3509"/>
      <c r="N173" s="3509"/>
      <c r="O173" s="3509"/>
      <c r="P173" s="3509"/>
      <c r="Q173" s="3509"/>
      <c r="R173" s="3509"/>
      <c r="S173" s="3509"/>
      <c r="T173" s="3509"/>
      <c r="U173" s="3509"/>
      <c r="V173" s="3509"/>
      <c r="W173" s="3509"/>
      <c r="X173" s="3509"/>
      <c r="Y173" s="3509"/>
      <c r="Z173" s="3509"/>
      <c r="AA173" s="3509"/>
      <c r="AB173" s="3509"/>
      <c r="AC173" s="3509"/>
    </row>
    <row r="174" spans="1:29">
      <c r="A174" s="3509"/>
      <c r="B174" s="3509"/>
      <c r="C174" s="3509"/>
      <c r="D174" s="3509"/>
      <c r="E174" s="3509"/>
      <c r="F174" s="3509"/>
      <c r="G174" s="3509"/>
      <c r="H174" s="3509"/>
      <c r="I174" s="3509"/>
      <c r="J174" s="3509"/>
      <c r="K174" s="3510"/>
      <c r="L174" s="3511"/>
      <c r="M174" s="3509"/>
      <c r="N174" s="3509"/>
      <c r="O174" s="3509"/>
      <c r="P174" s="3509"/>
      <c r="Q174" s="3509"/>
      <c r="R174" s="3509"/>
      <c r="S174" s="3509"/>
      <c r="T174" s="3509"/>
      <c r="U174" s="3509"/>
      <c r="V174" s="3509"/>
      <c r="W174" s="3509"/>
      <c r="X174" s="3509"/>
      <c r="Y174" s="3509"/>
      <c r="Z174" s="3509"/>
      <c r="AA174" s="3509"/>
      <c r="AB174" s="3509"/>
      <c r="AC174" s="3509"/>
    </row>
    <row r="175" spans="1:29">
      <c r="A175" s="3509"/>
      <c r="B175" s="3509"/>
      <c r="C175" s="3509"/>
      <c r="D175" s="3509"/>
      <c r="E175" s="3509"/>
      <c r="F175" s="3509"/>
      <c r="G175" s="3509"/>
      <c r="H175" s="3509"/>
      <c r="I175" s="3509"/>
      <c r="J175" s="3509"/>
      <c r="K175" s="3510"/>
      <c r="L175" s="3511"/>
      <c r="M175" s="3509"/>
      <c r="N175" s="3509"/>
      <c r="O175" s="3509"/>
      <c r="P175" s="3509"/>
      <c r="Q175" s="3509"/>
      <c r="R175" s="3509"/>
      <c r="S175" s="3509"/>
      <c r="T175" s="3509"/>
      <c r="U175" s="3509"/>
      <c r="V175" s="3509"/>
      <c r="W175" s="3509"/>
      <c r="X175" s="3509"/>
      <c r="Y175" s="3509"/>
      <c r="Z175" s="3509"/>
      <c r="AA175" s="3509"/>
      <c r="AB175" s="3509"/>
      <c r="AC175" s="3509"/>
    </row>
    <row r="176" spans="1:29">
      <c r="A176" s="3509"/>
      <c r="B176" s="3509"/>
      <c r="C176" s="3509"/>
      <c r="D176" s="3509"/>
      <c r="E176" s="3509"/>
      <c r="F176" s="3509"/>
      <c r="G176" s="3509"/>
      <c r="H176" s="3509"/>
      <c r="I176" s="3509"/>
      <c r="J176" s="3509"/>
      <c r="K176" s="3510"/>
      <c r="L176" s="3511"/>
      <c r="M176" s="3509"/>
      <c r="N176" s="3509"/>
      <c r="O176" s="3509"/>
      <c r="P176" s="3509"/>
      <c r="Q176" s="3509"/>
      <c r="R176" s="3509"/>
      <c r="S176" s="3509"/>
      <c r="T176" s="3509"/>
      <c r="U176" s="3509"/>
      <c r="V176" s="3509"/>
      <c r="W176" s="3509"/>
      <c r="X176" s="3509"/>
      <c r="Y176" s="3509"/>
      <c r="Z176" s="3509"/>
      <c r="AA176" s="3509"/>
      <c r="AB176" s="3509"/>
      <c r="AC176" s="3509"/>
    </row>
    <row r="177" spans="1:29">
      <c r="A177" s="3509"/>
      <c r="B177" s="3509"/>
      <c r="C177" s="3509"/>
      <c r="D177" s="3509"/>
      <c r="E177" s="3509"/>
      <c r="F177" s="3509"/>
      <c r="G177" s="3509"/>
      <c r="H177" s="3509"/>
      <c r="I177" s="3509"/>
      <c r="J177" s="3509"/>
      <c r="K177" s="3510"/>
      <c r="L177" s="3511"/>
      <c r="M177" s="3509"/>
      <c r="N177" s="3509"/>
      <c r="O177" s="3509"/>
      <c r="P177" s="3509"/>
      <c r="Q177" s="3509"/>
      <c r="R177" s="3509"/>
      <c r="S177" s="3509"/>
      <c r="T177" s="3509"/>
      <c r="U177" s="3509"/>
      <c r="V177" s="3509"/>
      <c r="W177" s="3509"/>
      <c r="X177" s="3509"/>
      <c r="Y177" s="3509"/>
      <c r="Z177" s="3509"/>
      <c r="AA177" s="3509"/>
      <c r="AB177" s="3509"/>
      <c r="AC177" s="3509"/>
    </row>
    <row r="178" spans="1:29">
      <c r="A178" s="3509"/>
      <c r="B178" s="3509"/>
      <c r="C178" s="3509"/>
      <c r="D178" s="3509"/>
      <c r="E178" s="3509"/>
      <c r="F178" s="3509"/>
      <c r="G178" s="3509"/>
      <c r="H178" s="3509"/>
      <c r="I178" s="3509"/>
      <c r="J178" s="3509"/>
      <c r="K178" s="3510"/>
      <c r="L178" s="3511"/>
      <c r="M178" s="3509"/>
      <c r="N178" s="3509"/>
      <c r="O178" s="3509"/>
      <c r="P178" s="3509"/>
      <c r="Q178" s="3509"/>
      <c r="R178" s="3509"/>
      <c r="S178" s="3509"/>
      <c r="T178" s="3509"/>
      <c r="U178" s="3509"/>
      <c r="V178" s="3509"/>
      <c r="W178" s="3509"/>
      <c r="X178" s="3509"/>
      <c r="Y178" s="3509"/>
      <c r="Z178" s="3509"/>
      <c r="AA178" s="3509"/>
      <c r="AB178" s="3509"/>
      <c r="AC178" s="3509"/>
    </row>
    <row r="179" spans="1:29">
      <c r="A179" s="3509"/>
      <c r="B179" s="3509"/>
      <c r="C179" s="3509"/>
      <c r="D179" s="3509"/>
      <c r="E179" s="3509"/>
      <c r="F179" s="3509"/>
      <c r="G179" s="3509"/>
      <c r="H179" s="3509"/>
      <c r="I179" s="3509"/>
      <c r="J179" s="3509"/>
      <c r="K179" s="3510"/>
      <c r="L179" s="3511"/>
      <c r="M179" s="3509"/>
      <c r="N179" s="3509"/>
      <c r="O179" s="3509"/>
      <c r="P179" s="3509"/>
      <c r="Q179" s="3509"/>
      <c r="R179" s="3509"/>
      <c r="S179" s="3509"/>
      <c r="T179" s="3509"/>
      <c r="U179" s="3509"/>
      <c r="V179" s="3509"/>
      <c r="W179" s="3509"/>
      <c r="X179" s="3509"/>
      <c r="Y179" s="3509"/>
      <c r="Z179" s="3509"/>
      <c r="AA179" s="3509"/>
      <c r="AB179" s="3509"/>
      <c r="AC179" s="3509"/>
    </row>
    <row r="180" spans="1:29">
      <c r="A180" s="3509"/>
      <c r="B180" s="3509"/>
      <c r="C180" s="3509"/>
      <c r="D180" s="3509"/>
      <c r="E180" s="3509"/>
      <c r="F180" s="3509"/>
      <c r="G180" s="3509"/>
      <c r="H180" s="3509"/>
      <c r="I180" s="3509"/>
      <c r="J180" s="3509"/>
      <c r="K180" s="3510"/>
      <c r="L180" s="3511"/>
      <c r="M180" s="3509"/>
      <c r="N180" s="3509"/>
      <c r="O180" s="3509"/>
      <c r="P180" s="3509"/>
      <c r="Q180" s="3509"/>
      <c r="R180" s="3509"/>
      <c r="S180" s="3509"/>
      <c r="T180" s="3509"/>
      <c r="U180" s="3509"/>
      <c r="V180" s="3509"/>
      <c r="W180" s="3509"/>
      <c r="X180" s="3509"/>
      <c r="Y180" s="3509"/>
      <c r="Z180" s="3509"/>
      <c r="AA180" s="3509"/>
      <c r="AB180" s="3509"/>
      <c r="AC180" s="3509"/>
    </row>
    <row r="181" spans="1:29">
      <c r="A181" s="3509"/>
      <c r="B181" s="3509"/>
      <c r="C181" s="3509"/>
      <c r="D181" s="3509"/>
      <c r="E181" s="3509"/>
      <c r="F181" s="3509"/>
      <c r="G181" s="3509"/>
      <c r="H181" s="3509"/>
      <c r="I181" s="3509"/>
      <c r="J181" s="3509"/>
      <c r="K181" s="3510"/>
      <c r="L181" s="3511"/>
      <c r="M181" s="3509"/>
      <c r="N181" s="3509"/>
      <c r="O181" s="3509"/>
      <c r="P181" s="3509"/>
      <c r="Q181" s="3509"/>
      <c r="R181" s="3509"/>
      <c r="S181" s="3509"/>
      <c r="T181" s="3509"/>
      <c r="U181" s="3509"/>
      <c r="V181" s="3509"/>
      <c r="W181" s="3509"/>
      <c r="X181" s="3509"/>
      <c r="Y181" s="3509"/>
      <c r="Z181" s="3509"/>
      <c r="AA181" s="3509"/>
      <c r="AB181" s="3509"/>
      <c r="AC181" s="3509"/>
    </row>
    <row r="182" spans="1:29">
      <c r="A182" s="3509"/>
      <c r="B182" s="3509"/>
      <c r="C182" s="3509"/>
      <c r="D182" s="3509"/>
      <c r="E182" s="3509"/>
      <c r="F182" s="3509"/>
      <c r="G182" s="3509"/>
      <c r="H182" s="3509"/>
      <c r="I182" s="3509"/>
      <c r="J182" s="3509"/>
      <c r="K182" s="3510"/>
      <c r="L182" s="3511"/>
      <c r="M182" s="3509"/>
      <c r="N182" s="3509"/>
      <c r="O182" s="3509"/>
      <c r="P182" s="3509"/>
      <c r="Q182" s="3509"/>
      <c r="R182" s="3509"/>
      <c r="S182" s="3509"/>
      <c r="T182" s="3509"/>
      <c r="U182" s="3509"/>
      <c r="V182" s="3509"/>
      <c r="W182" s="3509"/>
      <c r="X182" s="3509"/>
      <c r="Y182" s="3509"/>
      <c r="Z182" s="3509"/>
      <c r="AA182" s="3509"/>
      <c r="AB182" s="3509"/>
      <c r="AC182" s="3509"/>
    </row>
    <row r="183" spans="1:29">
      <c r="A183" s="3509"/>
      <c r="B183" s="3509"/>
      <c r="C183" s="3509"/>
      <c r="D183" s="3509"/>
      <c r="E183" s="3509"/>
      <c r="F183" s="3509"/>
      <c r="G183" s="3509"/>
      <c r="H183" s="3509"/>
      <c r="I183" s="3509"/>
      <c r="J183" s="3509"/>
      <c r="K183" s="3510"/>
      <c r="L183" s="3511"/>
      <c r="M183" s="3509"/>
      <c r="N183" s="3509"/>
      <c r="O183" s="3509"/>
      <c r="P183" s="3509"/>
      <c r="Q183" s="3509"/>
      <c r="R183" s="3509"/>
      <c r="S183" s="3509"/>
      <c r="T183" s="3509"/>
      <c r="U183" s="3509"/>
      <c r="V183" s="3509"/>
      <c r="W183" s="3509"/>
      <c r="X183" s="3509"/>
      <c r="Y183" s="3509"/>
      <c r="Z183" s="3509"/>
      <c r="AA183" s="3509"/>
      <c r="AB183" s="3509"/>
      <c r="AC183" s="3509"/>
    </row>
    <row r="184" spans="1:29">
      <c r="A184" s="3509"/>
      <c r="B184" s="3509"/>
      <c r="C184" s="3509"/>
      <c r="D184" s="3509"/>
      <c r="E184" s="3509"/>
      <c r="F184" s="3509"/>
      <c r="G184" s="3509"/>
      <c r="H184" s="3509"/>
      <c r="I184" s="3509"/>
      <c r="J184" s="3509"/>
      <c r="K184" s="3510"/>
      <c r="L184" s="3511"/>
      <c r="M184" s="3509"/>
      <c r="N184" s="3509"/>
      <c r="O184" s="3509"/>
      <c r="P184" s="3509"/>
      <c r="Q184" s="3509"/>
      <c r="R184" s="3509"/>
      <c r="S184" s="3509"/>
      <c r="T184" s="3509"/>
      <c r="U184" s="3509"/>
      <c r="V184" s="3509"/>
      <c r="W184" s="3509"/>
      <c r="X184" s="3509"/>
      <c r="Y184" s="3509"/>
      <c r="Z184" s="3509"/>
      <c r="AA184" s="3509"/>
      <c r="AB184" s="3509"/>
      <c r="AC184" s="3509"/>
    </row>
    <row r="185" spans="1:29">
      <c r="A185" s="3509"/>
      <c r="B185" s="3509"/>
      <c r="C185" s="3509"/>
      <c r="D185" s="3509"/>
      <c r="E185" s="3509"/>
      <c r="F185" s="3509"/>
      <c r="G185" s="3509"/>
      <c r="H185" s="3509"/>
      <c r="I185" s="3509"/>
      <c r="J185" s="3509"/>
      <c r="K185" s="3510"/>
      <c r="L185" s="3511"/>
      <c r="M185" s="3509"/>
      <c r="N185" s="3509"/>
      <c r="O185" s="3509"/>
      <c r="P185" s="3509"/>
      <c r="Q185" s="3509"/>
      <c r="R185" s="3509"/>
      <c r="S185" s="3509"/>
      <c r="T185" s="3509"/>
      <c r="U185" s="3509"/>
      <c r="V185" s="3509"/>
      <c r="W185" s="3509"/>
      <c r="X185" s="3509"/>
      <c r="Y185" s="3509"/>
      <c r="Z185" s="3509"/>
      <c r="AA185" s="3509"/>
      <c r="AB185" s="3509"/>
      <c r="AC185" s="3509"/>
    </row>
    <row r="186" spans="1:29">
      <c r="A186" s="3509"/>
      <c r="B186" s="3509"/>
      <c r="C186" s="3509"/>
      <c r="D186" s="3509"/>
      <c r="E186" s="3509"/>
      <c r="F186" s="3509"/>
      <c r="G186" s="3509"/>
      <c r="H186" s="3509"/>
      <c r="I186" s="3509"/>
      <c r="J186" s="3509"/>
      <c r="K186" s="3510"/>
      <c r="L186" s="3511"/>
      <c r="M186" s="3509"/>
      <c r="N186" s="3509"/>
      <c r="O186" s="3509"/>
      <c r="P186" s="3509"/>
      <c r="Q186" s="3509"/>
      <c r="R186" s="3509"/>
      <c r="S186" s="3509"/>
      <c r="T186" s="3509"/>
      <c r="U186" s="3509"/>
      <c r="V186" s="3509"/>
      <c r="W186" s="3509"/>
      <c r="X186" s="3509"/>
      <c r="Y186" s="3509"/>
      <c r="Z186" s="3509"/>
      <c r="AA186" s="3509"/>
      <c r="AB186" s="3509"/>
      <c r="AC186" s="3509"/>
    </row>
    <row r="187" spans="1:29">
      <c r="A187" s="3509"/>
      <c r="B187" s="3509"/>
      <c r="C187" s="3509"/>
      <c r="D187" s="3509"/>
      <c r="E187" s="3509"/>
      <c r="F187" s="3509"/>
      <c r="G187" s="3509"/>
      <c r="H187" s="3509"/>
      <c r="I187" s="3509"/>
      <c r="J187" s="3509"/>
      <c r="K187" s="3510"/>
      <c r="L187" s="3511"/>
      <c r="M187" s="3509"/>
      <c r="N187" s="3509"/>
      <c r="O187" s="3509"/>
      <c r="P187" s="3509"/>
      <c r="Q187" s="3509"/>
      <c r="R187" s="3509"/>
      <c r="S187" s="3509"/>
      <c r="T187" s="3509"/>
      <c r="U187" s="3509"/>
      <c r="V187" s="3509"/>
      <c r="W187" s="3509"/>
      <c r="X187" s="3509"/>
      <c r="Y187" s="3509"/>
      <c r="Z187" s="3509"/>
      <c r="AA187" s="3509"/>
      <c r="AB187" s="3509"/>
      <c r="AC187" s="3509"/>
    </row>
    <row r="188" spans="1:29">
      <c r="A188" s="3509"/>
      <c r="B188" s="3509"/>
      <c r="C188" s="3509"/>
      <c r="D188" s="3509"/>
      <c r="E188" s="3509"/>
      <c r="F188" s="3509"/>
      <c r="G188" s="3509"/>
      <c r="H188" s="3509"/>
      <c r="I188" s="3509"/>
      <c r="J188" s="3509"/>
      <c r="K188" s="3510"/>
      <c r="L188" s="3511"/>
      <c r="M188" s="3509"/>
      <c r="N188" s="3509"/>
      <c r="O188" s="3509"/>
      <c r="P188" s="3509"/>
      <c r="Q188" s="3509"/>
      <c r="R188" s="3509"/>
      <c r="S188" s="3509"/>
      <c r="T188" s="3509"/>
      <c r="U188" s="3509"/>
      <c r="V188" s="3509"/>
      <c r="W188" s="3509"/>
      <c r="X188" s="3509"/>
      <c r="Y188" s="3509"/>
      <c r="Z188" s="3509"/>
      <c r="AA188" s="3509"/>
      <c r="AB188" s="3509"/>
      <c r="AC188" s="3509"/>
    </row>
    <row r="189" spans="1:29">
      <c r="A189" s="3509"/>
      <c r="B189" s="3509"/>
      <c r="C189" s="3509"/>
      <c r="D189" s="3509"/>
      <c r="E189" s="3509"/>
      <c r="F189" s="3509"/>
      <c r="G189" s="3509"/>
      <c r="H189" s="3509"/>
      <c r="I189" s="3509"/>
      <c r="J189" s="3509"/>
      <c r="K189" s="3510"/>
      <c r="L189" s="3511"/>
      <c r="M189" s="3509"/>
      <c r="N189" s="3509"/>
      <c r="O189" s="3509"/>
      <c r="P189" s="3509"/>
      <c r="Q189" s="3509"/>
      <c r="R189" s="3509"/>
      <c r="S189" s="3509"/>
      <c r="T189" s="3509"/>
      <c r="U189" s="3509"/>
      <c r="V189" s="3509"/>
      <c r="W189" s="3509"/>
      <c r="X189" s="3509"/>
      <c r="Y189" s="3509"/>
      <c r="Z189" s="3509"/>
      <c r="AA189" s="3509"/>
      <c r="AB189" s="3509"/>
      <c r="AC189" s="3509"/>
    </row>
    <row r="190" spans="1:29">
      <c r="A190" s="3509"/>
      <c r="B190" s="3509"/>
      <c r="C190" s="3509"/>
      <c r="D190" s="3509"/>
      <c r="E190" s="3509"/>
      <c r="F190" s="3509"/>
      <c r="G190" s="3509"/>
      <c r="H190" s="3509"/>
      <c r="I190" s="3509"/>
      <c r="J190" s="3509"/>
      <c r="K190" s="3510"/>
      <c r="L190" s="3511"/>
      <c r="M190" s="3509"/>
      <c r="N190" s="3509"/>
      <c r="O190" s="3509"/>
      <c r="P190" s="3509"/>
      <c r="Q190" s="3509"/>
      <c r="R190" s="3509"/>
      <c r="S190" s="3509"/>
      <c r="T190" s="3509"/>
      <c r="U190" s="3509"/>
      <c r="V190" s="3509"/>
      <c r="W190" s="3509"/>
      <c r="X190" s="3509"/>
      <c r="Y190" s="3509"/>
      <c r="Z190" s="3509"/>
      <c r="AA190" s="3509"/>
      <c r="AB190" s="3509"/>
      <c r="AC190" s="3509"/>
    </row>
    <row r="191" spans="1:29">
      <c r="A191" s="3509"/>
      <c r="B191" s="3509"/>
      <c r="C191" s="3509"/>
      <c r="D191" s="3509"/>
      <c r="E191" s="3509"/>
      <c r="F191" s="3509"/>
      <c r="G191" s="3509"/>
      <c r="H191" s="3509"/>
      <c r="I191" s="3509"/>
      <c r="J191" s="3509"/>
      <c r="K191" s="3510"/>
      <c r="L191" s="3511"/>
      <c r="M191" s="3509"/>
      <c r="N191" s="3509"/>
      <c r="O191" s="3509"/>
      <c r="P191" s="3509"/>
      <c r="Q191" s="3509"/>
      <c r="R191" s="3509"/>
      <c r="S191" s="3509"/>
      <c r="T191" s="3509"/>
      <c r="U191" s="3509"/>
      <c r="V191" s="3509"/>
      <c r="W191" s="3509"/>
      <c r="X191" s="3509"/>
      <c r="Y191" s="3509"/>
      <c r="Z191" s="3509"/>
      <c r="AA191" s="3509"/>
      <c r="AB191" s="3509"/>
      <c r="AC191" s="3509"/>
    </row>
    <row r="192" spans="1:29">
      <c r="A192" s="3509"/>
      <c r="B192" s="3509"/>
      <c r="C192" s="3509"/>
      <c r="D192" s="3509"/>
      <c r="E192" s="3509"/>
      <c r="F192" s="3509"/>
      <c r="G192" s="3509"/>
      <c r="H192" s="3509"/>
      <c r="I192" s="3509"/>
      <c r="J192" s="3509"/>
      <c r="K192" s="3510"/>
      <c r="L192" s="3511"/>
      <c r="M192" s="3509"/>
      <c r="N192" s="3509"/>
      <c r="O192" s="3509"/>
      <c r="P192" s="3509"/>
      <c r="Q192" s="3509"/>
      <c r="R192" s="3509"/>
      <c r="S192" s="3509"/>
      <c r="T192" s="3509"/>
      <c r="U192" s="3509"/>
      <c r="V192" s="3509"/>
      <c r="W192" s="3509"/>
      <c r="X192" s="3509"/>
      <c r="Y192" s="3509"/>
      <c r="Z192" s="3509"/>
      <c r="AA192" s="3509"/>
      <c r="AB192" s="3509"/>
      <c r="AC192" s="3509"/>
    </row>
    <row r="193" spans="1:29">
      <c r="A193" s="3509"/>
      <c r="B193" s="3509"/>
      <c r="C193" s="3509"/>
      <c r="D193" s="3509"/>
      <c r="E193" s="3509"/>
      <c r="F193" s="3509"/>
      <c r="G193" s="3509"/>
      <c r="H193" s="3509"/>
      <c r="I193" s="3509"/>
      <c r="J193" s="3509"/>
      <c r="K193" s="3510"/>
      <c r="L193" s="3511"/>
      <c r="M193" s="3509"/>
      <c r="N193" s="3509"/>
      <c r="O193" s="3509"/>
      <c r="P193" s="3509"/>
      <c r="Q193" s="3509"/>
      <c r="R193" s="3509"/>
      <c r="S193" s="3509"/>
      <c r="T193" s="3509"/>
      <c r="U193" s="3509"/>
      <c r="V193" s="3509"/>
      <c r="W193" s="3509"/>
      <c r="X193" s="3509"/>
      <c r="Y193" s="3509"/>
      <c r="Z193" s="3509"/>
      <c r="AA193" s="3509"/>
      <c r="AB193" s="3509"/>
      <c r="AC193" s="3509"/>
    </row>
    <row r="194" spans="1:29">
      <c r="A194" s="3509"/>
      <c r="B194" s="3509"/>
      <c r="C194" s="3509"/>
      <c r="D194" s="3509"/>
      <c r="E194" s="3509"/>
      <c r="F194" s="3509"/>
      <c r="G194" s="3509"/>
      <c r="H194" s="3509"/>
      <c r="I194" s="3509"/>
      <c r="J194" s="3509"/>
      <c r="K194" s="3510"/>
      <c r="L194" s="3511"/>
      <c r="M194" s="3509"/>
      <c r="N194" s="3509"/>
      <c r="O194" s="3509"/>
      <c r="P194" s="3509"/>
      <c r="Q194" s="3509"/>
      <c r="R194" s="3509"/>
      <c r="S194" s="3509"/>
      <c r="T194" s="3509"/>
      <c r="U194" s="3509"/>
      <c r="V194" s="3509"/>
      <c r="W194" s="3509"/>
      <c r="X194" s="3509"/>
      <c r="Y194" s="3509"/>
      <c r="Z194" s="3509"/>
      <c r="AA194" s="3509"/>
      <c r="AB194" s="3509"/>
      <c r="AC194" s="3509"/>
    </row>
    <row r="195" spans="1:29">
      <c r="A195" s="3509"/>
      <c r="B195" s="3509"/>
      <c r="C195" s="3509"/>
      <c r="D195" s="3509"/>
      <c r="E195" s="3509"/>
      <c r="F195" s="3509"/>
      <c r="G195" s="3509"/>
      <c r="H195" s="3509"/>
      <c r="I195" s="3509"/>
      <c r="J195" s="3509"/>
      <c r="K195" s="3510"/>
      <c r="L195" s="3511"/>
      <c r="M195" s="3509"/>
      <c r="N195" s="3509"/>
      <c r="O195" s="3509"/>
      <c r="P195" s="3509"/>
      <c r="Q195" s="3509"/>
      <c r="R195" s="3509"/>
      <c r="S195" s="3509"/>
      <c r="T195" s="3509"/>
      <c r="U195" s="3509"/>
      <c r="V195" s="3509"/>
      <c r="W195" s="3509"/>
      <c r="X195" s="3509"/>
      <c r="Y195" s="3509"/>
      <c r="Z195" s="3509"/>
      <c r="AA195" s="3509"/>
      <c r="AB195" s="3509"/>
      <c r="AC195" s="3509"/>
    </row>
    <row r="196" spans="1:29">
      <c r="A196" s="3509"/>
      <c r="B196" s="3509"/>
      <c r="C196" s="3509"/>
      <c r="D196" s="3509"/>
      <c r="E196" s="3509"/>
      <c r="F196" s="3509"/>
      <c r="G196" s="3509"/>
      <c r="H196" s="3509"/>
      <c r="I196" s="3509"/>
      <c r="J196" s="3509"/>
      <c r="K196" s="3510"/>
      <c r="L196" s="3511"/>
      <c r="M196" s="3509"/>
      <c r="N196" s="3509"/>
      <c r="O196" s="3509"/>
      <c r="P196" s="3509"/>
      <c r="Q196" s="3509"/>
      <c r="R196" s="3509"/>
      <c r="S196" s="3509"/>
      <c r="T196" s="3509"/>
      <c r="U196" s="3509"/>
      <c r="V196" s="3509"/>
      <c r="W196" s="3509"/>
      <c r="X196" s="3509"/>
      <c r="Y196" s="3509"/>
      <c r="Z196" s="3509"/>
      <c r="AA196" s="3509"/>
      <c r="AB196" s="3509"/>
      <c r="AC196" s="3509"/>
    </row>
    <row r="197" spans="1:29">
      <c r="A197" s="3509"/>
      <c r="B197" s="3509"/>
      <c r="C197" s="3509"/>
      <c r="D197" s="3509"/>
      <c r="E197" s="3509"/>
      <c r="F197" s="3509"/>
      <c r="G197" s="3509"/>
      <c r="H197" s="3509"/>
      <c r="I197" s="3509"/>
      <c r="J197" s="3509"/>
      <c r="K197" s="3510"/>
      <c r="L197" s="3511"/>
      <c r="M197" s="3509"/>
      <c r="N197" s="3509"/>
      <c r="O197" s="3509"/>
      <c r="P197" s="3509"/>
      <c r="Q197" s="3509"/>
      <c r="R197" s="3509"/>
      <c r="S197" s="3509"/>
      <c r="T197" s="3509"/>
      <c r="U197" s="3509"/>
      <c r="V197" s="3509"/>
      <c r="W197" s="3509"/>
      <c r="X197" s="3509"/>
      <c r="Y197" s="3509"/>
      <c r="Z197" s="3509"/>
      <c r="AA197" s="3509"/>
      <c r="AB197" s="3509"/>
      <c r="AC197" s="3509"/>
    </row>
    <row r="198" spans="1:29">
      <c r="A198" s="3509"/>
      <c r="B198" s="3509"/>
      <c r="C198" s="3509"/>
      <c r="D198" s="3509"/>
      <c r="E198" s="3509"/>
      <c r="F198" s="3509"/>
      <c r="G198" s="3509"/>
      <c r="H198" s="3509"/>
      <c r="I198" s="3509"/>
      <c r="J198" s="3509"/>
      <c r="K198" s="3510"/>
      <c r="L198" s="3511"/>
      <c r="M198" s="3509"/>
      <c r="N198" s="3509"/>
      <c r="O198" s="3509"/>
      <c r="P198" s="3509"/>
      <c r="Q198" s="3509"/>
      <c r="R198" s="3509"/>
      <c r="S198" s="3509"/>
      <c r="T198" s="3509"/>
      <c r="U198" s="3509"/>
      <c r="V198" s="3509"/>
      <c r="W198" s="3509"/>
      <c r="X198" s="3509"/>
      <c r="Y198" s="3509"/>
      <c r="Z198" s="3509"/>
      <c r="AA198" s="3509"/>
      <c r="AB198" s="3509"/>
      <c r="AC198" s="3509"/>
    </row>
    <row r="199" spans="1:29">
      <c r="A199" s="3509"/>
      <c r="B199" s="3509"/>
      <c r="C199" s="3509"/>
      <c r="D199" s="3509"/>
      <c r="E199" s="3509"/>
      <c r="F199" s="3509"/>
      <c r="G199" s="3509"/>
      <c r="H199" s="3509"/>
      <c r="I199" s="3509"/>
      <c r="J199" s="3509"/>
      <c r="K199" s="3510"/>
      <c r="L199" s="3511"/>
      <c r="M199" s="3509"/>
      <c r="N199" s="3509"/>
      <c r="O199" s="3509"/>
      <c r="P199" s="3509"/>
      <c r="Q199" s="3509"/>
      <c r="R199" s="3509"/>
      <c r="S199" s="3509"/>
      <c r="T199" s="3509"/>
      <c r="U199" s="3509"/>
      <c r="V199" s="3509"/>
      <c r="W199" s="3509"/>
      <c r="X199" s="3509"/>
      <c r="Y199" s="3509"/>
      <c r="Z199" s="3509"/>
      <c r="AA199" s="3509"/>
      <c r="AB199" s="3509"/>
      <c r="AC199" s="3509"/>
    </row>
    <row r="200" spans="1:29">
      <c r="A200" s="3509"/>
      <c r="B200" s="3509"/>
      <c r="C200" s="3509"/>
      <c r="D200" s="3509"/>
      <c r="E200" s="3509"/>
      <c r="F200" s="3509"/>
      <c r="G200" s="3509"/>
      <c r="H200" s="3509"/>
      <c r="I200" s="3509"/>
      <c r="J200" s="3509"/>
      <c r="K200" s="3510"/>
      <c r="L200" s="3511"/>
      <c r="M200" s="3509"/>
      <c r="N200" s="3509"/>
      <c r="O200" s="3509"/>
      <c r="P200" s="3509"/>
      <c r="Q200" s="3509"/>
      <c r="R200" s="3509"/>
      <c r="S200" s="3509"/>
      <c r="T200" s="3509"/>
      <c r="U200" s="3509"/>
      <c r="V200" s="3509"/>
      <c r="W200" s="3509"/>
      <c r="X200" s="3509"/>
      <c r="Y200" s="3509"/>
      <c r="Z200" s="3509"/>
      <c r="AA200" s="3509"/>
      <c r="AB200" s="3509"/>
      <c r="AC200" s="3509"/>
    </row>
    <row r="201" spans="1:29">
      <c r="A201" s="3509"/>
      <c r="B201" s="3509"/>
      <c r="C201" s="3509"/>
      <c r="D201" s="3509"/>
      <c r="E201" s="3509"/>
      <c r="F201" s="3509"/>
      <c r="G201" s="3509"/>
      <c r="H201" s="3509"/>
      <c r="I201" s="3509"/>
      <c r="J201" s="3509"/>
      <c r="K201" s="3510"/>
      <c r="L201" s="3511"/>
      <c r="M201" s="3509"/>
      <c r="N201" s="3509"/>
      <c r="O201" s="3509"/>
      <c r="P201" s="3509"/>
      <c r="Q201" s="3509"/>
      <c r="R201" s="3509"/>
      <c r="S201" s="3509"/>
      <c r="T201" s="3509"/>
      <c r="U201" s="3509"/>
      <c r="V201" s="3509"/>
      <c r="W201" s="3509"/>
      <c r="X201" s="3509"/>
      <c r="Y201" s="3509"/>
      <c r="Z201" s="3509"/>
      <c r="AA201" s="3509"/>
      <c r="AB201" s="3509"/>
      <c r="AC201" s="3509"/>
    </row>
    <row r="202" spans="1:29">
      <c r="A202" s="3509"/>
      <c r="B202" s="3509"/>
      <c r="C202" s="3509"/>
      <c r="D202" s="3509"/>
      <c r="E202" s="3509"/>
      <c r="F202" s="3509"/>
      <c r="G202" s="3509"/>
      <c r="H202" s="3509"/>
      <c r="I202" s="3509"/>
      <c r="J202" s="3509"/>
      <c r="K202" s="3510"/>
      <c r="L202" s="3511"/>
      <c r="M202" s="3509"/>
      <c r="N202" s="3509"/>
      <c r="O202" s="3509"/>
      <c r="P202" s="3509"/>
      <c r="Q202" s="3509"/>
      <c r="R202" s="3509"/>
      <c r="S202" s="3509"/>
      <c r="T202" s="3509"/>
      <c r="U202" s="3509"/>
      <c r="V202" s="3509"/>
      <c r="W202" s="3509"/>
      <c r="X202" s="3509"/>
      <c r="Y202" s="3509"/>
      <c r="Z202" s="3509"/>
      <c r="AA202" s="3509"/>
      <c r="AB202" s="3509"/>
      <c r="AC202" s="3509"/>
    </row>
    <row r="203" spans="1:29">
      <c r="A203" s="3509"/>
      <c r="B203" s="3509"/>
      <c r="C203" s="3509"/>
      <c r="D203" s="3509"/>
      <c r="E203" s="3509"/>
      <c r="F203" s="3509"/>
      <c r="G203" s="3509"/>
      <c r="H203" s="3509"/>
      <c r="I203" s="3509"/>
      <c r="J203" s="3509"/>
      <c r="K203" s="3510"/>
      <c r="L203" s="3511"/>
      <c r="M203" s="3509"/>
      <c r="N203" s="3509"/>
      <c r="O203" s="3509"/>
      <c r="P203" s="3509"/>
      <c r="Q203" s="3509"/>
      <c r="R203" s="3509"/>
      <c r="S203" s="3509"/>
      <c r="T203" s="3509"/>
      <c r="U203" s="3509"/>
      <c r="V203" s="3509"/>
      <c r="W203" s="3509"/>
      <c r="X203" s="3509"/>
      <c r="Y203" s="3509"/>
      <c r="Z203" s="3509"/>
      <c r="AA203" s="3509"/>
      <c r="AB203" s="3509"/>
      <c r="AC203" s="3509"/>
    </row>
    <row r="204" spans="1:29">
      <c r="A204" s="3509"/>
      <c r="B204" s="3509"/>
      <c r="C204" s="3509"/>
      <c r="D204" s="3509"/>
      <c r="E204" s="3509"/>
      <c r="F204" s="3509"/>
      <c r="G204" s="3509"/>
      <c r="H204" s="3509"/>
      <c r="I204" s="3509"/>
      <c r="J204" s="3509"/>
      <c r="K204" s="3510"/>
      <c r="L204" s="3511"/>
      <c r="M204" s="3509"/>
      <c r="N204" s="3509"/>
      <c r="O204" s="3509"/>
      <c r="P204" s="3509"/>
      <c r="Q204" s="3509"/>
      <c r="R204" s="3509"/>
      <c r="S204" s="3509"/>
      <c r="T204" s="3509"/>
      <c r="U204" s="3509"/>
      <c r="V204" s="3509"/>
      <c r="W204" s="3509"/>
      <c r="X204" s="3509"/>
      <c r="Y204" s="3509"/>
      <c r="Z204" s="3509"/>
      <c r="AA204" s="3509"/>
      <c r="AB204" s="3509"/>
      <c r="AC204" s="3509"/>
    </row>
    <row r="205" spans="1:29">
      <c r="A205" s="3509"/>
      <c r="B205" s="3509"/>
      <c r="C205" s="3509"/>
      <c r="D205" s="3509"/>
      <c r="E205" s="3509"/>
      <c r="F205" s="3509"/>
      <c r="G205" s="3509"/>
      <c r="H205" s="3509"/>
      <c r="I205" s="3509"/>
      <c r="J205" s="3509"/>
      <c r="K205" s="3510"/>
      <c r="L205" s="3511"/>
      <c r="M205" s="3509"/>
      <c r="N205" s="3509"/>
      <c r="O205" s="3509"/>
      <c r="P205" s="3509"/>
      <c r="Q205" s="3509"/>
      <c r="R205" s="3509"/>
      <c r="S205" s="3509"/>
      <c r="T205" s="3509"/>
      <c r="U205" s="3509"/>
      <c r="V205" s="3509"/>
      <c r="W205" s="3509"/>
      <c r="X205" s="3509"/>
      <c r="Y205" s="3509"/>
      <c r="Z205" s="3509"/>
      <c r="AA205" s="3509"/>
      <c r="AB205" s="3509"/>
      <c r="AC205" s="3509"/>
    </row>
    <row r="206" spans="1:29">
      <c r="A206" s="3509"/>
      <c r="B206" s="3509"/>
      <c r="C206" s="3509"/>
      <c r="D206" s="3509"/>
      <c r="E206" s="3509"/>
      <c r="F206" s="3509"/>
      <c r="G206" s="3509"/>
      <c r="H206" s="3509"/>
      <c r="I206" s="3509"/>
      <c r="J206" s="3509"/>
      <c r="K206" s="3510"/>
      <c r="L206" s="3511"/>
      <c r="M206" s="3509"/>
      <c r="N206" s="3509"/>
      <c r="O206" s="3509"/>
      <c r="P206" s="3509"/>
      <c r="Q206" s="3509"/>
      <c r="R206" s="3509"/>
      <c r="S206" s="3509"/>
      <c r="T206" s="3509"/>
      <c r="U206" s="3509"/>
      <c r="V206" s="3509"/>
      <c r="W206" s="3509"/>
      <c r="X206" s="3509"/>
      <c r="Y206" s="3509"/>
      <c r="Z206" s="3509"/>
      <c r="AA206" s="3509"/>
      <c r="AB206" s="3509"/>
      <c r="AC206" s="3509"/>
    </row>
    <row r="207" spans="1:29">
      <c r="A207" s="3509"/>
      <c r="B207" s="3509"/>
      <c r="C207" s="3509"/>
      <c r="D207" s="3509"/>
      <c r="E207" s="3509"/>
      <c r="F207" s="3509"/>
      <c r="G207" s="3509"/>
      <c r="H207" s="3509"/>
      <c r="I207" s="3509"/>
      <c r="J207" s="3509"/>
      <c r="K207" s="3510"/>
      <c r="L207" s="3511"/>
      <c r="M207" s="3509"/>
      <c r="N207" s="3509"/>
      <c r="O207" s="3509"/>
      <c r="P207" s="3509"/>
      <c r="Q207" s="3509"/>
      <c r="R207" s="3509"/>
      <c r="S207" s="3509"/>
      <c r="T207" s="3509"/>
      <c r="U207" s="3509"/>
      <c r="V207" s="3509"/>
      <c r="W207" s="3509"/>
      <c r="X207" s="3509"/>
      <c r="Y207" s="3509"/>
      <c r="Z207" s="3509"/>
      <c r="AA207" s="3509"/>
      <c r="AB207" s="3509"/>
      <c r="AC207" s="3509"/>
    </row>
    <row r="208" spans="1:29">
      <c r="A208" s="3509"/>
      <c r="B208" s="3509"/>
      <c r="C208" s="3509"/>
      <c r="D208" s="3509"/>
      <c r="E208" s="3509"/>
      <c r="F208" s="3509"/>
      <c r="G208" s="3509"/>
      <c r="H208" s="3509"/>
      <c r="I208" s="3509"/>
      <c r="J208" s="3509"/>
      <c r="K208" s="3510"/>
      <c r="L208" s="3511"/>
      <c r="M208" s="3509"/>
      <c r="N208" s="3509"/>
      <c r="O208" s="3509"/>
      <c r="P208" s="3509"/>
      <c r="Q208" s="3509"/>
      <c r="R208" s="3509"/>
      <c r="S208" s="3509"/>
      <c r="T208" s="3509"/>
      <c r="U208" s="3509"/>
      <c r="V208" s="3509"/>
      <c r="W208" s="3509"/>
      <c r="X208" s="3509"/>
      <c r="Y208" s="3509"/>
      <c r="Z208" s="3509"/>
      <c r="AA208" s="3509"/>
      <c r="AB208" s="3509"/>
      <c r="AC208" s="3509"/>
    </row>
    <row r="209" spans="1:29">
      <c r="A209" s="3509"/>
      <c r="B209" s="3509"/>
      <c r="C209" s="3509"/>
      <c r="D209" s="3509"/>
      <c r="E209" s="3509"/>
      <c r="F209" s="3509"/>
      <c r="G209" s="3509"/>
      <c r="H209" s="3509"/>
      <c r="I209" s="3509"/>
      <c r="J209" s="3509"/>
      <c r="K209" s="3510"/>
      <c r="L209" s="3511"/>
      <c r="M209" s="3509"/>
      <c r="N209" s="3509"/>
      <c r="O209" s="3509"/>
      <c r="P209" s="3509"/>
      <c r="Q209" s="3509"/>
      <c r="R209" s="3509"/>
      <c r="S209" s="3509"/>
      <c r="T209" s="3509"/>
      <c r="U209" s="3509"/>
      <c r="V209" s="3509"/>
      <c r="W209" s="3509"/>
      <c r="X209" s="3509"/>
      <c r="Y209" s="3509"/>
      <c r="Z209" s="3509"/>
      <c r="AA209" s="3509"/>
      <c r="AB209" s="3509"/>
      <c r="AC209" s="3509"/>
    </row>
    <row r="210" spans="1:29">
      <c r="A210" s="3509"/>
      <c r="B210" s="3509"/>
      <c r="C210" s="3509"/>
      <c r="D210" s="3509"/>
      <c r="E210" s="3509"/>
      <c r="F210" s="3509"/>
      <c r="G210" s="3509"/>
      <c r="H210" s="3509"/>
      <c r="I210" s="3509"/>
      <c r="J210" s="3509"/>
      <c r="K210" s="3510"/>
      <c r="L210" s="3511"/>
      <c r="M210" s="3509"/>
      <c r="N210" s="3509"/>
      <c r="O210" s="3509"/>
      <c r="P210" s="3509"/>
      <c r="Q210" s="3509"/>
      <c r="R210" s="3509"/>
      <c r="S210" s="3509"/>
      <c r="T210" s="3509"/>
      <c r="U210" s="3509"/>
      <c r="V210" s="3509"/>
      <c r="W210" s="3509"/>
      <c r="X210" s="3509"/>
      <c r="Y210" s="3509"/>
      <c r="Z210" s="3509"/>
      <c r="AA210" s="3509"/>
      <c r="AB210" s="3509"/>
      <c r="AC210" s="3509"/>
    </row>
    <row r="211" spans="1:29">
      <c r="A211" s="3509"/>
      <c r="B211" s="3509"/>
      <c r="C211" s="3509"/>
      <c r="D211" s="3509"/>
      <c r="E211" s="3509"/>
      <c r="F211" s="3509"/>
      <c r="G211" s="3509"/>
      <c r="H211" s="3509"/>
      <c r="I211" s="3509"/>
      <c r="J211" s="3509"/>
      <c r="K211" s="3510"/>
      <c r="L211" s="3511"/>
      <c r="M211" s="3509"/>
      <c r="N211" s="3509"/>
      <c r="O211" s="3509"/>
      <c r="P211" s="3509"/>
      <c r="Q211" s="3509"/>
      <c r="R211" s="3509"/>
      <c r="S211" s="3509"/>
      <c r="T211" s="3509"/>
      <c r="U211" s="3509"/>
      <c r="V211" s="3509"/>
      <c r="W211" s="3509"/>
      <c r="X211" s="3509"/>
      <c r="Y211" s="3509"/>
      <c r="Z211" s="3509"/>
      <c r="AA211" s="3509"/>
      <c r="AB211" s="3509"/>
      <c r="AC211" s="3509"/>
    </row>
    <row r="212" spans="1:29">
      <c r="A212" s="3509"/>
      <c r="B212" s="3509"/>
      <c r="C212" s="3509"/>
      <c r="D212" s="3509"/>
      <c r="E212" s="3509"/>
      <c r="F212" s="3509"/>
      <c r="G212" s="3509"/>
      <c r="H212" s="3509"/>
      <c r="I212" s="3509"/>
      <c r="J212" s="3509"/>
      <c r="K212" s="3510"/>
      <c r="L212" s="3511"/>
      <c r="M212" s="3509"/>
      <c r="N212" s="3509"/>
      <c r="O212" s="3509"/>
      <c r="P212" s="3509"/>
      <c r="Q212" s="3509"/>
      <c r="R212" s="3509"/>
      <c r="S212" s="3509"/>
      <c r="T212" s="3509"/>
      <c r="U212" s="3509"/>
      <c r="V212" s="3509"/>
      <c r="W212" s="3509"/>
      <c r="X212" s="3509"/>
      <c r="Y212" s="3509"/>
      <c r="Z212" s="3509"/>
      <c r="AA212" s="3509"/>
      <c r="AB212" s="3509"/>
      <c r="AC212" s="3509"/>
    </row>
    <row r="213" spans="1:29">
      <c r="A213" s="3509"/>
      <c r="B213" s="3509"/>
      <c r="C213" s="3509"/>
      <c r="D213" s="3509"/>
      <c r="E213" s="3509"/>
      <c r="F213" s="3509"/>
      <c r="G213" s="3509"/>
      <c r="H213" s="3509"/>
      <c r="I213" s="3509"/>
      <c r="J213" s="3509"/>
      <c r="K213" s="3510"/>
      <c r="L213" s="3511"/>
      <c r="M213" s="3509"/>
      <c r="N213" s="3509"/>
      <c r="O213" s="3509"/>
      <c r="P213" s="3509"/>
      <c r="Q213" s="3509"/>
      <c r="R213" s="3509"/>
      <c r="S213" s="3509"/>
      <c r="T213" s="3509"/>
      <c r="U213" s="3509"/>
      <c r="V213" s="3509"/>
      <c r="W213" s="3509"/>
      <c r="X213" s="3509"/>
      <c r="Y213" s="3509"/>
      <c r="Z213" s="3509"/>
      <c r="AA213" s="3509"/>
      <c r="AB213" s="3509"/>
      <c r="AC213" s="3509"/>
    </row>
    <row r="214" spans="1:29">
      <c r="A214" s="3509"/>
      <c r="B214" s="3509"/>
      <c r="C214" s="3509"/>
      <c r="D214" s="3509"/>
      <c r="E214" s="3509"/>
      <c r="F214" s="3509"/>
      <c r="G214" s="3509"/>
      <c r="H214" s="3509"/>
      <c r="I214" s="3509"/>
      <c r="J214" s="3509"/>
      <c r="K214" s="3510"/>
      <c r="L214" s="3511"/>
      <c r="M214" s="3509"/>
      <c r="N214" s="3509"/>
      <c r="O214" s="3509"/>
      <c r="P214" s="3509"/>
      <c r="Q214" s="3509"/>
      <c r="R214" s="3509"/>
      <c r="S214" s="3509"/>
      <c r="T214" s="3509"/>
      <c r="U214" s="3509"/>
      <c r="V214" s="3509"/>
      <c r="W214" s="3509"/>
      <c r="X214" s="3509"/>
      <c r="Y214" s="3509"/>
      <c r="Z214" s="3509"/>
      <c r="AA214" s="3509"/>
      <c r="AB214" s="3509"/>
      <c r="AC214" s="3509"/>
    </row>
    <row r="215" spans="1:29">
      <c r="A215" s="3509"/>
      <c r="B215" s="3509"/>
      <c r="C215" s="3509"/>
      <c r="D215" s="3509"/>
      <c r="E215" s="3509"/>
      <c r="F215" s="3509"/>
      <c r="G215" s="3509"/>
      <c r="H215" s="3509"/>
      <c r="I215" s="3509"/>
      <c r="J215" s="3509"/>
      <c r="K215" s="3510"/>
      <c r="L215" s="3511"/>
      <c r="M215" s="3509"/>
      <c r="N215" s="3509"/>
      <c r="O215" s="3509"/>
      <c r="P215" s="3509"/>
      <c r="Q215" s="3509"/>
      <c r="R215" s="3509"/>
      <c r="S215" s="3509"/>
      <c r="T215" s="3509"/>
      <c r="U215" s="3509"/>
      <c r="V215" s="3509"/>
      <c r="W215" s="3509"/>
      <c r="X215" s="3509"/>
      <c r="Y215" s="3509"/>
      <c r="Z215" s="3509"/>
      <c r="AA215" s="3509"/>
      <c r="AB215" s="3509"/>
      <c r="AC215" s="3509"/>
    </row>
    <row r="216" spans="1:29">
      <c r="A216" s="3509"/>
      <c r="B216" s="3509"/>
      <c r="C216" s="3509"/>
      <c r="D216" s="3509"/>
      <c r="E216" s="3509"/>
      <c r="F216" s="3509"/>
      <c r="G216" s="3509"/>
      <c r="H216" s="3509"/>
      <c r="I216" s="3509"/>
      <c r="J216" s="3509"/>
      <c r="K216" s="3510"/>
      <c r="L216" s="3511"/>
      <c r="M216" s="3509"/>
      <c r="N216" s="3509"/>
      <c r="O216" s="3509"/>
      <c r="P216" s="3509"/>
      <c r="Q216" s="3509"/>
      <c r="R216" s="3509"/>
      <c r="S216" s="3509"/>
      <c r="T216" s="3509"/>
      <c r="U216" s="3509"/>
      <c r="V216" s="3509"/>
      <c r="W216" s="3509"/>
      <c r="X216" s="3509"/>
      <c r="Y216" s="3509"/>
      <c r="Z216" s="3509"/>
      <c r="AA216" s="3509"/>
      <c r="AB216" s="3509"/>
      <c r="AC216" s="3509"/>
    </row>
    <row r="217" spans="1:29">
      <c r="A217" s="3509"/>
      <c r="B217" s="3509"/>
      <c r="C217" s="3509"/>
      <c r="D217" s="3509"/>
      <c r="E217" s="3509"/>
      <c r="F217" s="3509"/>
      <c r="G217" s="3509"/>
      <c r="H217" s="3509"/>
      <c r="I217" s="3509"/>
      <c r="J217" s="3509"/>
      <c r="K217" s="3510"/>
      <c r="L217" s="3511"/>
      <c r="M217" s="3509"/>
      <c r="N217" s="3509"/>
      <c r="O217" s="3509"/>
      <c r="P217" s="3509"/>
      <c r="Q217" s="3509"/>
      <c r="R217" s="3509"/>
      <c r="S217" s="3509"/>
      <c r="T217" s="3509"/>
      <c r="U217" s="3509"/>
      <c r="V217" s="3509"/>
      <c r="W217" s="3509"/>
      <c r="X217" s="3509"/>
      <c r="Y217" s="3509"/>
      <c r="Z217" s="3509"/>
      <c r="AA217" s="3509"/>
      <c r="AB217" s="3509"/>
      <c r="AC217" s="3509"/>
    </row>
    <row r="218" spans="1:29">
      <c r="A218" s="3509"/>
      <c r="B218" s="3509"/>
      <c r="C218" s="3509"/>
      <c r="D218" s="3509"/>
      <c r="E218" s="3509"/>
      <c r="F218" s="3509"/>
      <c r="G218" s="3509"/>
      <c r="H218" s="3509"/>
      <c r="I218" s="3509"/>
      <c r="J218" s="3509"/>
      <c r="K218" s="3510"/>
      <c r="L218" s="3511"/>
      <c r="M218" s="3509"/>
      <c r="N218" s="3509"/>
      <c r="O218" s="3509"/>
      <c r="P218" s="3509"/>
      <c r="Q218" s="3509"/>
      <c r="R218" s="3509"/>
      <c r="S218" s="3509"/>
      <c r="T218" s="3509"/>
      <c r="U218" s="3509"/>
      <c r="V218" s="3509"/>
      <c r="W218" s="3509"/>
      <c r="X218" s="3509"/>
      <c r="Y218" s="3509"/>
      <c r="Z218" s="3509"/>
      <c r="AA218" s="3509"/>
      <c r="AB218" s="3509"/>
      <c r="AC218" s="3509"/>
    </row>
    <row r="219" spans="1:29">
      <c r="A219" s="3509"/>
      <c r="B219" s="3509"/>
      <c r="C219" s="3509"/>
      <c r="D219" s="3509"/>
      <c r="E219" s="3509"/>
      <c r="F219" s="3509"/>
      <c r="G219" s="3509"/>
      <c r="H219" s="3509"/>
      <c r="I219" s="3509"/>
      <c r="J219" s="3509"/>
      <c r="K219" s="3510"/>
      <c r="L219" s="3511"/>
      <c r="M219" s="3509"/>
      <c r="N219" s="3509"/>
      <c r="O219" s="3509"/>
      <c r="P219" s="3509"/>
      <c r="Q219" s="3509"/>
      <c r="R219" s="3509"/>
      <c r="S219" s="3509"/>
      <c r="T219" s="3509"/>
      <c r="U219" s="3509"/>
      <c r="V219" s="3509"/>
      <c r="W219" s="3509"/>
      <c r="X219" s="3509"/>
      <c r="Y219" s="3509"/>
      <c r="Z219" s="3509"/>
      <c r="AA219" s="3509"/>
      <c r="AB219" s="3509"/>
      <c r="AC219" s="3509"/>
    </row>
    <row r="220" spans="1:29">
      <c r="A220" s="3509"/>
      <c r="B220" s="3509"/>
      <c r="C220" s="3509"/>
      <c r="D220" s="3509"/>
      <c r="E220" s="3509"/>
      <c r="F220" s="3509"/>
      <c r="G220" s="3509"/>
      <c r="H220" s="3509"/>
      <c r="I220" s="3509"/>
      <c r="J220" s="3509"/>
      <c r="K220" s="3510"/>
      <c r="L220" s="3511"/>
      <c r="M220" s="3509"/>
      <c r="N220" s="3509"/>
      <c r="O220" s="3509"/>
      <c r="P220" s="3509"/>
      <c r="Q220" s="3509"/>
      <c r="R220" s="3509"/>
      <c r="S220" s="3509"/>
      <c r="T220" s="3509"/>
      <c r="U220" s="3509"/>
      <c r="V220" s="3509"/>
      <c r="W220" s="3509"/>
      <c r="X220" s="3509"/>
      <c r="Y220" s="3509"/>
      <c r="Z220" s="3509"/>
      <c r="AA220" s="3509"/>
      <c r="AB220" s="3509"/>
      <c r="AC220" s="3509"/>
    </row>
    <row r="221" spans="1:29">
      <c r="A221" s="3509"/>
      <c r="B221" s="3509"/>
      <c r="C221" s="3509"/>
      <c r="D221" s="3509"/>
      <c r="E221" s="3509"/>
      <c r="F221" s="3509"/>
      <c r="G221" s="3509"/>
      <c r="H221" s="3509"/>
      <c r="I221" s="3509"/>
      <c r="J221" s="3509"/>
      <c r="K221" s="3510"/>
      <c r="L221" s="3511"/>
      <c r="M221" s="3509"/>
      <c r="N221" s="3509"/>
      <c r="O221" s="3509"/>
      <c r="P221" s="3509"/>
      <c r="Q221" s="3509"/>
      <c r="R221" s="3509"/>
      <c r="S221" s="3509"/>
      <c r="T221" s="3509"/>
      <c r="U221" s="3509"/>
      <c r="V221" s="3509"/>
      <c r="W221" s="3509"/>
      <c r="X221" s="3509"/>
      <c r="Y221" s="3509"/>
      <c r="Z221" s="3509"/>
      <c r="AA221" s="3509"/>
      <c r="AB221" s="3509"/>
      <c r="AC221" s="3509"/>
    </row>
    <row r="222" spans="1:29">
      <c r="A222" s="3509"/>
      <c r="B222" s="3509"/>
      <c r="C222" s="3509"/>
      <c r="D222" s="3509"/>
      <c r="E222" s="3509"/>
      <c r="F222" s="3509"/>
      <c r="G222" s="3509"/>
      <c r="H222" s="3509"/>
      <c r="I222" s="3509"/>
      <c r="J222" s="3509"/>
      <c r="K222" s="3510"/>
      <c r="L222" s="3511"/>
      <c r="M222" s="3509"/>
      <c r="N222" s="3509"/>
      <c r="O222" s="3509"/>
      <c r="P222" s="3509"/>
      <c r="Q222" s="3509"/>
      <c r="R222" s="3509"/>
      <c r="S222" s="3509"/>
      <c r="T222" s="3509"/>
      <c r="U222" s="3509"/>
      <c r="V222" s="3509"/>
      <c r="W222" s="3509"/>
      <c r="X222" s="3509"/>
      <c r="Y222" s="3509"/>
      <c r="Z222" s="3509"/>
      <c r="AA222" s="3509"/>
      <c r="AB222" s="3509"/>
      <c r="AC222" s="3509"/>
    </row>
    <row r="223" spans="1:29">
      <c r="A223" s="3509"/>
      <c r="B223" s="3509"/>
      <c r="C223" s="3509"/>
      <c r="D223" s="3509"/>
      <c r="E223" s="3509"/>
      <c r="F223" s="3509"/>
      <c r="G223" s="3509"/>
      <c r="H223" s="3509"/>
      <c r="I223" s="3509"/>
      <c r="J223" s="3509"/>
      <c r="K223" s="3510"/>
      <c r="L223" s="3511"/>
      <c r="M223" s="3509"/>
      <c r="N223" s="3509"/>
      <c r="O223" s="3509"/>
      <c r="P223" s="3509"/>
      <c r="Q223" s="3509"/>
      <c r="R223" s="3509"/>
      <c r="S223" s="3509"/>
      <c r="T223" s="3509"/>
      <c r="U223" s="3509"/>
      <c r="V223" s="3509"/>
      <c r="W223" s="3509"/>
      <c r="X223" s="3509"/>
      <c r="Y223" s="3509"/>
      <c r="Z223" s="3509"/>
      <c r="AA223" s="3509"/>
      <c r="AB223" s="3509"/>
      <c r="AC223" s="3509"/>
    </row>
    <row r="224" spans="1:29">
      <c r="A224" s="3509"/>
      <c r="B224" s="3509"/>
      <c r="C224" s="3509"/>
      <c r="D224" s="3509"/>
      <c r="E224" s="3509"/>
      <c r="F224" s="3509"/>
      <c r="G224" s="3509"/>
      <c r="H224" s="3509"/>
      <c r="I224" s="3509"/>
      <c r="J224" s="3509"/>
      <c r="K224" s="3510"/>
      <c r="L224" s="3511"/>
      <c r="M224" s="3509"/>
      <c r="N224" s="3509"/>
      <c r="O224" s="3509"/>
      <c r="P224" s="3509"/>
      <c r="Q224" s="3509"/>
      <c r="R224" s="3509"/>
      <c r="S224" s="3509"/>
      <c r="T224" s="3509"/>
      <c r="U224" s="3509"/>
      <c r="V224" s="3509"/>
      <c r="W224" s="3509"/>
      <c r="X224" s="3509"/>
      <c r="Y224" s="3509"/>
      <c r="Z224" s="3509"/>
      <c r="AA224" s="3509"/>
      <c r="AB224" s="3509"/>
      <c r="AC224" s="3509"/>
    </row>
    <row r="225" spans="1:29">
      <c r="A225" s="3509"/>
      <c r="B225" s="3509"/>
      <c r="C225" s="3509"/>
      <c r="D225" s="3509"/>
      <c r="E225" s="3509"/>
      <c r="F225" s="3509"/>
      <c r="G225" s="3509"/>
      <c r="H225" s="3509"/>
      <c r="I225" s="3509"/>
      <c r="J225" s="3509"/>
      <c r="K225" s="3510"/>
      <c r="L225" s="3511"/>
      <c r="M225" s="3509"/>
      <c r="N225" s="3509"/>
      <c r="O225" s="3509"/>
      <c r="P225" s="3509"/>
      <c r="Q225" s="3509"/>
      <c r="R225" s="3509"/>
      <c r="S225" s="3509"/>
      <c r="T225" s="3509"/>
      <c r="U225" s="3509"/>
      <c r="V225" s="3509"/>
      <c r="W225" s="3509"/>
      <c r="X225" s="3509"/>
      <c r="Y225" s="3509"/>
      <c r="Z225" s="3509"/>
      <c r="AA225" s="3509"/>
      <c r="AB225" s="3509"/>
      <c r="AC225" s="3509"/>
    </row>
    <row r="226" spans="1:29">
      <c r="A226" s="3509"/>
      <c r="B226" s="3509"/>
      <c r="C226" s="3509"/>
      <c r="D226" s="3509"/>
      <c r="E226" s="3509"/>
      <c r="F226" s="3509"/>
      <c r="G226" s="3509"/>
      <c r="H226" s="3509"/>
      <c r="I226" s="3509"/>
      <c r="J226" s="3509"/>
      <c r="K226" s="3510"/>
      <c r="L226" s="3511"/>
      <c r="M226" s="3509"/>
      <c r="N226" s="3509"/>
      <c r="O226" s="3509"/>
      <c r="P226" s="3509"/>
      <c r="Q226" s="3509"/>
      <c r="R226" s="3509"/>
      <c r="S226" s="3509"/>
      <c r="T226" s="3509"/>
      <c r="U226" s="3509"/>
      <c r="V226" s="3509"/>
      <c r="W226" s="3509"/>
      <c r="X226" s="3509"/>
      <c r="Y226" s="3509"/>
      <c r="Z226" s="3509"/>
      <c r="AA226" s="3509"/>
      <c r="AB226" s="3509"/>
      <c r="AC226" s="3509"/>
    </row>
    <row r="227" spans="1:29">
      <c r="A227" s="3509"/>
      <c r="B227" s="3509"/>
      <c r="C227" s="3509"/>
      <c r="D227" s="3509"/>
      <c r="E227" s="3509"/>
      <c r="F227" s="3509"/>
      <c r="G227" s="3509"/>
      <c r="H227" s="3509"/>
      <c r="I227" s="3509"/>
      <c r="J227" s="3509"/>
      <c r="K227" s="3510"/>
      <c r="L227" s="3511"/>
      <c r="M227" s="3509"/>
      <c r="N227" s="3509"/>
      <c r="O227" s="3509"/>
      <c r="P227" s="3509"/>
      <c r="Q227" s="3509"/>
      <c r="R227" s="3509"/>
      <c r="S227" s="3509"/>
      <c r="T227" s="3509"/>
      <c r="U227" s="3509"/>
      <c r="V227" s="3509"/>
      <c r="W227" s="3509"/>
      <c r="X227" s="3509"/>
      <c r="Y227" s="3509"/>
      <c r="Z227" s="3509"/>
      <c r="AA227" s="3509"/>
      <c r="AB227" s="3509"/>
      <c r="AC227" s="3509"/>
    </row>
    <row r="228" spans="1:29">
      <c r="A228" s="3509"/>
      <c r="B228" s="3509"/>
      <c r="C228" s="3509"/>
      <c r="D228" s="3509"/>
      <c r="E228" s="3509"/>
      <c r="F228" s="3509"/>
      <c r="G228" s="3509"/>
      <c r="H228" s="3509"/>
      <c r="I228" s="3509"/>
      <c r="J228" s="3509"/>
      <c r="K228" s="3510"/>
      <c r="L228" s="3511"/>
      <c r="M228" s="3509"/>
      <c r="N228" s="3509"/>
      <c r="O228" s="3509"/>
      <c r="P228" s="3509"/>
      <c r="Q228" s="3509"/>
      <c r="R228" s="3509"/>
      <c r="S228" s="3509"/>
      <c r="T228" s="3509"/>
      <c r="U228" s="3509"/>
      <c r="V228" s="3509"/>
      <c r="W228" s="3509"/>
      <c r="X228" s="3509"/>
      <c r="Y228" s="3509"/>
      <c r="Z228" s="3509"/>
      <c r="AA228" s="3509"/>
      <c r="AB228" s="3509"/>
      <c r="AC228" s="3509"/>
    </row>
    <row r="229" spans="1:29">
      <c r="A229" s="3509"/>
      <c r="B229" s="3509"/>
      <c r="C229" s="3509"/>
      <c r="D229" s="3509"/>
      <c r="E229" s="3509"/>
      <c r="F229" s="3509"/>
      <c r="G229" s="3509"/>
      <c r="H229" s="3509"/>
      <c r="I229" s="3509"/>
      <c r="J229" s="3509"/>
      <c r="K229" s="3510"/>
      <c r="L229" s="3511"/>
      <c r="M229" s="3509"/>
      <c r="N229" s="3509"/>
      <c r="O229" s="3509"/>
      <c r="P229" s="3509"/>
      <c r="Q229" s="3509"/>
      <c r="R229" s="3509"/>
      <c r="S229" s="3509"/>
      <c r="T229" s="3509"/>
      <c r="U229" s="3509"/>
      <c r="V229" s="3509"/>
      <c r="W229" s="3509"/>
      <c r="X229" s="3509"/>
      <c r="Y229" s="3509"/>
      <c r="Z229" s="3509"/>
      <c r="AA229" s="3509"/>
      <c r="AB229" s="3509"/>
      <c r="AC229" s="3509"/>
    </row>
    <row r="230" spans="1:29">
      <c r="A230" s="3509"/>
      <c r="B230" s="3509"/>
      <c r="C230" s="3509"/>
      <c r="D230" s="3509"/>
      <c r="E230" s="3509"/>
      <c r="F230" s="3509"/>
      <c r="G230" s="3509"/>
      <c r="H230" s="3509"/>
      <c r="I230" s="3509"/>
      <c r="J230" s="3509"/>
      <c r="K230" s="3510"/>
      <c r="L230" s="3511"/>
      <c r="M230" s="3509"/>
      <c r="N230" s="3509"/>
      <c r="O230" s="3509"/>
      <c r="P230" s="3509"/>
      <c r="Q230" s="3509"/>
      <c r="R230" s="3509"/>
      <c r="S230" s="3509"/>
      <c r="T230" s="3509"/>
      <c r="U230" s="3509"/>
      <c r="V230" s="3509"/>
      <c r="W230" s="3509"/>
      <c r="X230" s="3509"/>
      <c r="Y230" s="3509"/>
      <c r="Z230" s="3509"/>
      <c r="AA230" s="3509"/>
      <c r="AB230" s="3509"/>
      <c r="AC230" s="3509"/>
    </row>
    <row r="231" spans="1:29">
      <c r="A231" s="3509"/>
      <c r="B231" s="3509"/>
      <c r="C231" s="3509"/>
      <c r="D231" s="3509"/>
      <c r="E231" s="3509"/>
      <c r="F231" s="3509"/>
      <c r="G231" s="3509"/>
      <c r="H231" s="3509"/>
      <c r="I231" s="3509"/>
      <c r="J231" s="3509"/>
      <c r="K231" s="3510"/>
      <c r="L231" s="3511"/>
      <c r="M231" s="3509"/>
      <c r="N231" s="3509"/>
      <c r="O231" s="3509"/>
      <c r="P231" s="3509"/>
      <c r="Q231" s="3509"/>
      <c r="R231" s="3509"/>
      <c r="S231" s="3509"/>
      <c r="T231" s="3509"/>
      <c r="U231" s="3509"/>
      <c r="V231" s="3509"/>
      <c r="W231" s="3509"/>
      <c r="X231" s="3509"/>
      <c r="Y231" s="3509"/>
      <c r="Z231" s="3509"/>
      <c r="AA231" s="3509"/>
      <c r="AB231" s="3509"/>
      <c r="AC231" s="3509"/>
    </row>
    <row r="232" spans="1:29">
      <c r="A232" s="3509"/>
      <c r="B232" s="3509"/>
      <c r="C232" s="3509"/>
      <c r="D232" s="3509"/>
      <c r="E232" s="3509"/>
      <c r="F232" s="3509"/>
      <c r="G232" s="3509"/>
      <c r="H232" s="3509"/>
      <c r="I232" s="3509"/>
      <c r="J232" s="3509"/>
      <c r="K232" s="3510"/>
      <c r="L232" s="3511"/>
      <c r="M232" s="3509"/>
      <c r="N232" s="3509"/>
      <c r="O232" s="3509"/>
      <c r="P232" s="3509"/>
      <c r="Q232" s="3509"/>
      <c r="R232" s="3509"/>
      <c r="S232" s="3509"/>
      <c r="T232" s="3509"/>
      <c r="U232" s="3509"/>
      <c r="V232" s="3509"/>
      <c r="W232" s="3509"/>
      <c r="X232" s="3509"/>
      <c r="Y232" s="3509"/>
      <c r="Z232" s="3509"/>
      <c r="AA232" s="3509"/>
      <c r="AB232" s="3509"/>
      <c r="AC232" s="3509"/>
    </row>
    <row r="233" spans="1:29">
      <c r="A233" s="3509"/>
      <c r="B233" s="3509"/>
      <c r="C233" s="3509"/>
      <c r="D233" s="3509"/>
      <c r="E233" s="3509"/>
      <c r="F233" s="3509"/>
      <c r="G233" s="3509"/>
      <c r="H233" s="3509"/>
      <c r="I233" s="3509"/>
      <c r="J233" s="3509"/>
      <c r="K233" s="3510"/>
      <c r="L233" s="3511"/>
      <c r="M233" s="3509"/>
      <c r="N233" s="3509"/>
      <c r="O233" s="3509"/>
      <c r="P233" s="3509"/>
      <c r="Q233" s="3509"/>
      <c r="R233" s="3509"/>
      <c r="S233" s="3509"/>
      <c r="T233" s="3509"/>
      <c r="U233" s="3509"/>
      <c r="V233" s="3509"/>
      <c r="W233" s="3509"/>
      <c r="X233" s="3509"/>
      <c r="Y233" s="3509"/>
      <c r="Z233" s="3509"/>
      <c r="AA233" s="3509"/>
      <c r="AB233" s="3509"/>
      <c r="AC233" s="3509"/>
    </row>
    <row r="234" spans="1:29">
      <c r="A234" s="3509"/>
      <c r="B234" s="3509"/>
      <c r="C234" s="3509"/>
      <c r="D234" s="3509"/>
      <c r="E234" s="3509"/>
      <c r="F234" s="3509"/>
      <c r="G234" s="3509"/>
      <c r="H234" s="3509"/>
      <c r="I234" s="3509"/>
      <c r="J234" s="3509"/>
      <c r="K234" s="3510"/>
      <c r="L234" s="3511"/>
      <c r="M234" s="3509"/>
      <c r="N234" s="3509"/>
      <c r="O234" s="3509"/>
      <c r="P234" s="3509"/>
      <c r="Q234" s="3509"/>
      <c r="R234" s="3509"/>
      <c r="S234" s="3509"/>
      <c r="T234" s="3509"/>
      <c r="U234" s="3509"/>
      <c r="V234" s="3509"/>
      <c r="W234" s="3509"/>
      <c r="X234" s="3509"/>
      <c r="Y234" s="3509"/>
      <c r="Z234" s="3509"/>
      <c r="AA234" s="3509"/>
      <c r="AB234" s="3509"/>
      <c r="AC234" s="3509"/>
    </row>
    <row r="235" spans="1:29">
      <c r="A235" s="3509"/>
      <c r="B235" s="3509"/>
      <c r="C235" s="3509"/>
      <c r="D235" s="3509"/>
      <c r="E235" s="3509"/>
      <c r="F235" s="3509"/>
      <c r="G235" s="3509"/>
      <c r="H235" s="3509"/>
      <c r="I235" s="3509"/>
      <c r="J235" s="3509"/>
      <c r="K235" s="3510"/>
      <c r="L235" s="3511"/>
      <c r="M235" s="3509"/>
      <c r="N235" s="3509"/>
      <c r="O235" s="3509"/>
      <c r="P235" s="3509"/>
      <c r="Q235" s="3509"/>
      <c r="R235" s="3509"/>
      <c r="S235" s="3509"/>
      <c r="T235" s="3509"/>
      <c r="U235" s="3509"/>
      <c r="V235" s="3509"/>
      <c r="W235" s="3509"/>
      <c r="X235" s="3509"/>
      <c r="Y235" s="3509"/>
      <c r="Z235" s="3509"/>
      <c r="AA235" s="3509"/>
      <c r="AB235" s="3509"/>
      <c r="AC235" s="3509"/>
    </row>
    <row r="236" spans="1:29">
      <c r="A236" s="3509"/>
      <c r="B236" s="3509"/>
      <c r="C236" s="3509"/>
      <c r="D236" s="3509"/>
      <c r="E236" s="3509"/>
      <c r="F236" s="3509"/>
      <c r="G236" s="3509"/>
      <c r="H236" s="3509"/>
      <c r="I236" s="3509"/>
      <c r="J236" s="3509"/>
      <c r="K236" s="3510"/>
      <c r="L236" s="3511"/>
      <c r="M236" s="3509"/>
      <c r="N236" s="3509"/>
      <c r="O236" s="3509"/>
      <c r="P236" s="3509"/>
      <c r="Q236" s="3509"/>
      <c r="R236" s="3509"/>
      <c r="S236" s="3509"/>
      <c r="T236" s="3509"/>
      <c r="U236" s="3509"/>
      <c r="V236" s="3509"/>
      <c r="W236" s="3509"/>
      <c r="X236" s="3509"/>
      <c r="Y236" s="3509"/>
      <c r="Z236" s="3509"/>
      <c r="AA236" s="3509"/>
      <c r="AB236" s="3509"/>
      <c r="AC236" s="3509"/>
    </row>
    <row r="237" spans="1:29">
      <c r="A237" s="3509"/>
      <c r="B237" s="3509"/>
      <c r="C237" s="3509"/>
      <c r="D237" s="3509"/>
      <c r="E237" s="3509"/>
      <c r="F237" s="3509"/>
      <c r="G237" s="3509"/>
      <c r="H237" s="3509"/>
      <c r="I237" s="3509"/>
      <c r="J237" s="3509"/>
      <c r="K237" s="3510"/>
      <c r="L237" s="3511"/>
      <c r="M237" s="3509"/>
      <c r="N237" s="3509"/>
      <c r="O237" s="3509"/>
      <c r="P237" s="3509"/>
      <c r="Q237" s="3509"/>
      <c r="R237" s="3509"/>
      <c r="S237" s="3509"/>
      <c r="T237" s="3509"/>
      <c r="U237" s="3509"/>
      <c r="V237" s="3509"/>
      <c r="W237" s="3509"/>
      <c r="X237" s="3509"/>
      <c r="Y237" s="3509"/>
      <c r="Z237" s="3509"/>
      <c r="AA237" s="3509"/>
      <c r="AB237" s="3509"/>
      <c r="AC237" s="3509"/>
    </row>
    <row r="238" spans="1:29">
      <c r="A238" s="3509"/>
      <c r="B238" s="3509"/>
      <c r="C238" s="3509"/>
      <c r="D238" s="3509"/>
      <c r="E238" s="3509"/>
      <c r="F238" s="3509"/>
      <c r="G238" s="3509"/>
      <c r="H238" s="3509"/>
      <c r="I238" s="3509"/>
      <c r="J238" s="3509"/>
      <c r="K238" s="3510"/>
      <c r="L238" s="3511"/>
      <c r="M238" s="3509"/>
      <c r="N238" s="3509"/>
      <c r="O238" s="3509"/>
      <c r="P238" s="3509"/>
      <c r="Q238" s="3509"/>
      <c r="R238" s="3509"/>
      <c r="S238" s="3509"/>
      <c r="T238" s="3509"/>
      <c r="U238" s="3509"/>
      <c r="V238" s="3509"/>
      <c r="W238" s="3509"/>
      <c r="X238" s="3509"/>
      <c r="Y238" s="3509"/>
      <c r="Z238" s="3509"/>
      <c r="AA238" s="3509"/>
      <c r="AB238" s="3509"/>
      <c r="AC238" s="3509"/>
    </row>
    <row r="239" spans="1:29">
      <c r="A239" s="3509"/>
      <c r="B239" s="3509"/>
      <c r="C239" s="3509"/>
      <c r="D239" s="3509"/>
      <c r="E239" s="3509"/>
      <c r="F239" s="3509"/>
      <c r="G239" s="3509"/>
      <c r="H239" s="3509"/>
      <c r="I239" s="3509"/>
      <c r="J239" s="3509"/>
      <c r="K239" s="3510"/>
      <c r="L239" s="3511"/>
      <c r="M239" s="3509"/>
      <c r="N239" s="3509"/>
      <c r="O239" s="3509"/>
      <c r="P239" s="3509"/>
      <c r="Q239" s="3509"/>
      <c r="R239" s="3509"/>
      <c r="S239" s="3509"/>
      <c r="T239" s="3509"/>
      <c r="U239" s="3509"/>
      <c r="V239" s="3509"/>
      <c r="W239" s="3509"/>
      <c r="X239" s="3509"/>
      <c r="Y239" s="3509"/>
      <c r="Z239" s="3509"/>
      <c r="AA239" s="3509"/>
      <c r="AB239" s="3509"/>
      <c r="AC239" s="3509"/>
    </row>
    <row r="240" spans="1:29">
      <c r="A240" s="3509"/>
      <c r="B240" s="3509"/>
      <c r="C240" s="3509"/>
      <c r="D240" s="3509"/>
      <c r="E240" s="3509"/>
      <c r="F240" s="3509"/>
      <c r="G240" s="3509"/>
      <c r="H240" s="3509"/>
      <c r="I240" s="3509"/>
      <c r="J240" s="3509"/>
      <c r="K240" s="3510"/>
      <c r="L240" s="3511"/>
      <c r="M240" s="3509"/>
      <c r="N240" s="3509"/>
      <c r="O240" s="3509"/>
      <c r="P240" s="3509"/>
      <c r="Q240" s="3509"/>
      <c r="R240" s="3509"/>
      <c r="S240" s="3509"/>
      <c r="T240" s="3509"/>
      <c r="U240" s="3509"/>
      <c r="V240" s="3509"/>
      <c r="W240" s="3509"/>
      <c r="X240" s="3509"/>
      <c r="Y240" s="3509"/>
      <c r="Z240" s="3509"/>
      <c r="AA240" s="3509"/>
      <c r="AB240" s="3509"/>
      <c r="AC240" s="3509"/>
    </row>
    <row r="241" spans="1:29">
      <c r="A241" s="3509"/>
      <c r="B241" s="3509"/>
      <c r="C241" s="3509"/>
      <c r="D241" s="3509"/>
      <c r="E241" s="3509"/>
      <c r="F241" s="3509"/>
      <c r="G241" s="3509"/>
      <c r="H241" s="3509"/>
      <c r="I241" s="3509"/>
      <c r="J241" s="3509"/>
      <c r="K241" s="3510"/>
      <c r="L241" s="3511"/>
      <c r="M241" s="3509"/>
      <c r="N241" s="3509"/>
      <c r="O241" s="3509"/>
      <c r="P241" s="3509"/>
      <c r="Q241" s="3509"/>
      <c r="R241" s="3509"/>
      <c r="S241" s="3509"/>
      <c r="T241" s="3509"/>
      <c r="U241" s="3509"/>
      <c r="V241" s="3509"/>
      <c r="W241" s="3509"/>
      <c r="X241" s="3509"/>
      <c r="Y241" s="3509"/>
      <c r="Z241" s="3509"/>
      <c r="AA241" s="3509"/>
      <c r="AB241" s="3509"/>
      <c r="AC241" s="3509"/>
    </row>
    <row r="242" spans="1:29">
      <c r="A242" s="3509"/>
      <c r="B242" s="3509"/>
      <c r="C242" s="3509"/>
      <c r="D242" s="3509"/>
      <c r="E242" s="3509"/>
      <c r="F242" s="3509"/>
      <c r="G242" s="3509"/>
      <c r="H242" s="3509"/>
      <c r="I242" s="3509"/>
      <c r="J242" s="3509"/>
      <c r="K242" s="3510"/>
      <c r="L242" s="3511"/>
      <c r="M242" s="3509"/>
      <c r="N242" s="3509"/>
      <c r="O242" s="3509"/>
      <c r="P242" s="3509"/>
      <c r="Q242" s="3509"/>
      <c r="R242" s="3509"/>
      <c r="S242" s="3509"/>
      <c r="T242" s="3509"/>
      <c r="U242" s="3509"/>
      <c r="V242" s="3509"/>
      <c r="W242" s="3509"/>
      <c r="X242" s="3509"/>
      <c r="Y242" s="3509"/>
      <c r="Z242" s="3509"/>
      <c r="AA242" s="3509"/>
      <c r="AB242" s="3509"/>
      <c r="AC242" s="3509"/>
    </row>
    <row r="243" spans="1:29">
      <c r="A243" s="3509"/>
      <c r="B243" s="3509"/>
      <c r="C243" s="3509"/>
      <c r="D243" s="3509"/>
      <c r="E243" s="3509"/>
      <c r="F243" s="3509"/>
      <c r="G243" s="3509"/>
      <c r="H243" s="3509"/>
      <c r="I243" s="3509"/>
      <c r="J243" s="3509"/>
      <c r="K243" s="3510"/>
      <c r="L243" s="3511"/>
      <c r="M243" s="3509"/>
      <c r="N243" s="3509"/>
      <c r="O243" s="3509"/>
      <c r="P243" s="3509"/>
      <c r="Q243" s="3509"/>
      <c r="R243" s="3509"/>
      <c r="S243" s="3509"/>
      <c r="T243" s="3509"/>
      <c r="U243" s="3509"/>
      <c r="V243" s="3509"/>
      <c r="W243" s="3509"/>
      <c r="X243" s="3509"/>
      <c r="Y243" s="3509"/>
      <c r="Z243" s="3509"/>
      <c r="AA243" s="3509"/>
      <c r="AB243" s="3509"/>
      <c r="AC243" s="3509"/>
    </row>
    <row r="244" spans="1:29">
      <c r="A244" s="3509"/>
      <c r="B244" s="3509"/>
      <c r="C244" s="3509"/>
      <c r="D244" s="3509"/>
      <c r="E244" s="3509"/>
      <c r="F244" s="3509"/>
      <c r="G244" s="3509"/>
      <c r="H244" s="3509"/>
      <c r="I244" s="3509"/>
      <c r="J244" s="3509"/>
      <c r="K244" s="3510"/>
      <c r="L244" s="3511"/>
      <c r="M244" s="3509"/>
      <c r="N244" s="3509"/>
      <c r="O244" s="3509"/>
      <c r="P244" s="3509"/>
      <c r="Q244" s="3509"/>
      <c r="R244" s="3509"/>
      <c r="S244" s="3509"/>
      <c r="T244" s="3509"/>
      <c r="U244" s="3509"/>
      <c r="V244" s="3509"/>
      <c r="W244" s="3509"/>
      <c r="X244" s="3509"/>
      <c r="Y244" s="3509"/>
      <c r="Z244" s="3509"/>
      <c r="AA244" s="3509"/>
      <c r="AB244" s="3509"/>
      <c r="AC244" s="3509"/>
    </row>
    <row r="245" spans="1:29">
      <c r="A245" s="3509"/>
      <c r="B245" s="3509"/>
      <c r="C245" s="3509"/>
      <c r="D245" s="3509"/>
      <c r="E245" s="3509"/>
      <c r="F245" s="3509"/>
      <c r="G245" s="3509"/>
      <c r="H245" s="3509"/>
      <c r="I245" s="3509"/>
      <c r="J245" s="3509"/>
      <c r="K245" s="3510"/>
      <c r="L245" s="3511"/>
      <c r="M245" s="3509"/>
      <c r="N245" s="3509"/>
      <c r="O245" s="3509"/>
      <c r="P245" s="3509"/>
      <c r="Q245" s="3509"/>
      <c r="R245" s="3509"/>
      <c r="S245" s="3509"/>
      <c r="T245" s="3509"/>
      <c r="U245" s="3509"/>
      <c r="V245" s="3509"/>
      <c r="W245" s="3509"/>
      <c r="X245" s="3509"/>
      <c r="Y245" s="3509"/>
      <c r="Z245" s="3509"/>
      <c r="AA245" s="3509"/>
      <c r="AB245" s="3509"/>
      <c r="AC245" s="3509"/>
    </row>
    <row r="246" spans="1:29">
      <c r="A246" s="3509"/>
      <c r="B246" s="3509"/>
      <c r="C246" s="3509"/>
      <c r="D246" s="3509"/>
      <c r="E246" s="3509"/>
      <c r="F246" s="3509"/>
      <c r="G246" s="3509"/>
      <c r="H246" s="3509"/>
      <c r="I246" s="3509"/>
      <c r="J246" s="3509"/>
      <c r="K246" s="3510"/>
      <c r="L246" s="3511"/>
      <c r="M246" s="3509"/>
      <c r="N246" s="3509"/>
      <c r="O246" s="3509"/>
      <c r="P246" s="3509"/>
      <c r="Q246" s="3509"/>
      <c r="R246" s="3509"/>
      <c r="S246" s="3509"/>
      <c r="T246" s="3509"/>
      <c r="U246" s="3509"/>
      <c r="V246" s="3509"/>
      <c r="W246" s="3509"/>
      <c r="X246" s="3509"/>
      <c r="Y246" s="3509"/>
      <c r="Z246" s="3509"/>
      <c r="AA246" s="3509"/>
      <c r="AB246" s="3509"/>
      <c r="AC246" s="3509"/>
    </row>
    <row r="247" spans="1:29">
      <c r="A247" s="3509"/>
      <c r="B247" s="3509"/>
      <c r="C247" s="3509"/>
      <c r="D247" s="3509"/>
      <c r="E247" s="3509"/>
      <c r="F247" s="3509"/>
      <c r="G247" s="3509"/>
      <c r="H247" s="3509"/>
      <c r="I247" s="3509"/>
      <c r="J247" s="3509"/>
      <c r="K247" s="3510"/>
      <c r="L247" s="3511"/>
      <c r="M247" s="3509"/>
      <c r="N247" s="3509"/>
      <c r="O247" s="3509"/>
      <c r="P247" s="3509"/>
      <c r="Q247" s="3509"/>
      <c r="R247" s="3509"/>
      <c r="S247" s="3509"/>
      <c r="T247" s="3509"/>
      <c r="U247" s="3509"/>
      <c r="V247" s="3509"/>
      <c r="W247" s="3509"/>
      <c r="X247" s="3509"/>
      <c r="Y247" s="3509"/>
      <c r="Z247" s="3509"/>
      <c r="AA247" s="3509"/>
      <c r="AB247" s="3509"/>
      <c r="AC247" s="3509"/>
    </row>
    <row r="248" spans="1:29">
      <c r="A248" s="3509"/>
      <c r="B248" s="3509"/>
      <c r="C248" s="3509"/>
      <c r="D248" s="3509"/>
      <c r="E248" s="3509"/>
      <c r="F248" s="3509"/>
      <c r="G248" s="3509"/>
      <c r="H248" s="3509"/>
      <c r="I248" s="3509"/>
      <c r="J248" s="3509"/>
      <c r="K248" s="3510"/>
      <c r="L248" s="3511"/>
      <c r="M248" s="3509"/>
      <c r="N248" s="3509"/>
      <c r="O248" s="3509"/>
      <c r="P248" s="3509"/>
      <c r="Q248" s="3509"/>
      <c r="R248" s="3509"/>
      <c r="S248" s="3509"/>
      <c r="T248" s="3509"/>
      <c r="U248" s="3509"/>
      <c r="V248" s="3509"/>
      <c r="W248" s="3509"/>
      <c r="X248" s="3509"/>
      <c r="Y248" s="3509"/>
      <c r="Z248" s="3509"/>
      <c r="AA248" s="3509"/>
      <c r="AB248" s="3509"/>
      <c r="AC248" s="3509"/>
    </row>
    <row r="249" spans="1:29">
      <c r="A249" s="3509"/>
      <c r="B249" s="3509"/>
      <c r="C249" s="3509"/>
      <c r="D249" s="3509"/>
      <c r="E249" s="3509"/>
      <c r="F249" s="3509"/>
      <c r="G249" s="3509"/>
      <c r="H249" s="3509"/>
      <c r="I249" s="3509"/>
      <c r="J249" s="3509"/>
      <c r="K249" s="3510"/>
      <c r="L249" s="3511"/>
      <c r="M249" s="3509"/>
      <c r="N249" s="3509"/>
      <c r="O249" s="3509"/>
      <c r="P249" s="3509"/>
      <c r="Q249" s="3509"/>
      <c r="R249" s="3509"/>
      <c r="S249" s="3509"/>
      <c r="T249" s="3509"/>
      <c r="U249" s="3509"/>
      <c r="V249" s="3509"/>
      <c r="W249" s="3509"/>
      <c r="X249" s="3509"/>
      <c r="Y249" s="3509"/>
      <c r="Z249" s="3509"/>
      <c r="AA249" s="3509"/>
      <c r="AB249" s="3509"/>
      <c r="AC249" s="3509"/>
    </row>
    <row r="250" spans="1:29">
      <c r="A250" s="3509"/>
      <c r="B250" s="3509"/>
      <c r="C250" s="3509"/>
      <c r="D250" s="3509"/>
      <c r="E250" s="3509"/>
      <c r="F250" s="3509"/>
      <c r="G250" s="3509"/>
      <c r="H250" s="3509"/>
      <c r="I250" s="3509"/>
      <c r="J250" s="3509"/>
      <c r="K250" s="3510"/>
      <c r="L250" s="3511"/>
      <c r="M250" s="3509"/>
      <c r="N250" s="3509"/>
      <c r="O250" s="3509"/>
      <c r="P250" s="3509"/>
      <c r="Q250" s="3509"/>
      <c r="R250" s="3509"/>
      <c r="S250" s="3509"/>
      <c r="T250" s="3509"/>
      <c r="U250" s="3509"/>
      <c r="V250" s="3509"/>
      <c r="W250" s="3509"/>
      <c r="X250" s="3509"/>
      <c r="Y250" s="3509"/>
      <c r="Z250" s="3509"/>
      <c r="AA250" s="3509"/>
      <c r="AB250" s="3509"/>
      <c r="AC250" s="3509"/>
    </row>
    <row r="251" spans="1:29">
      <c r="A251" s="3509"/>
      <c r="B251" s="3509"/>
      <c r="C251" s="3509"/>
      <c r="D251" s="3509"/>
      <c r="E251" s="3509"/>
      <c r="F251" s="3509"/>
      <c r="G251" s="3509"/>
      <c r="H251" s="3509"/>
      <c r="I251" s="3509"/>
      <c r="J251" s="3509"/>
      <c r="K251" s="3510"/>
      <c r="L251" s="3511"/>
      <c r="M251" s="3509"/>
      <c r="N251" s="3509"/>
      <c r="O251" s="3509"/>
      <c r="P251" s="3509"/>
      <c r="Q251" s="3509"/>
      <c r="R251" s="3509"/>
      <c r="S251" s="3509"/>
      <c r="T251" s="3509"/>
      <c r="U251" s="3509"/>
      <c r="V251" s="3509"/>
      <c r="W251" s="3509"/>
      <c r="X251" s="3509"/>
      <c r="Y251" s="3509"/>
      <c r="Z251" s="3509"/>
      <c r="AA251" s="3509"/>
      <c r="AB251" s="3509"/>
      <c r="AC251" s="3509"/>
    </row>
    <row r="252" spans="1:29">
      <c r="A252" s="3509"/>
      <c r="B252" s="3509"/>
      <c r="C252" s="3509"/>
      <c r="D252" s="3509"/>
      <c r="E252" s="3509"/>
      <c r="F252" s="3509"/>
      <c r="G252" s="3509"/>
      <c r="H252" s="3509"/>
      <c r="I252" s="3509"/>
      <c r="J252" s="3509"/>
      <c r="K252" s="3510"/>
      <c r="L252" s="3511"/>
      <c r="M252" s="3509"/>
      <c r="N252" s="3509"/>
      <c r="O252" s="3509"/>
      <c r="P252" s="3509"/>
      <c r="Q252" s="3509"/>
      <c r="R252" s="3509"/>
      <c r="S252" s="3509"/>
      <c r="T252" s="3509"/>
      <c r="U252" s="3509"/>
      <c r="V252" s="3509"/>
      <c r="W252" s="3509"/>
      <c r="X252" s="3509"/>
      <c r="Y252" s="3509"/>
      <c r="Z252" s="3509"/>
      <c r="AA252" s="3509"/>
      <c r="AB252" s="3509"/>
      <c r="AC252" s="3509"/>
    </row>
    <row r="253" spans="1:29">
      <c r="A253" s="3509"/>
      <c r="B253" s="3509"/>
      <c r="C253" s="3509"/>
      <c r="D253" s="3509"/>
      <c r="E253" s="3509"/>
      <c r="F253" s="3509"/>
      <c r="G253" s="3509"/>
      <c r="H253" s="3509"/>
      <c r="I253" s="3509"/>
      <c r="J253" s="3509"/>
      <c r="K253" s="3510"/>
      <c r="L253" s="3511"/>
      <c r="M253" s="3509"/>
      <c r="N253" s="3509"/>
      <c r="O253" s="3509"/>
      <c r="P253" s="3509"/>
      <c r="Q253" s="3509"/>
      <c r="R253" s="3509"/>
      <c r="S253" s="3509"/>
      <c r="T253" s="3509"/>
      <c r="U253" s="3509"/>
      <c r="V253" s="3509"/>
      <c r="W253" s="3509"/>
      <c r="X253" s="3509"/>
      <c r="Y253" s="3509"/>
      <c r="Z253" s="3509"/>
      <c r="AA253" s="3509"/>
      <c r="AB253" s="3509"/>
      <c r="AC253" s="3509"/>
    </row>
    <row r="254" spans="1:29">
      <c r="A254" s="3509"/>
      <c r="B254" s="3509"/>
      <c r="C254" s="3509"/>
      <c r="D254" s="3509"/>
      <c r="E254" s="3509"/>
      <c r="F254" s="3509"/>
      <c r="G254" s="3509"/>
      <c r="H254" s="3509"/>
      <c r="I254" s="3509"/>
      <c r="J254" s="3509"/>
      <c r="K254" s="3510"/>
      <c r="L254" s="3511"/>
      <c r="M254" s="3509"/>
      <c r="N254" s="3509"/>
      <c r="O254" s="3509"/>
      <c r="P254" s="3509"/>
      <c r="Q254" s="3509"/>
      <c r="R254" s="3509"/>
      <c r="S254" s="3509"/>
      <c r="T254" s="3509"/>
      <c r="U254" s="3509"/>
      <c r="V254" s="3509"/>
      <c r="W254" s="3509"/>
      <c r="X254" s="3509"/>
      <c r="Y254" s="3509"/>
      <c r="Z254" s="3509"/>
      <c r="AA254" s="3509"/>
      <c r="AB254" s="3509"/>
      <c r="AC254" s="3509"/>
    </row>
    <row r="255" spans="1:29">
      <c r="A255" s="3509"/>
      <c r="B255" s="3509"/>
      <c r="C255" s="3509"/>
      <c r="D255" s="3509"/>
      <c r="E255" s="3509"/>
      <c r="F255" s="3509"/>
      <c r="G255" s="3509"/>
      <c r="H255" s="3509"/>
      <c r="I255" s="3509"/>
      <c r="J255" s="3509"/>
      <c r="K255" s="3510"/>
      <c r="L255" s="3511"/>
      <c r="M255" s="3509"/>
      <c r="N255" s="3509"/>
      <c r="O255" s="3509"/>
      <c r="P255" s="3509"/>
      <c r="Q255" s="3509"/>
      <c r="R255" s="3509"/>
      <c r="S255" s="3509"/>
      <c r="T255" s="3509"/>
      <c r="U255" s="3509"/>
      <c r="V255" s="3509"/>
      <c r="W255" s="3509"/>
      <c r="X255" s="3509"/>
      <c r="Y255" s="3509"/>
      <c r="Z255" s="3509"/>
      <c r="AA255" s="3509"/>
      <c r="AB255" s="3509"/>
      <c r="AC255" s="3509"/>
    </row>
    <row r="256" spans="1:29">
      <c r="A256" s="3509"/>
      <c r="B256" s="3509"/>
      <c r="C256" s="3509"/>
      <c r="D256" s="3509"/>
      <c r="E256" s="3509"/>
      <c r="F256" s="3509"/>
      <c r="G256" s="3509"/>
      <c r="H256" s="3509"/>
      <c r="I256" s="3509"/>
      <c r="J256" s="3509"/>
      <c r="K256" s="3510"/>
      <c r="L256" s="3511"/>
      <c r="M256" s="3509"/>
      <c r="N256" s="3509"/>
      <c r="O256" s="3509"/>
      <c r="P256" s="3509"/>
      <c r="Q256" s="3509"/>
      <c r="R256" s="3509"/>
      <c r="S256" s="3509"/>
      <c r="T256" s="3509"/>
      <c r="U256" s="3509"/>
      <c r="V256" s="3509"/>
      <c r="W256" s="3509"/>
      <c r="X256" s="3509"/>
      <c r="Y256" s="3509"/>
      <c r="Z256" s="3509"/>
      <c r="AA256" s="3509"/>
      <c r="AB256" s="3509"/>
      <c r="AC256" s="3509"/>
    </row>
    <row r="257" spans="1:29">
      <c r="A257" s="3509"/>
      <c r="B257" s="3509"/>
      <c r="C257" s="3509"/>
      <c r="D257" s="3509"/>
      <c r="E257" s="3509"/>
      <c r="F257" s="3509"/>
      <c r="G257" s="3509"/>
      <c r="H257" s="3509"/>
      <c r="I257" s="3509"/>
      <c r="J257" s="3509"/>
      <c r="K257" s="3510"/>
      <c r="L257" s="3511"/>
      <c r="M257" s="3509"/>
      <c r="N257" s="3509"/>
      <c r="O257" s="3509"/>
      <c r="P257" s="3509"/>
      <c r="Q257" s="3509"/>
      <c r="R257" s="3509"/>
      <c r="S257" s="3509"/>
      <c r="T257" s="3509"/>
      <c r="U257" s="3509"/>
      <c r="V257" s="3509"/>
      <c r="W257" s="3509"/>
      <c r="X257" s="3509"/>
      <c r="Y257" s="3509"/>
      <c r="Z257" s="3509"/>
      <c r="AA257" s="3509"/>
      <c r="AB257" s="3509"/>
      <c r="AC257" s="3509"/>
    </row>
    <row r="258" spans="1:29">
      <c r="A258" s="3509"/>
      <c r="B258" s="3509"/>
      <c r="C258" s="3509"/>
      <c r="D258" s="3509"/>
      <c r="E258" s="3509"/>
      <c r="F258" s="3509"/>
      <c r="G258" s="3509"/>
      <c r="H258" s="3509"/>
      <c r="I258" s="3509"/>
      <c r="J258" s="3509"/>
      <c r="K258" s="3510"/>
      <c r="L258" s="3511"/>
      <c r="M258" s="3509"/>
      <c r="N258" s="3509"/>
      <c r="O258" s="3509"/>
      <c r="P258" s="3509"/>
      <c r="Q258" s="3509"/>
      <c r="R258" s="3509"/>
      <c r="S258" s="3509"/>
      <c r="T258" s="3509"/>
      <c r="U258" s="3509"/>
      <c r="V258" s="3509"/>
      <c r="W258" s="3509"/>
      <c r="X258" s="3509"/>
      <c r="Y258" s="3509"/>
      <c r="Z258" s="3509"/>
      <c r="AA258" s="3509"/>
      <c r="AB258" s="3509"/>
      <c r="AC258" s="3509"/>
    </row>
    <row r="259" spans="1:29">
      <c r="A259" s="3509"/>
      <c r="B259" s="3509"/>
      <c r="C259" s="3509"/>
      <c r="D259" s="3509"/>
      <c r="E259" s="3509"/>
      <c r="F259" s="3509"/>
      <c r="G259" s="3509"/>
      <c r="H259" s="3509"/>
      <c r="I259" s="3509"/>
      <c r="J259" s="3509"/>
      <c r="K259" s="3510"/>
      <c r="L259" s="3511"/>
      <c r="M259" s="3509"/>
      <c r="N259" s="3509"/>
      <c r="O259" s="3509"/>
      <c r="P259" s="3509"/>
      <c r="Q259" s="3509"/>
      <c r="R259" s="3509"/>
      <c r="S259" s="3509"/>
      <c r="T259" s="3509"/>
      <c r="U259" s="3509"/>
      <c r="V259" s="3509"/>
      <c r="W259" s="3509"/>
      <c r="X259" s="3509"/>
      <c r="Y259" s="3509"/>
      <c r="Z259" s="3509"/>
      <c r="AA259" s="3509"/>
      <c r="AB259" s="3509"/>
      <c r="AC259" s="3509"/>
    </row>
    <row r="260" spans="1:29">
      <c r="A260" s="3509"/>
      <c r="B260" s="3509"/>
      <c r="C260" s="3509"/>
      <c r="D260" s="3509"/>
      <c r="E260" s="3509"/>
      <c r="F260" s="3509"/>
      <c r="G260" s="3509"/>
      <c r="H260" s="3509"/>
      <c r="I260" s="3509"/>
      <c r="J260" s="3509"/>
      <c r="K260" s="3510"/>
      <c r="L260" s="3511"/>
      <c r="M260" s="3509"/>
      <c r="N260" s="3509"/>
      <c r="O260" s="3509"/>
      <c r="P260" s="3509"/>
      <c r="Q260" s="3509"/>
      <c r="R260" s="3509"/>
      <c r="S260" s="3509"/>
      <c r="T260" s="3509"/>
      <c r="U260" s="3509"/>
      <c r="V260" s="3509"/>
      <c r="W260" s="3509"/>
      <c r="X260" s="3509"/>
      <c r="Y260" s="3509"/>
      <c r="Z260" s="3509"/>
      <c r="AA260" s="3509"/>
      <c r="AB260" s="3509"/>
      <c r="AC260" s="3509"/>
    </row>
    <row r="261" spans="1:29">
      <c r="A261" s="3509"/>
      <c r="B261" s="3509"/>
      <c r="C261" s="3509"/>
      <c r="D261" s="3509"/>
      <c r="E261" s="3509"/>
      <c r="F261" s="3509"/>
      <c r="G261" s="3509"/>
      <c r="H261" s="3509"/>
      <c r="I261" s="3509"/>
      <c r="J261" s="3509"/>
      <c r="K261" s="3510"/>
      <c r="L261" s="3511"/>
      <c r="M261" s="3509"/>
      <c r="N261" s="3509"/>
      <c r="O261" s="3509"/>
      <c r="P261" s="3509"/>
      <c r="Q261" s="3509"/>
      <c r="R261" s="3509"/>
      <c r="S261" s="3509"/>
      <c r="T261" s="3509"/>
      <c r="U261" s="3509"/>
      <c r="V261" s="3509"/>
      <c r="W261" s="3509"/>
      <c r="X261" s="3509"/>
      <c r="Y261" s="3509"/>
      <c r="Z261" s="3509"/>
      <c r="AA261" s="3509"/>
      <c r="AB261" s="3509"/>
      <c r="AC261" s="3509"/>
    </row>
    <row r="262" spans="1:29">
      <c r="A262" s="3509"/>
      <c r="B262" s="3509"/>
      <c r="C262" s="3509"/>
      <c r="D262" s="3509"/>
      <c r="E262" s="3509"/>
      <c r="F262" s="3509"/>
      <c r="G262" s="3509"/>
      <c r="H262" s="3509"/>
      <c r="I262" s="3509"/>
      <c r="J262" s="3509"/>
      <c r="K262" s="3510"/>
      <c r="L262" s="3511"/>
      <c r="M262" s="3509"/>
      <c r="N262" s="3509"/>
      <c r="O262" s="3509"/>
      <c r="P262" s="3509"/>
      <c r="Q262" s="3509"/>
      <c r="R262" s="3509"/>
      <c r="S262" s="3509"/>
      <c r="T262" s="3509"/>
      <c r="U262" s="3509"/>
      <c r="V262" s="3509"/>
      <c r="W262" s="3509"/>
      <c r="X262" s="3509"/>
      <c r="Y262" s="3509"/>
      <c r="Z262" s="3509"/>
      <c r="AA262" s="3509"/>
      <c r="AB262" s="3509"/>
      <c r="AC262" s="3509"/>
    </row>
    <row r="263" spans="1:29">
      <c r="A263" s="3509"/>
      <c r="B263" s="3509"/>
      <c r="C263" s="3509"/>
      <c r="D263" s="3509"/>
      <c r="E263" s="3509"/>
      <c r="F263" s="3509"/>
      <c r="G263" s="3509"/>
      <c r="H263" s="3509"/>
      <c r="I263" s="3509"/>
      <c r="J263" s="3509"/>
      <c r="K263" s="3510"/>
      <c r="L263" s="3511"/>
      <c r="M263" s="3509"/>
      <c r="N263" s="3509"/>
      <c r="O263" s="3509"/>
      <c r="P263" s="3509"/>
      <c r="Q263" s="3509"/>
      <c r="R263" s="3509"/>
      <c r="S263" s="3509"/>
      <c r="T263" s="3509"/>
      <c r="U263" s="3509"/>
      <c r="V263" s="3509"/>
      <c r="W263" s="3509"/>
      <c r="X263" s="3509"/>
      <c r="Y263" s="3509"/>
      <c r="Z263" s="3509"/>
      <c r="AA263" s="3509"/>
      <c r="AB263" s="3509"/>
      <c r="AC263" s="3509"/>
    </row>
    <row r="264" spans="1:29">
      <c r="A264" s="3509"/>
      <c r="B264" s="3509"/>
      <c r="C264" s="3509"/>
      <c r="D264" s="3509"/>
      <c r="E264" s="3509"/>
      <c r="F264" s="3509"/>
      <c r="G264" s="3509"/>
      <c r="H264" s="3509"/>
      <c r="I264" s="3509"/>
      <c r="J264" s="3509"/>
      <c r="K264" s="3510"/>
      <c r="L264" s="3511"/>
      <c r="M264" s="3509"/>
      <c r="N264" s="3509"/>
      <c r="O264" s="3509"/>
      <c r="P264" s="3509"/>
      <c r="Q264" s="3509"/>
      <c r="R264" s="3509"/>
      <c r="S264" s="3509"/>
      <c r="T264" s="3509"/>
      <c r="U264" s="3509"/>
      <c r="V264" s="3509"/>
      <c r="W264" s="3509"/>
      <c r="X264" s="3509"/>
      <c r="Y264" s="3509"/>
      <c r="Z264" s="3509"/>
      <c r="AA264" s="3509"/>
      <c r="AB264" s="3509"/>
      <c r="AC264" s="3509"/>
    </row>
    <row r="265" spans="1:29">
      <c r="A265" s="3509"/>
      <c r="B265" s="3509"/>
      <c r="C265" s="3509"/>
      <c r="D265" s="3509"/>
      <c r="E265" s="3509"/>
      <c r="F265" s="3509"/>
      <c r="G265" s="3509"/>
      <c r="H265" s="3509"/>
      <c r="I265" s="3509"/>
      <c r="J265" s="3509"/>
      <c r="K265" s="3510"/>
      <c r="L265" s="3511"/>
      <c r="M265" s="3509"/>
      <c r="N265" s="3509"/>
      <c r="O265" s="3509"/>
      <c r="P265" s="3509"/>
      <c r="Q265" s="3509"/>
      <c r="R265" s="3509"/>
      <c r="S265" s="3509"/>
      <c r="T265" s="3509"/>
      <c r="U265" s="3509"/>
      <c r="V265" s="3509"/>
      <c r="W265" s="3509"/>
      <c r="X265" s="3509"/>
      <c r="Y265" s="3509"/>
      <c r="Z265" s="3509"/>
      <c r="AA265" s="3509"/>
      <c r="AB265" s="3509"/>
      <c r="AC265" s="3509"/>
    </row>
    <row r="266" spans="1:29">
      <c r="A266" s="3509"/>
      <c r="B266" s="3509"/>
      <c r="C266" s="3509"/>
      <c r="D266" s="3509"/>
      <c r="E266" s="3509"/>
      <c r="F266" s="3509"/>
      <c r="G266" s="3509"/>
      <c r="H266" s="3509"/>
      <c r="I266" s="3509"/>
      <c r="J266" s="3509"/>
      <c r="K266" s="3510"/>
      <c r="L266" s="3511"/>
      <c r="M266" s="3509"/>
      <c r="N266" s="3509"/>
      <c r="O266" s="3509"/>
      <c r="P266" s="3509"/>
      <c r="Q266" s="3509"/>
      <c r="R266" s="3509"/>
      <c r="S266" s="3509"/>
      <c r="T266" s="3509"/>
      <c r="U266" s="3509"/>
      <c r="V266" s="3509"/>
      <c r="W266" s="3509"/>
      <c r="X266" s="3509"/>
      <c r="Y266" s="3509"/>
      <c r="Z266" s="3509"/>
      <c r="AA266" s="3509"/>
      <c r="AB266" s="3509"/>
      <c r="AC266" s="3509"/>
    </row>
    <row r="267" spans="1:29">
      <c r="A267" s="3509"/>
      <c r="B267" s="3509"/>
      <c r="C267" s="3509"/>
      <c r="D267" s="3509"/>
      <c r="E267" s="3509"/>
      <c r="F267" s="3509"/>
      <c r="G267" s="3509"/>
      <c r="H267" s="3509"/>
      <c r="I267" s="3509"/>
      <c r="J267" s="3509"/>
      <c r="K267" s="3510"/>
      <c r="L267" s="3511"/>
      <c r="M267" s="3509"/>
      <c r="N267" s="3509"/>
      <c r="O267" s="3509"/>
      <c r="P267" s="3509"/>
      <c r="Q267" s="3509"/>
      <c r="R267" s="3509"/>
      <c r="S267" s="3509"/>
      <c r="T267" s="3509"/>
      <c r="U267" s="3509"/>
      <c r="V267" s="3509"/>
      <c r="W267" s="3509"/>
      <c r="X267" s="3509"/>
      <c r="Y267" s="3509"/>
      <c r="Z267" s="3509"/>
      <c r="AA267" s="3509"/>
      <c r="AB267" s="3509"/>
      <c r="AC267" s="3509"/>
    </row>
    <row r="268" spans="1:29">
      <c r="A268" s="3509"/>
      <c r="B268" s="3509"/>
      <c r="C268" s="3509"/>
      <c r="D268" s="3509"/>
      <c r="E268" s="3509"/>
      <c r="F268" s="3509"/>
      <c r="G268" s="3509"/>
      <c r="H268" s="3509"/>
      <c r="I268" s="3509"/>
      <c r="J268" s="3509"/>
      <c r="K268" s="3510"/>
      <c r="L268" s="3511"/>
      <c r="M268" s="3509"/>
      <c r="N268" s="3509"/>
      <c r="O268" s="3509"/>
      <c r="P268" s="3509"/>
      <c r="Q268" s="3509"/>
      <c r="R268" s="3509"/>
      <c r="S268" s="3509"/>
      <c r="T268" s="3509"/>
      <c r="U268" s="3509"/>
      <c r="V268" s="3509"/>
      <c r="W268" s="3509"/>
      <c r="X268" s="3509"/>
      <c r="Y268" s="3509"/>
      <c r="Z268" s="3509"/>
      <c r="AA268" s="3509"/>
      <c r="AB268" s="3509"/>
      <c r="AC268" s="3509"/>
    </row>
    <row r="269" spans="1:29">
      <c r="A269" s="3509"/>
      <c r="B269" s="3509"/>
      <c r="C269" s="3509"/>
      <c r="D269" s="3509"/>
      <c r="E269" s="3509"/>
      <c r="F269" s="3509"/>
      <c r="G269" s="3509"/>
      <c r="H269" s="3509"/>
      <c r="I269" s="3509"/>
      <c r="J269" s="3509"/>
      <c r="K269" s="3510"/>
      <c r="L269" s="3511"/>
      <c r="M269" s="3509"/>
      <c r="N269" s="3509"/>
      <c r="O269" s="3509"/>
      <c r="P269" s="3509"/>
      <c r="Q269" s="3509"/>
      <c r="R269" s="3509"/>
      <c r="S269" s="3509"/>
      <c r="T269" s="3509"/>
      <c r="U269" s="3509"/>
      <c r="V269" s="3509"/>
      <c r="W269" s="3509"/>
      <c r="X269" s="3509"/>
      <c r="Y269" s="3509"/>
      <c r="Z269" s="3509"/>
      <c r="AA269" s="3509"/>
      <c r="AB269" s="3509"/>
      <c r="AC269" s="3509"/>
    </row>
    <row r="270" spans="1:29">
      <c r="A270" s="3509"/>
      <c r="B270" s="3509"/>
      <c r="C270" s="3509"/>
      <c r="D270" s="3509"/>
      <c r="E270" s="3509"/>
      <c r="F270" s="3509"/>
      <c r="G270" s="3509"/>
      <c r="H270" s="3509"/>
      <c r="I270" s="3509"/>
      <c r="J270" s="3509"/>
      <c r="K270" s="3510"/>
      <c r="L270" s="3511"/>
      <c r="M270" s="3509"/>
      <c r="N270" s="3509"/>
      <c r="O270" s="3509"/>
      <c r="P270" s="3509"/>
      <c r="Q270" s="3509"/>
      <c r="R270" s="3509"/>
      <c r="S270" s="3509"/>
      <c r="T270" s="3509"/>
      <c r="U270" s="3509"/>
      <c r="V270" s="3509"/>
      <c r="W270" s="3509"/>
      <c r="X270" s="3509"/>
      <c r="Y270" s="3509"/>
      <c r="Z270" s="3509"/>
      <c r="AA270" s="3509"/>
      <c r="AB270" s="3509"/>
      <c r="AC270" s="3509"/>
    </row>
    <row r="271" spans="1:29">
      <c r="A271" s="3509"/>
      <c r="B271" s="3509"/>
      <c r="C271" s="3509"/>
      <c r="D271" s="3509"/>
      <c r="E271" s="3509"/>
      <c r="F271" s="3509"/>
      <c r="G271" s="3509"/>
      <c r="H271" s="3509"/>
      <c r="I271" s="3509"/>
      <c r="J271" s="3509"/>
      <c r="K271" s="3510"/>
      <c r="L271" s="3511"/>
      <c r="M271" s="3509"/>
      <c r="N271" s="3509"/>
      <c r="O271" s="3509"/>
      <c r="P271" s="3509"/>
      <c r="Q271" s="3509"/>
      <c r="R271" s="3509"/>
      <c r="S271" s="3509"/>
      <c r="T271" s="3509"/>
      <c r="U271" s="3509"/>
      <c r="V271" s="3509"/>
      <c r="W271" s="3509"/>
      <c r="X271" s="3509"/>
      <c r="Y271" s="3509"/>
      <c r="Z271" s="3509"/>
      <c r="AA271" s="3509"/>
      <c r="AB271" s="3509"/>
      <c r="AC271" s="3509"/>
    </row>
    <row r="272" spans="1:29">
      <c r="A272" s="3509"/>
      <c r="B272" s="3509"/>
      <c r="C272" s="3509"/>
      <c r="D272" s="3509"/>
      <c r="E272" s="3509"/>
      <c r="F272" s="3509"/>
      <c r="G272" s="3509"/>
      <c r="H272" s="3509"/>
      <c r="I272" s="3509"/>
      <c r="J272" s="3509"/>
      <c r="K272" s="3510"/>
      <c r="L272" s="3511"/>
      <c r="M272" s="3509"/>
      <c r="N272" s="3509"/>
      <c r="O272" s="3509"/>
      <c r="P272" s="3509"/>
      <c r="Q272" s="3509"/>
      <c r="R272" s="3509"/>
      <c r="S272" s="3509"/>
      <c r="T272" s="3509"/>
      <c r="U272" s="3509"/>
      <c r="V272" s="3509"/>
      <c r="W272" s="3509"/>
      <c r="X272" s="3509"/>
      <c r="Y272" s="3509"/>
      <c r="Z272" s="3509"/>
      <c r="AA272" s="3509"/>
      <c r="AB272" s="3509"/>
      <c r="AC272" s="3509"/>
    </row>
    <row r="273" spans="1:29">
      <c r="A273" s="3509"/>
      <c r="B273" s="3509"/>
      <c r="C273" s="3509"/>
      <c r="D273" s="3509"/>
      <c r="E273" s="3509"/>
      <c r="F273" s="3509"/>
      <c r="G273" s="3509"/>
      <c r="H273" s="3509"/>
      <c r="I273" s="3509"/>
      <c r="J273" s="3509"/>
      <c r="K273" s="3510"/>
      <c r="L273" s="3511"/>
      <c r="M273" s="3509"/>
      <c r="N273" s="3509"/>
      <c r="O273" s="3509"/>
      <c r="P273" s="3509"/>
      <c r="Q273" s="3509"/>
      <c r="R273" s="3509"/>
      <c r="S273" s="3509"/>
      <c r="T273" s="3509"/>
      <c r="U273" s="3509"/>
      <c r="V273" s="3509"/>
      <c r="W273" s="3509"/>
      <c r="X273" s="3509"/>
      <c r="Y273" s="3509"/>
      <c r="Z273" s="3509"/>
      <c r="AA273" s="3509"/>
      <c r="AB273" s="3509"/>
      <c r="AC273" s="3509"/>
    </row>
    <row r="274" spans="1:29">
      <c r="A274" s="3509"/>
      <c r="B274" s="3509"/>
      <c r="C274" s="3509"/>
      <c r="D274" s="3509"/>
      <c r="E274" s="3509"/>
      <c r="F274" s="3509"/>
      <c r="G274" s="3509"/>
      <c r="H274" s="3509"/>
      <c r="I274" s="3509"/>
      <c r="J274" s="3509"/>
      <c r="K274" s="3510"/>
      <c r="L274" s="3511"/>
      <c r="M274" s="3509"/>
      <c r="N274" s="3509"/>
      <c r="O274" s="3509"/>
      <c r="P274" s="3509"/>
      <c r="Q274" s="3509"/>
      <c r="R274" s="3509"/>
      <c r="S274" s="3509"/>
      <c r="T274" s="3509"/>
      <c r="U274" s="3509"/>
      <c r="V274" s="3509"/>
      <c r="W274" s="3509"/>
      <c r="X274" s="3509"/>
      <c r="Y274" s="3509"/>
      <c r="Z274" s="3509"/>
      <c r="AA274" s="3509"/>
      <c r="AB274" s="3509"/>
      <c r="AC274" s="3509"/>
    </row>
    <row r="275" spans="1:29">
      <c r="A275" s="3509"/>
      <c r="B275" s="3509"/>
      <c r="C275" s="3509"/>
      <c r="D275" s="3509"/>
      <c r="E275" s="3509"/>
      <c r="F275" s="3509"/>
      <c r="G275" s="3509"/>
      <c r="H275" s="3509"/>
      <c r="I275" s="3509"/>
      <c r="J275" s="3509"/>
      <c r="K275" s="3510"/>
      <c r="L275" s="3511"/>
      <c r="M275" s="3509"/>
      <c r="N275" s="3509"/>
      <c r="O275" s="3509"/>
      <c r="P275" s="3509"/>
      <c r="Q275" s="3509"/>
      <c r="R275" s="3509"/>
      <c r="S275" s="3509"/>
      <c r="T275" s="3509"/>
      <c r="U275" s="3509"/>
      <c r="V275" s="3509"/>
      <c r="W275" s="3509"/>
      <c r="X275" s="3509"/>
      <c r="Y275" s="3509"/>
      <c r="Z275" s="3509"/>
      <c r="AA275" s="3509"/>
      <c r="AB275" s="3509"/>
      <c r="AC275" s="3509"/>
    </row>
    <row r="276" spans="1:29">
      <c r="A276" s="3509"/>
      <c r="B276" s="3509"/>
      <c r="C276" s="3509"/>
      <c r="D276" s="3509"/>
      <c r="E276" s="3509"/>
      <c r="F276" s="3509"/>
      <c r="G276" s="3509"/>
      <c r="H276" s="3509"/>
      <c r="I276" s="3509"/>
      <c r="J276" s="3509"/>
      <c r="K276" s="3510"/>
      <c r="L276" s="3511"/>
      <c r="M276" s="3509"/>
      <c r="N276" s="3509"/>
      <c r="O276" s="3509"/>
      <c r="P276" s="3509"/>
      <c r="Q276" s="3509"/>
      <c r="R276" s="3509"/>
      <c r="S276" s="3509"/>
      <c r="T276" s="3509"/>
      <c r="U276" s="3509"/>
      <c r="V276" s="3509"/>
      <c r="W276" s="3509"/>
      <c r="X276" s="3509"/>
      <c r="Y276" s="3509"/>
      <c r="Z276" s="3509"/>
      <c r="AA276" s="3509"/>
      <c r="AB276" s="3509"/>
      <c r="AC276" s="3509"/>
    </row>
    <row r="277" spans="1:29">
      <c r="A277" s="3509"/>
      <c r="B277" s="3509"/>
      <c r="C277" s="3509"/>
      <c r="D277" s="3509"/>
      <c r="E277" s="3509"/>
      <c r="F277" s="3509"/>
      <c r="G277" s="3509"/>
      <c r="H277" s="3509"/>
      <c r="I277" s="3509"/>
      <c r="J277" s="3509"/>
      <c r="K277" s="3510"/>
      <c r="L277" s="3511"/>
      <c r="M277" s="3509"/>
      <c r="N277" s="3509"/>
      <c r="O277" s="3509"/>
      <c r="P277" s="3509"/>
      <c r="Q277" s="3509"/>
      <c r="R277" s="3509"/>
      <c r="S277" s="3509"/>
      <c r="T277" s="3509"/>
      <c r="U277" s="3509"/>
      <c r="V277" s="3509"/>
      <c r="W277" s="3509"/>
      <c r="X277" s="3509"/>
      <c r="Y277" s="3509"/>
      <c r="Z277" s="3509"/>
      <c r="AA277" s="3509"/>
      <c r="AB277" s="3509"/>
      <c r="AC277" s="3509"/>
    </row>
    <row r="278" spans="1:29">
      <c r="A278" s="3509"/>
      <c r="B278" s="3509"/>
      <c r="C278" s="3509"/>
      <c r="D278" s="3509"/>
      <c r="E278" s="3509"/>
      <c r="F278" s="3509"/>
      <c r="G278" s="3509"/>
      <c r="H278" s="3509"/>
      <c r="I278" s="3509"/>
      <c r="J278" s="3509"/>
      <c r="K278" s="3510"/>
      <c r="L278" s="3511"/>
      <c r="M278" s="3509"/>
      <c r="N278" s="3509"/>
      <c r="O278" s="3509"/>
      <c r="P278" s="3509"/>
      <c r="Q278" s="3509"/>
      <c r="R278" s="3509"/>
      <c r="S278" s="3509"/>
      <c r="T278" s="3509"/>
      <c r="U278" s="3509"/>
      <c r="V278" s="3509"/>
      <c r="W278" s="3509"/>
      <c r="X278" s="3509"/>
      <c r="Y278" s="3509"/>
      <c r="Z278" s="3509"/>
      <c r="AA278" s="3509"/>
      <c r="AB278" s="3509"/>
      <c r="AC278" s="3509"/>
    </row>
    <row r="279" spans="1:29">
      <c r="A279" s="3509"/>
      <c r="B279" s="3509"/>
      <c r="C279" s="3509"/>
      <c r="D279" s="3509"/>
      <c r="E279" s="3509"/>
      <c r="F279" s="3509"/>
      <c r="G279" s="3509"/>
      <c r="H279" s="3509"/>
      <c r="I279" s="3509"/>
      <c r="J279" s="3509"/>
      <c r="K279" s="3510"/>
      <c r="L279" s="3511"/>
      <c r="M279" s="3509"/>
      <c r="N279" s="3509"/>
      <c r="O279" s="3509"/>
      <c r="P279" s="3509"/>
      <c r="Q279" s="3509"/>
      <c r="R279" s="3509"/>
      <c r="S279" s="3509"/>
      <c r="T279" s="3509"/>
      <c r="U279" s="3509"/>
      <c r="V279" s="3509"/>
      <c r="W279" s="3509"/>
      <c r="X279" s="3509"/>
      <c r="Y279" s="3509"/>
      <c r="Z279" s="3509"/>
      <c r="AA279" s="3509"/>
      <c r="AB279" s="3509"/>
      <c r="AC279" s="3509"/>
    </row>
    <row r="280" spans="1:29">
      <c r="A280" s="3509"/>
      <c r="B280" s="3509"/>
      <c r="C280" s="3509"/>
      <c r="D280" s="3509"/>
      <c r="E280" s="3509"/>
      <c r="F280" s="3509"/>
      <c r="G280" s="3509"/>
      <c r="H280" s="3509"/>
      <c r="I280" s="3509"/>
      <c r="J280" s="3509"/>
      <c r="K280" s="3510"/>
      <c r="L280" s="3511"/>
      <c r="M280" s="3509"/>
      <c r="N280" s="3509"/>
      <c r="O280" s="3509"/>
      <c r="P280" s="3509"/>
      <c r="Q280" s="3509"/>
      <c r="R280" s="3509"/>
      <c r="S280" s="3509"/>
      <c r="T280" s="3509"/>
      <c r="U280" s="3509"/>
      <c r="V280" s="3509"/>
      <c r="W280" s="3509"/>
      <c r="X280" s="3509"/>
      <c r="Y280" s="3509"/>
      <c r="Z280" s="3509"/>
      <c r="AA280" s="3509"/>
      <c r="AB280" s="3509"/>
      <c r="AC280" s="3509"/>
    </row>
    <row r="281" spans="1:29">
      <c r="A281" s="3509"/>
      <c r="B281" s="3509"/>
      <c r="C281" s="3509"/>
      <c r="D281" s="3509"/>
      <c r="E281" s="3509"/>
      <c r="F281" s="3509"/>
      <c r="G281" s="3509"/>
      <c r="H281" s="3509"/>
      <c r="I281" s="3509"/>
      <c r="J281" s="3509"/>
      <c r="K281" s="3510"/>
      <c r="L281" s="3511"/>
      <c r="M281" s="3509"/>
      <c r="N281" s="3509"/>
      <c r="O281" s="3509"/>
      <c r="P281" s="3509"/>
      <c r="Q281" s="3509"/>
      <c r="R281" s="3509"/>
      <c r="S281" s="3509"/>
      <c r="T281" s="3509"/>
      <c r="U281" s="3509"/>
      <c r="V281" s="3509"/>
      <c r="W281" s="3509"/>
      <c r="X281" s="3509"/>
      <c r="Y281" s="3509"/>
      <c r="Z281" s="3509"/>
      <c r="AA281" s="3509"/>
      <c r="AB281" s="3509"/>
      <c r="AC281" s="3509"/>
    </row>
    <row r="282" spans="1:29">
      <c r="A282" s="3509"/>
      <c r="B282" s="3509"/>
      <c r="C282" s="3509"/>
      <c r="D282" s="3509"/>
      <c r="E282" s="3509"/>
      <c r="F282" s="3509"/>
      <c r="G282" s="3509"/>
      <c r="H282" s="3509"/>
      <c r="I282" s="3509"/>
      <c r="J282" s="3509"/>
      <c r="K282" s="3510"/>
      <c r="L282" s="3511"/>
      <c r="M282" s="3509"/>
      <c r="N282" s="3509"/>
      <c r="O282" s="3509"/>
      <c r="P282" s="3509"/>
      <c r="Q282" s="3509"/>
      <c r="R282" s="3509"/>
      <c r="S282" s="3509"/>
      <c r="T282" s="3509"/>
      <c r="U282" s="3509"/>
      <c r="V282" s="3509"/>
      <c r="W282" s="3509"/>
      <c r="X282" s="3509"/>
      <c r="Y282" s="3509"/>
      <c r="Z282" s="3509"/>
      <c r="AA282" s="3509"/>
      <c r="AB282" s="3509"/>
      <c r="AC282" s="3509"/>
    </row>
    <row r="283" spans="1:29">
      <c r="A283" s="3509"/>
      <c r="B283" s="3509"/>
      <c r="C283" s="3509"/>
      <c r="D283" s="3509"/>
      <c r="E283" s="3509"/>
      <c r="F283" s="3509"/>
      <c r="G283" s="3509"/>
      <c r="H283" s="3509"/>
      <c r="I283" s="3509"/>
      <c r="J283" s="3509"/>
      <c r="K283" s="3510"/>
      <c r="L283" s="3511"/>
      <c r="M283" s="3509"/>
      <c r="N283" s="3509"/>
      <c r="O283" s="3509"/>
      <c r="P283" s="3509"/>
      <c r="Q283" s="3509"/>
      <c r="R283" s="3509"/>
      <c r="S283" s="3509"/>
      <c r="T283" s="3509"/>
      <c r="U283" s="3509"/>
      <c r="V283" s="3509"/>
      <c r="W283" s="3509"/>
      <c r="X283" s="3509"/>
      <c r="Y283" s="3509"/>
      <c r="Z283" s="3509"/>
      <c r="AA283" s="3509"/>
      <c r="AB283" s="3509"/>
      <c r="AC283" s="3509"/>
    </row>
    <row r="284" spans="1:29">
      <c r="A284" s="3509"/>
      <c r="B284" s="3509"/>
      <c r="C284" s="3509"/>
      <c r="D284" s="3509"/>
      <c r="E284" s="3509"/>
      <c r="F284" s="3509"/>
      <c r="G284" s="3509"/>
      <c r="H284" s="3509"/>
      <c r="I284" s="3509"/>
      <c r="J284" s="3509"/>
      <c r="K284" s="3510"/>
      <c r="L284" s="3511"/>
      <c r="M284" s="3509"/>
      <c r="N284" s="3509"/>
      <c r="O284" s="3509"/>
      <c r="P284" s="3509"/>
      <c r="Q284" s="3509"/>
      <c r="R284" s="3509"/>
      <c r="S284" s="3509"/>
      <c r="T284" s="3509"/>
      <c r="U284" s="3509"/>
      <c r="V284" s="3509"/>
      <c r="W284" s="3509"/>
      <c r="X284" s="3509"/>
      <c r="Y284" s="3509"/>
      <c r="Z284" s="3509"/>
      <c r="AA284" s="3509"/>
      <c r="AB284" s="3509"/>
      <c r="AC284" s="3509"/>
    </row>
    <row r="285" spans="1:29">
      <c r="A285" s="3509"/>
      <c r="B285" s="3509"/>
      <c r="C285" s="3509"/>
      <c r="D285" s="3509"/>
      <c r="E285" s="3509"/>
      <c r="F285" s="3509"/>
      <c r="G285" s="3509"/>
      <c r="H285" s="3509"/>
      <c r="I285" s="3509"/>
      <c r="J285" s="3509"/>
      <c r="K285" s="3510"/>
      <c r="L285" s="3511"/>
      <c r="M285" s="3509"/>
      <c r="N285" s="3509"/>
      <c r="O285" s="3509"/>
      <c r="P285" s="3509"/>
      <c r="Q285" s="3509"/>
      <c r="R285" s="3509"/>
      <c r="S285" s="3509"/>
      <c r="T285" s="3509"/>
      <c r="U285" s="3509"/>
      <c r="V285" s="3509"/>
      <c r="W285" s="3509"/>
      <c r="X285" s="3509"/>
      <c r="Y285" s="3509"/>
      <c r="Z285" s="3509"/>
      <c r="AA285" s="3509"/>
      <c r="AB285" s="3509"/>
      <c r="AC285" s="3509"/>
    </row>
    <row r="286" spans="1:29">
      <c r="A286" s="3509"/>
      <c r="B286" s="3509"/>
      <c r="C286" s="3509"/>
      <c r="D286" s="3509"/>
      <c r="E286" s="3509"/>
      <c r="F286" s="3509"/>
      <c r="G286" s="3509"/>
      <c r="H286" s="3509"/>
      <c r="I286" s="3509"/>
      <c r="J286" s="3509"/>
      <c r="K286" s="3510"/>
      <c r="L286" s="3511"/>
      <c r="M286" s="3509"/>
      <c r="N286" s="3509"/>
      <c r="O286" s="3509"/>
      <c r="P286" s="3509"/>
      <c r="Q286" s="3509"/>
      <c r="R286" s="3509"/>
      <c r="S286" s="3509"/>
      <c r="T286" s="3509"/>
      <c r="U286" s="3509"/>
      <c r="V286" s="3509"/>
      <c r="W286" s="3509"/>
      <c r="X286" s="3509"/>
      <c r="Y286" s="3509"/>
      <c r="Z286" s="3509"/>
      <c r="AA286" s="3509"/>
      <c r="AB286" s="3509"/>
      <c r="AC286" s="3509"/>
    </row>
    <row r="287" spans="1:29">
      <c r="A287" s="3509"/>
      <c r="B287" s="3509"/>
      <c r="C287" s="3509"/>
      <c r="D287" s="3509"/>
      <c r="E287" s="3509"/>
      <c r="F287" s="3509"/>
      <c r="G287" s="3509"/>
      <c r="H287" s="3509"/>
      <c r="I287" s="3509"/>
      <c r="J287" s="3509"/>
      <c r="K287" s="3510"/>
      <c r="L287" s="3511"/>
      <c r="M287" s="3509"/>
      <c r="N287" s="3509"/>
      <c r="O287" s="3509"/>
      <c r="P287" s="3509"/>
      <c r="Q287" s="3509"/>
      <c r="R287" s="3509"/>
      <c r="S287" s="3509"/>
      <c r="T287" s="3509"/>
      <c r="U287" s="3509"/>
      <c r="V287" s="3509"/>
      <c r="W287" s="3509"/>
      <c r="X287" s="3509"/>
      <c r="Y287" s="3509"/>
      <c r="Z287" s="3509"/>
      <c r="AA287" s="3509"/>
      <c r="AB287" s="3509"/>
      <c r="AC287" s="3509"/>
    </row>
    <row r="288" spans="1:29">
      <c r="A288" s="3509"/>
      <c r="B288" s="3509"/>
      <c r="C288" s="3509"/>
      <c r="D288" s="3509"/>
      <c r="E288" s="3509"/>
      <c r="F288" s="3509"/>
      <c r="G288" s="3509"/>
      <c r="H288" s="3509"/>
      <c r="I288" s="3509"/>
      <c r="J288" s="3509"/>
      <c r="K288" s="3510"/>
      <c r="L288" s="3511"/>
      <c r="M288" s="3509"/>
      <c r="N288" s="3509"/>
      <c r="O288" s="3509"/>
      <c r="P288" s="3509"/>
      <c r="Q288" s="3509"/>
      <c r="R288" s="3509"/>
      <c r="S288" s="3509"/>
      <c r="T288" s="3509"/>
      <c r="U288" s="3509"/>
      <c r="V288" s="3509"/>
      <c r="W288" s="3509"/>
      <c r="X288" s="3509"/>
      <c r="Y288" s="3509"/>
      <c r="Z288" s="3509"/>
      <c r="AA288" s="3509"/>
      <c r="AB288" s="3509"/>
      <c r="AC288" s="3509"/>
    </row>
    <row r="289" spans="1:29">
      <c r="A289" s="3509"/>
      <c r="B289" s="3509"/>
      <c r="C289" s="3509"/>
      <c r="D289" s="3509"/>
      <c r="E289" s="3509"/>
      <c r="F289" s="3509"/>
      <c r="G289" s="3509"/>
      <c r="H289" s="3509"/>
      <c r="I289" s="3509"/>
      <c r="J289" s="3509"/>
      <c r="K289" s="3510"/>
      <c r="L289" s="3511"/>
      <c r="M289" s="3509"/>
      <c r="N289" s="3509"/>
      <c r="O289" s="3509"/>
      <c r="P289" s="3509"/>
      <c r="Q289" s="3509"/>
      <c r="R289" s="3509"/>
      <c r="S289" s="3509"/>
      <c r="T289" s="3509"/>
      <c r="U289" s="3509"/>
      <c r="V289" s="3509"/>
      <c r="W289" s="3509"/>
      <c r="X289" s="3509"/>
      <c r="Y289" s="3509"/>
      <c r="Z289" s="3509"/>
      <c r="AA289" s="3509"/>
      <c r="AB289" s="3509"/>
      <c r="AC289" s="3509"/>
    </row>
    <row r="290" spans="1:29">
      <c r="A290" s="3509"/>
      <c r="B290" s="3509"/>
      <c r="C290" s="3509"/>
      <c r="D290" s="3509"/>
      <c r="E290" s="3509"/>
      <c r="F290" s="3509"/>
      <c r="G290" s="3509"/>
      <c r="H290" s="3509"/>
      <c r="I290" s="3509"/>
      <c r="J290" s="3509"/>
      <c r="K290" s="3510"/>
      <c r="L290" s="3511"/>
      <c r="M290" s="3509"/>
      <c r="N290" s="3509"/>
      <c r="O290" s="3509"/>
      <c r="P290" s="3509"/>
      <c r="Q290" s="3509"/>
      <c r="R290" s="3509"/>
      <c r="S290" s="3509"/>
      <c r="T290" s="3509"/>
      <c r="U290" s="3509"/>
      <c r="V290" s="3509"/>
      <c r="W290" s="3509"/>
      <c r="X290" s="3509"/>
      <c r="Y290" s="3509"/>
      <c r="Z290" s="3509"/>
      <c r="AA290" s="3509"/>
      <c r="AB290" s="3509"/>
      <c r="AC290" s="3509"/>
    </row>
    <row r="291" spans="1:29">
      <c r="A291" s="3509"/>
      <c r="B291" s="3509"/>
      <c r="C291" s="3509"/>
      <c r="D291" s="3509"/>
      <c r="E291" s="3509"/>
      <c r="F291" s="3509"/>
      <c r="G291" s="3509"/>
      <c r="H291" s="3509"/>
      <c r="I291" s="3509"/>
      <c r="J291" s="3509"/>
      <c r="K291" s="3510"/>
      <c r="L291" s="3511"/>
      <c r="M291" s="3509"/>
      <c r="N291" s="3509"/>
      <c r="O291" s="3509"/>
      <c r="P291" s="3509"/>
      <c r="Q291" s="3509"/>
      <c r="R291" s="3509"/>
      <c r="S291" s="3509"/>
      <c r="T291" s="3509"/>
      <c r="U291" s="3509"/>
      <c r="V291" s="3509"/>
      <c r="W291" s="3509"/>
      <c r="X291" s="3509"/>
      <c r="Y291" s="3509"/>
      <c r="Z291" s="3509"/>
      <c r="AA291" s="3509"/>
      <c r="AB291" s="3509"/>
      <c r="AC291" s="3509"/>
    </row>
    <row r="292" spans="1:29">
      <c r="A292" s="3509"/>
      <c r="B292" s="3509"/>
      <c r="C292" s="3509"/>
      <c r="D292" s="3509"/>
      <c r="E292" s="3509"/>
      <c r="F292" s="3509"/>
      <c r="G292" s="3509"/>
      <c r="H292" s="3509"/>
      <c r="I292" s="3509"/>
      <c r="J292" s="3509"/>
      <c r="K292" s="3510"/>
      <c r="L292" s="3511"/>
      <c r="M292" s="3509"/>
      <c r="N292" s="3509"/>
      <c r="O292" s="3509"/>
      <c r="P292" s="3509"/>
      <c r="Q292" s="3509"/>
      <c r="R292" s="3509"/>
      <c r="S292" s="3509"/>
      <c r="T292" s="3509"/>
      <c r="U292" s="3509"/>
      <c r="V292" s="3509"/>
      <c r="W292" s="3509"/>
      <c r="X292" s="3509"/>
      <c r="Y292" s="3509"/>
      <c r="Z292" s="3509"/>
      <c r="AA292" s="3509"/>
      <c r="AB292" s="3509"/>
      <c r="AC292" s="3509"/>
    </row>
    <row r="293" spans="1:29">
      <c r="A293" s="3509"/>
      <c r="B293" s="3509"/>
      <c r="C293" s="3509"/>
      <c r="D293" s="3509"/>
      <c r="E293" s="3509"/>
      <c r="F293" s="3509"/>
      <c r="G293" s="3509"/>
      <c r="H293" s="3509"/>
      <c r="I293" s="3509"/>
      <c r="J293" s="3509"/>
      <c r="K293" s="3510"/>
      <c r="L293" s="3511"/>
      <c r="M293" s="3509"/>
      <c r="N293" s="3509"/>
      <c r="O293" s="3509"/>
      <c r="P293" s="3509"/>
      <c r="Q293" s="3509"/>
      <c r="R293" s="3509"/>
      <c r="S293" s="3509"/>
      <c r="T293" s="3509"/>
      <c r="U293" s="3509"/>
      <c r="V293" s="3509"/>
      <c r="W293" s="3509"/>
      <c r="X293" s="3509"/>
      <c r="Y293" s="3509"/>
      <c r="Z293" s="3509"/>
      <c r="AA293" s="3509"/>
      <c r="AB293" s="3509"/>
      <c r="AC293" s="3509"/>
    </row>
    <row r="294" spans="1:29">
      <c r="A294" s="3509"/>
      <c r="B294" s="3509"/>
      <c r="C294" s="3509"/>
      <c r="D294" s="3509"/>
      <c r="E294" s="3509"/>
      <c r="F294" s="3509"/>
      <c r="G294" s="3509"/>
      <c r="H294" s="3509"/>
      <c r="I294" s="3509"/>
      <c r="J294" s="3509"/>
      <c r="K294" s="3510"/>
      <c r="L294" s="3511"/>
      <c r="M294" s="3509"/>
      <c r="N294" s="3509"/>
      <c r="O294" s="3509"/>
      <c r="P294" s="3509"/>
      <c r="Q294" s="3509"/>
      <c r="R294" s="3509"/>
      <c r="S294" s="3509"/>
      <c r="T294" s="3509"/>
      <c r="U294" s="3509"/>
      <c r="V294" s="3509"/>
      <c r="W294" s="3509"/>
      <c r="X294" s="3509"/>
      <c r="Y294" s="3509"/>
      <c r="Z294" s="3509"/>
      <c r="AA294" s="3509"/>
      <c r="AB294" s="3509"/>
      <c r="AC294" s="3509"/>
    </row>
    <row r="295" spans="1:29">
      <c r="A295" s="3509"/>
      <c r="B295" s="3509"/>
      <c r="C295" s="3509"/>
      <c r="D295" s="3509"/>
      <c r="E295" s="3509"/>
      <c r="F295" s="3509"/>
      <c r="G295" s="3509"/>
      <c r="H295" s="3509"/>
      <c r="I295" s="3509"/>
      <c r="J295" s="3509"/>
      <c r="K295" s="3510"/>
      <c r="L295" s="3511"/>
      <c r="M295" s="3509"/>
      <c r="N295" s="3509"/>
      <c r="O295" s="3509"/>
      <c r="P295" s="3509"/>
      <c r="Q295" s="3509"/>
      <c r="R295" s="3509"/>
      <c r="S295" s="3509"/>
      <c r="T295" s="3509"/>
      <c r="U295" s="3509"/>
      <c r="V295" s="3509"/>
      <c r="W295" s="3509"/>
      <c r="X295" s="3509"/>
      <c r="Y295" s="3509"/>
      <c r="Z295" s="3509"/>
      <c r="AA295" s="3509"/>
      <c r="AB295" s="3509"/>
      <c r="AC295" s="3509"/>
    </row>
    <row r="296" spans="1:29">
      <c r="A296" s="3509"/>
      <c r="B296" s="3509"/>
      <c r="C296" s="3509"/>
      <c r="D296" s="3509"/>
      <c r="E296" s="3509"/>
      <c r="F296" s="3509"/>
      <c r="G296" s="3509"/>
      <c r="H296" s="3509"/>
      <c r="I296" s="3509"/>
      <c r="J296" s="3509"/>
      <c r="K296" s="3510"/>
      <c r="L296" s="3511"/>
      <c r="M296" s="3509"/>
      <c r="N296" s="3509"/>
      <c r="O296" s="3509"/>
      <c r="P296" s="3509"/>
      <c r="Q296" s="3509"/>
      <c r="R296" s="3509"/>
      <c r="S296" s="3509"/>
      <c r="T296" s="3509"/>
      <c r="U296" s="3509"/>
      <c r="V296" s="3509"/>
      <c r="W296" s="3509"/>
      <c r="X296" s="3509"/>
      <c r="Y296" s="3509"/>
      <c r="Z296" s="3509"/>
      <c r="AA296" s="3509"/>
      <c r="AB296" s="3509"/>
      <c r="AC296" s="3509"/>
    </row>
    <row r="297" spans="1:29">
      <c r="A297" s="3509"/>
      <c r="B297" s="3509"/>
      <c r="C297" s="3509"/>
      <c r="D297" s="3509"/>
      <c r="E297" s="3509"/>
      <c r="F297" s="3509"/>
      <c r="G297" s="3509"/>
      <c r="H297" s="3509"/>
      <c r="I297" s="3509"/>
      <c r="J297" s="3509"/>
      <c r="K297" s="3510"/>
      <c r="L297" s="3511"/>
      <c r="M297" s="3509"/>
      <c r="N297" s="3509"/>
      <c r="O297" s="3509"/>
      <c r="P297" s="3509"/>
      <c r="Q297" s="3509"/>
      <c r="R297" s="3509"/>
      <c r="S297" s="3509"/>
      <c r="T297" s="3509"/>
      <c r="U297" s="3509"/>
      <c r="V297" s="3509"/>
      <c r="W297" s="3509"/>
      <c r="X297" s="3509"/>
      <c r="Y297" s="3509"/>
      <c r="Z297" s="3509"/>
      <c r="AA297" s="3509"/>
      <c r="AB297" s="3509"/>
      <c r="AC297" s="3509"/>
    </row>
    <row r="298" spans="1:29">
      <c r="A298" s="3509"/>
      <c r="B298" s="3509"/>
      <c r="C298" s="3509"/>
      <c r="D298" s="3509"/>
      <c r="E298" s="3509"/>
      <c r="F298" s="3509"/>
      <c r="G298" s="3509"/>
      <c r="H298" s="3509"/>
      <c r="I298" s="3509"/>
      <c r="J298" s="3509"/>
      <c r="K298" s="3510"/>
      <c r="L298" s="3511"/>
      <c r="M298" s="3509"/>
      <c r="N298" s="3509"/>
      <c r="O298" s="3509"/>
      <c r="P298" s="3509"/>
      <c r="Q298" s="3509"/>
      <c r="R298" s="3509"/>
      <c r="S298" s="3509"/>
      <c r="T298" s="3509"/>
      <c r="U298" s="3509"/>
      <c r="V298" s="3509"/>
      <c r="W298" s="3509"/>
      <c r="X298" s="3509"/>
      <c r="Y298" s="3509"/>
      <c r="Z298" s="3509"/>
      <c r="AA298" s="3509"/>
      <c r="AB298" s="3509"/>
      <c r="AC298" s="3509"/>
    </row>
    <row r="299" spans="1:29">
      <c r="A299" s="3509"/>
      <c r="B299" s="3509"/>
      <c r="C299" s="3509"/>
      <c r="D299" s="3509"/>
      <c r="E299" s="3509"/>
      <c r="F299" s="3509"/>
      <c r="G299" s="3509"/>
      <c r="H299" s="3509"/>
      <c r="I299" s="3509"/>
      <c r="J299" s="3509"/>
      <c r="K299" s="3510"/>
      <c r="L299" s="3511"/>
      <c r="M299" s="3509"/>
      <c r="N299" s="3509"/>
      <c r="O299" s="3509"/>
      <c r="P299" s="3509"/>
      <c r="Q299" s="3509"/>
      <c r="R299" s="3509"/>
      <c r="S299" s="3509"/>
      <c r="T299" s="3509"/>
      <c r="U299" s="3509"/>
      <c r="V299" s="3509"/>
      <c r="W299" s="3509"/>
      <c r="X299" s="3509"/>
      <c r="Y299" s="3509"/>
      <c r="Z299" s="3509"/>
      <c r="AA299" s="3509"/>
      <c r="AB299" s="3509"/>
      <c r="AC299" s="3509"/>
    </row>
    <row r="300" spans="1:29">
      <c r="A300" s="3509"/>
      <c r="B300" s="3509"/>
      <c r="C300" s="3509"/>
      <c r="D300" s="3509"/>
      <c r="E300" s="3509"/>
      <c r="F300" s="3509"/>
      <c r="G300" s="3509"/>
      <c r="H300" s="3509"/>
      <c r="I300" s="3509"/>
      <c r="J300" s="3509"/>
      <c r="K300" s="3510"/>
      <c r="L300" s="3511"/>
      <c r="M300" s="3509"/>
      <c r="N300" s="3509"/>
      <c r="O300" s="3509"/>
      <c r="P300" s="3509"/>
      <c r="Q300" s="3509"/>
      <c r="R300" s="3509"/>
      <c r="S300" s="3509"/>
      <c r="T300" s="3509"/>
      <c r="U300" s="3509"/>
      <c r="V300" s="3509"/>
      <c r="W300" s="3509"/>
      <c r="X300" s="3509"/>
      <c r="Y300" s="3509"/>
      <c r="Z300" s="3509"/>
      <c r="AA300" s="3509"/>
      <c r="AB300" s="3509"/>
      <c r="AC300" s="3509"/>
    </row>
    <row r="301" spans="1:29">
      <c r="A301" s="3509"/>
      <c r="B301" s="3509"/>
      <c r="C301" s="3509"/>
      <c r="D301" s="3509"/>
      <c r="E301" s="3509"/>
      <c r="F301" s="3509"/>
      <c r="G301" s="3509"/>
      <c r="H301" s="3509"/>
      <c r="I301" s="3509"/>
      <c r="J301" s="3509"/>
      <c r="K301" s="3510"/>
      <c r="L301" s="3511"/>
      <c r="M301" s="3509"/>
      <c r="N301" s="3509"/>
      <c r="O301" s="3509"/>
      <c r="P301" s="3509"/>
      <c r="Q301" s="3509"/>
      <c r="R301" s="3509"/>
      <c r="S301" s="3509"/>
      <c r="T301" s="3509"/>
      <c r="U301" s="3509"/>
      <c r="V301" s="3509"/>
      <c r="W301" s="3509"/>
      <c r="X301" s="3509"/>
      <c r="Y301" s="3509"/>
      <c r="Z301" s="3509"/>
      <c r="AA301" s="3509"/>
      <c r="AB301" s="3509"/>
      <c r="AC301" s="3509"/>
    </row>
    <row r="302" spans="1:29">
      <c r="A302" s="3509"/>
      <c r="B302" s="3509"/>
      <c r="C302" s="3509"/>
      <c r="D302" s="3509"/>
      <c r="E302" s="3509"/>
      <c r="F302" s="3509"/>
      <c r="G302" s="3509"/>
      <c r="H302" s="3509"/>
      <c r="I302" s="3509"/>
      <c r="J302" s="3509"/>
      <c r="K302" s="3510"/>
      <c r="L302" s="3511"/>
      <c r="M302" s="3509"/>
      <c r="N302" s="3509"/>
      <c r="O302" s="3509"/>
      <c r="P302" s="3509"/>
      <c r="Q302" s="3509"/>
      <c r="R302" s="3509"/>
      <c r="S302" s="3509"/>
      <c r="T302" s="3509"/>
      <c r="U302" s="3509"/>
      <c r="V302" s="3509"/>
      <c r="W302" s="3509"/>
      <c r="X302" s="3509"/>
      <c r="Y302" s="3509"/>
      <c r="Z302" s="3509"/>
      <c r="AA302" s="3509"/>
      <c r="AB302" s="3509"/>
      <c r="AC302" s="3509"/>
    </row>
    <row r="303" spans="1:29">
      <c r="A303" s="3509"/>
      <c r="B303" s="3509"/>
      <c r="C303" s="3509"/>
      <c r="D303" s="3509"/>
      <c r="E303" s="3509"/>
      <c r="F303" s="3509"/>
      <c r="G303" s="3509"/>
      <c r="H303" s="3509"/>
      <c r="I303" s="3509"/>
      <c r="J303" s="3509"/>
      <c r="K303" s="3510"/>
      <c r="L303" s="3511"/>
      <c r="M303" s="3509"/>
      <c r="N303" s="3509"/>
      <c r="O303" s="3509"/>
      <c r="P303" s="3509"/>
      <c r="Q303" s="3509"/>
      <c r="R303" s="3509"/>
      <c r="S303" s="3509"/>
      <c r="T303" s="3509"/>
      <c r="U303" s="3509"/>
      <c r="V303" s="3509"/>
      <c r="W303" s="3509"/>
      <c r="X303" s="3509"/>
      <c r="Y303" s="3509"/>
      <c r="Z303" s="3509"/>
      <c r="AA303" s="3509"/>
      <c r="AB303" s="3509"/>
      <c r="AC303" s="3509"/>
    </row>
    <row r="304" spans="1:29">
      <c r="A304" s="3509"/>
      <c r="B304" s="3509"/>
      <c r="C304" s="3509"/>
      <c r="D304" s="3509"/>
      <c r="E304" s="3509"/>
      <c r="F304" s="3509"/>
      <c r="G304" s="3509"/>
      <c r="H304" s="3509"/>
      <c r="I304" s="3509"/>
      <c r="J304" s="3509"/>
      <c r="K304" s="3510"/>
      <c r="L304" s="3511"/>
      <c r="M304" s="3509"/>
      <c r="N304" s="3509"/>
      <c r="O304" s="3509"/>
      <c r="P304" s="3509"/>
      <c r="Q304" s="3509"/>
      <c r="R304" s="3509"/>
      <c r="S304" s="3509"/>
      <c r="T304" s="3509"/>
      <c r="U304" s="3509"/>
      <c r="V304" s="3509"/>
      <c r="W304" s="3509"/>
      <c r="X304" s="3509"/>
      <c r="Y304" s="3509"/>
      <c r="Z304" s="3509"/>
      <c r="AA304" s="3509"/>
      <c r="AB304" s="3509"/>
      <c r="AC304" s="3509"/>
    </row>
    <row r="305" spans="1:29">
      <c r="A305" s="3509"/>
      <c r="B305" s="3509"/>
      <c r="C305" s="3509"/>
      <c r="D305" s="3509"/>
      <c r="E305" s="3509"/>
      <c r="F305" s="3509"/>
      <c r="G305" s="3509"/>
      <c r="H305" s="3509"/>
      <c r="I305" s="3509"/>
      <c r="J305" s="3509"/>
      <c r="K305" s="3510"/>
      <c r="L305" s="3511"/>
      <c r="M305" s="3509"/>
      <c r="N305" s="3509"/>
      <c r="O305" s="3509"/>
      <c r="P305" s="3509"/>
      <c r="Q305" s="3509"/>
      <c r="R305" s="3509"/>
      <c r="S305" s="3509"/>
      <c r="T305" s="3509"/>
      <c r="U305" s="3509"/>
      <c r="V305" s="3509"/>
      <c r="W305" s="3509"/>
      <c r="X305" s="3509"/>
      <c r="Y305" s="3509"/>
      <c r="Z305" s="3509"/>
      <c r="AA305" s="3509"/>
      <c r="AB305" s="3509"/>
      <c r="AC305" s="3509"/>
    </row>
    <row r="306" spans="1:29">
      <c r="A306" s="3509"/>
      <c r="B306" s="3509"/>
      <c r="C306" s="3509"/>
      <c r="D306" s="3509"/>
      <c r="E306" s="3509"/>
      <c r="F306" s="3509"/>
      <c r="G306" s="3509"/>
      <c r="H306" s="3509"/>
      <c r="I306" s="3509"/>
      <c r="J306" s="3509"/>
      <c r="K306" s="3510"/>
      <c r="L306" s="3511"/>
      <c r="M306" s="3509"/>
      <c r="N306" s="3509"/>
      <c r="O306" s="3509"/>
      <c r="P306" s="3509"/>
      <c r="Q306" s="3509"/>
      <c r="R306" s="3509"/>
      <c r="S306" s="3509"/>
      <c r="T306" s="3509"/>
      <c r="U306" s="3509"/>
      <c r="V306" s="3509"/>
      <c r="W306" s="3509"/>
      <c r="X306" s="3509"/>
      <c r="Y306" s="3509"/>
      <c r="Z306" s="3509"/>
      <c r="AA306" s="3509"/>
      <c r="AB306" s="3509"/>
      <c r="AC306" s="3509"/>
    </row>
    <row r="307" spans="1:29">
      <c r="A307" s="3509"/>
      <c r="B307" s="3509"/>
      <c r="C307" s="3509"/>
      <c r="D307" s="3509"/>
      <c r="E307" s="3509"/>
      <c r="F307" s="3509"/>
      <c r="G307" s="3509"/>
      <c r="H307" s="3509"/>
      <c r="I307" s="3509"/>
      <c r="J307" s="3509"/>
      <c r="K307" s="3510"/>
      <c r="L307" s="3511"/>
      <c r="M307" s="3509"/>
      <c r="N307" s="3509"/>
      <c r="O307" s="3509"/>
      <c r="P307" s="3509"/>
      <c r="Q307" s="3509"/>
      <c r="R307" s="3509"/>
      <c r="S307" s="3509"/>
      <c r="T307" s="3509"/>
      <c r="U307" s="3509"/>
      <c r="V307" s="3509"/>
      <c r="W307" s="3509"/>
      <c r="X307" s="3509"/>
      <c r="Y307" s="3509"/>
      <c r="Z307" s="3509"/>
      <c r="AA307" s="3509"/>
      <c r="AB307" s="3509"/>
      <c r="AC307" s="3509"/>
    </row>
    <row r="308" spans="1:29">
      <c r="A308" s="3509"/>
      <c r="B308" s="3509"/>
      <c r="C308" s="3509"/>
      <c r="D308" s="3509"/>
      <c r="E308" s="3509"/>
      <c r="F308" s="3509"/>
      <c r="G308" s="3509"/>
      <c r="H308" s="3509"/>
      <c r="I308" s="3509"/>
      <c r="J308" s="3509"/>
      <c r="K308" s="3510"/>
      <c r="L308" s="3511"/>
      <c r="M308" s="3509"/>
      <c r="N308" s="3509"/>
      <c r="O308" s="3509"/>
      <c r="P308" s="3509"/>
      <c r="Q308" s="3509"/>
      <c r="R308" s="3509"/>
      <c r="S308" s="3509"/>
      <c r="T308" s="3509"/>
      <c r="U308" s="3509"/>
      <c r="V308" s="3509"/>
      <c r="W308" s="3509"/>
      <c r="X308" s="3509"/>
      <c r="Y308" s="3509"/>
      <c r="Z308" s="3509"/>
      <c r="AA308" s="3509"/>
      <c r="AB308" s="3509"/>
      <c r="AC308" s="3509"/>
    </row>
    <row r="309" spans="1:29">
      <c r="A309" s="3509"/>
      <c r="B309" s="3509"/>
      <c r="C309" s="3509"/>
      <c r="D309" s="3509"/>
      <c r="E309" s="3509"/>
      <c r="F309" s="3509"/>
      <c r="G309" s="3509"/>
      <c r="H309" s="3509"/>
      <c r="I309" s="3509"/>
      <c r="J309" s="3509"/>
      <c r="K309" s="3510"/>
      <c r="L309" s="3511"/>
      <c r="M309" s="3509"/>
      <c r="N309" s="3509"/>
      <c r="O309" s="3509"/>
      <c r="P309" s="3509"/>
      <c r="Q309" s="3509"/>
      <c r="R309" s="3509"/>
      <c r="S309" s="3509"/>
      <c r="T309" s="3509"/>
      <c r="U309" s="3509"/>
      <c r="V309" s="3509"/>
      <c r="W309" s="3509"/>
      <c r="X309" s="3509"/>
      <c r="Y309" s="3509"/>
      <c r="Z309" s="3509"/>
      <c r="AA309" s="3509"/>
      <c r="AB309" s="3509"/>
      <c r="AC309" s="3509"/>
    </row>
    <row r="310" spans="1:29">
      <c r="A310" s="3509"/>
      <c r="B310" s="3509"/>
      <c r="C310" s="3509"/>
      <c r="D310" s="3509"/>
      <c r="E310" s="3509"/>
      <c r="F310" s="3509"/>
      <c r="G310" s="3509"/>
      <c r="H310" s="3509"/>
      <c r="I310" s="3509"/>
      <c r="J310" s="3509"/>
      <c r="K310" s="3510"/>
      <c r="L310" s="3511"/>
      <c r="M310" s="3509"/>
      <c r="N310" s="3509"/>
      <c r="O310" s="3509"/>
      <c r="P310" s="3509"/>
      <c r="Q310" s="3509"/>
      <c r="R310" s="3509"/>
      <c r="S310" s="3509"/>
      <c r="T310" s="3509"/>
      <c r="U310" s="3509"/>
      <c r="V310" s="3509"/>
      <c r="W310" s="3509"/>
      <c r="X310" s="3509"/>
      <c r="Y310" s="3509"/>
      <c r="Z310" s="3509"/>
      <c r="AA310" s="3509"/>
      <c r="AB310" s="3509"/>
      <c r="AC310" s="3509"/>
    </row>
    <row r="311" spans="1:29">
      <c r="A311" s="3509"/>
      <c r="B311" s="3509"/>
      <c r="C311" s="3509"/>
      <c r="D311" s="3509"/>
      <c r="E311" s="3509"/>
      <c r="F311" s="3509"/>
      <c r="G311" s="3509"/>
      <c r="H311" s="3509"/>
      <c r="I311" s="3509"/>
      <c r="J311" s="3509"/>
      <c r="K311" s="3510"/>
      <c r="L311" s="3511"/>
      <c r="M311" s="3509"/>
      <c r="N311" s="3509"/>
      <c r="O311" s="3509"/>
      <c r="P311" s="3509"/>
      <c r="Q311" s="3509"/>
      <c r="R311" s="3509"/>
      <c r="S311" s="3509"/>
      <c r="T311" s="3509"/>
      <c r="U311" s="3509"/>
      <c r="V311" s="3509"/>
      <c r="W311" s="3509"/>
      <c r="X311" s="3509"/>
      <c r="Y311" s="3509"/>
      <c r="Z311" s="3509"/>
      <c r="AA311" s="3509"/>
      <c r="AB311" s="3509"/>
      <c r="AC311" s="3509"/>
    </row>
    <row r="312" spans="1:29">
      <c r="A312" s="3509"/>
      <c r="B312" s="3509"/>
      <c r="C312" s="3509"/>
      <c r="D312" s="3509"/>
      <c r="E312" s="3509"/>
      <c r="F312" s="3509"/>
      <c r="G312" s="3509"/>
      <c r="H312" s="3509"/>
      <c r="I312" s="3509"/>
      <c r="J312" s="3509"/>
      <c r="K312" s="3510"/>
      <c r="L312" s="3511"/>
      <c r="M312" s="3509"/>
      <c r="N312" s="3509"/>
      <c r="O312" s="3509"/>
      <c r="P312" s="3509"/>
      <c r="Q312" s="3509"/>
      <c r="R312" s="3509"/>
      <c r="S312" s="3509"/>
      <c r="T312" s="3509"/>
      <c r="U312" s="3509"/>
      <c r="V312" s="3509"/>
      <c r="W312" s="3509"/>
      <c r="X312" s="3509"/>
      <c r="Y312" s="3509"/>
      <c r="Z312" s="3509"/>
      <c r="AA312" s="3509"/>
      <c r="AB312" s="3509"/>
      <c r="AC312" s="3509"/>
    </row>
    <row r="313" spans="1:29">
      <c r="A313" s="3509"/>
      <c r="B313" s="3509"/>
      <c r="C313" s="3509"/>
      <c r="D313" s="3509"/>
      <c r="E313" s="3509"/>
      <c r="F313" s="3509"/>
      <c r="G313" s="3509"/>
      <c r="H313" s="3509"/>
      <c r="I313" s="3509"/>
      <c r="J313" s="3509"/>
      <c r="K313" s="3510"/>
      <c r="L313" s="3511"/>
      <c r="M313" s="3509"/>
      <c r="N313" s="3509"/>
      <c r="O313" s="3509"/>
      <c r="P313" s="3509"/>
      <c r="Q313" s="3509"/>
      <c r="R313" s="3509"/>
      <c r="S313" s="3509"/>
      <c r="T313" s="3509"/>
      <c r="U313" s="3509"/>
      <c r="V313" s="3509"/>
      <c r="W313" s="3509"/>
      <c r="X313" s="3509"/>
      <c r="Y313" s="3509"/>
      <c r="Z313" s="3509"/>
      <c r="AA313" s="3509"/>
      <c r="AB313" s="3509"/>
      <c r="AC313" s="3509"/>
    </row>
    <row r="314" spans="1:29">
      <c r="A314" s="3509"/>
      <c r="B314" s="3509"/>
      <c r="C314" s="3509"/>
      <c r="D314" s="3509"/>
      <c r="E314" s="3509"/>
      <c r="F314" s="3509"/>
      <c r="G314" s="3509"/>
      <c r="H314" s="3509"/>
      <c r="I314" s="3509"/>
      <c r="J314" s="3509"/>
      <c r="K314" s="3510"/>
      <c r="L314" s="3511"/>
      <c r="M314" s="3509"/>
      <c r="N314" s="3509"/>
      <c r="O314" s="3509"/>
      <c r="P314" s="3509"/>
      <c r="Q314" s="3509"/>
      <c r="R314" s="3509"/>
      <c r="S314" s="3509"/>
      <c r="T314" s="3509"/>
      <c r="U314" s="3509"/>
      <c r="V314" s="3509"/>
      <c r="W314" s="3509"/>
      <c r="X314" s="3509"/>
      <c r="Y314" s="3509"/>
      <c r="Z314" s="3509"/>
      <c r="AA314" s="3509"/>
      <c r="AB314" s="3509"/>
      <c r="AC314" s="3509"/>
    </row>
    <row r="315" spans="1:29">
      <c r="A315" s="3509"/>
      <c r="B315" s="3509"/>
      <c r="C315" s="3509"/>
      <c r="D315" s="3509"/>
      <c r="E315" s="3509"/>
      <c r="F315" s="3509"/>
      <c r="G315" s="3509"/>
      <c r="H315" s="3509"/>
      <c r="I315" s="3509"/>
      <c r="J315" s="3509"/>
      <c r="K315" s="3510"/>
      <c r="L315" s="3511"/>
      <c r="M315" s="3509"/>
      <c r="N315" s="3509"/>
      <c r="O315" s="3509"/>
      <c r="P315" s="3509"/>
      <c r="Q315" s="3509"/>
      <c r="R315" s="3509"/>
      <c r="S315" s="3509"/>
      <c r="T315" s="3509"/>
      <c r="U315" s="3509"/>
      <c r="V315" s="3509"/>
      <c r="W315" s="3509"/>
      <c r="X315" s="3509"/>
      <c r="Y315" s="3509"/>
      <c r="Z315" s="3509"/>
      <c r="AA315" s="3509"/>
      <c r="AB315" s="3509"/>
      <c r="AC315" s="3509"/>
    </row>
    <row r="316" spans="1:29">
      <c r="A316" s="3509"/>
      <c r="B316" s="3509"/>
      <c r="C316" s="3509"/>
      <c r="D316" s="3509"/>
      <c r="E316" s="3509"/>
      <c r="F316" s="3509"/>
      <c r="G316" s="3509"/>
      <c r="H316" s="3509"/>
      <c r="I316" s="3509"/>
      <c r="J316" s="3509"/>
      <c r="K316" s="3510"/>
      <c r="L316" s="3511"/>
      <c r="M316" s="3509"/>
      <c r="N316" s="3509"/>
      <c r="O316" s="3509"/>
      <c r="P316" s="3509"/>
      <c r="Q316" s="3509"/>
      <c r="R316" s="3509"/>
      <c r="S316" s="3509"/>
      <c r="T316" s="3509"/>
      <c r="U316" s="3509"/>
      <c r="V316" s="3509"/>
      <c r="W316" s="3509"/>
      <c r="X316" s="3509"/>
      <c r="Y316" s="3509"/>
      <c r="Z316" s="3509"/>
      <c r="AA316" s="3509"/>
      <c r="AB316" s="3509"/>
      <c r="AC316" s="3509"/>
    </row>
    <row r="317" spans="1:29">
      <c r="A317" s="3509"/>
      <c r="B317" s="3509"/>
      <c r="C317" s="3509"/>
      <c r="D317" s="3509"/>
      <c r="E317" s="3509"/>
      <c r="F317" s="3509"/>
      <c r="G317" s="3509"/>
      <c r="H317" s="3509"/>
      <c r="I317" s="3509"/>
      <c r="J317" s="3509"/>
      <c r="K317" s="3510"/>
      <c r="L317" s="3511"/>
      <c r="M317" s="3509"/>
      <c r="N317" s="3509"/>
      <c r="O317" s="3509"/>
      <c r="P317" s="3509"/>
      <c r="Q317" s="3509"/>
      <c r="R317" s="3509"/>
      <c r="S317" s="3509"/>
      <c r="T317" s="3509"/>
      <c r="U317" s="3509"/>
      <c r="V317" s="3509"/>
      <c r="W317" s="3509"/>
      <c r="X317" s="3509"/>
      <c r="Y317" s="3509"/>
      <c r="Z317" s="3509"/>
      <c r="AA317" s="3509"/>
      <c r="AB317" s="3509"/>
      <c r="AC317" s="3509"/>
    </row>
    <row r="318" spans="1:29">
      <c r="A318" s="3509"/>
      <c r="B318" s="3509"/>
      <c r="C318" s="3509"/>
      <c r="D318" s="3509"/>
      <c r="E318" s="3509"/>
      <c r="F318" s="3509"/>
      <c r="G318" s="3509"/>
      <c r="H318" s="3509"/>
      <c r="I318" s="3509"/>
      <c r="J318" s="3509"/>
      <c r="K318" s="3510"/>
      <c r="L318" s="3511"/>
      <c r="M318" s="3509"/>
      <c r="N318" s="3509"/>
      <c r="O318" s="3509"/>
      <c r="P318" s="3509"/>
      <c r="Q318" s="3509"/>
      <c r="R318" s="3509"/>
      <c r="S318" s="3509"/>
      <c r="T318" s="3509"/>
      <c r="U318" s="3509"/>
      <c r="V318" s="3509"/>
      <c r="W318" s="3509"/>
      <c r="X318" s="3509"/>
      <c r="Y318" s="3509"/>
      <c r="Z318" s="3509"/>
      <c r="AA318" s="3509"/>
      <c r="AB318" s="3509"/>
      <c r="AC318" s="3509"/>
    </row>
    <row r="319" spans="1:29">
      <c r="N319" s="3509"/>
      <c r="O319" s="3509"/>
      <c r="P319" s="3509"/>
      <c r="Q319" s="3509"/>
      <c r="R319" s="3509"/>
      <c r="S319" s="3509"/>
      <c r="T319" s="3509"/>
      <c r="U319" s="3509"/>
      <c r="V319" s="3509"/>
      <c r="W319" s="3509"/>
      <c r="X319" s="3509"/>
      <c r="Y319" s="3509"/>
      <c r="Z319" s="3509"/>
      <c r="AA319" s="3509"/>
      <c r="AB319" s="3509"/>
      <c r="AC319" s="3509"/>
    </row>
    <row r="320" spans="1:29">
      <c r="AC320" s="3509"/>
    </row>
    <row r="321" spans="29:29">
      <c r="AC321" s="3509"/>
    </row>
    <row r="322" spans="29:29">
      <c r="AC322" s="3509"/>
    </row>
    <row r="323" spans="29:29">
      <c r="AC323" s="3509"/>
    </row>
    <row r="324" spans="29:29">
      <c r="AC324" s="3509"/>
    </row>
    <row r="325" spans="29:29">
      <c r="AC325" s="3509"/>
    </row>
    <row r="326" spans="29:29">
      <c r="AC326" s="3509"/>
    </row>
    <row r="327" spans="29:29">
      <c r="AC327" s="3509"/>
    </row>
    <row r="328" spans="29:29">
      <c r="AC328" s="3509"/>
    </row>
    <row r="329" spans="29:29">
      <c r="AC329" s="3509"/>
    </row>
    <row r="330" spans="29:29">
      <c r="AC330" s="3509"/>
    </row>
    <row r="331" spans="29:29">
      <c r="AC331" s="3509"/>
    </row>
    <row r="332" spans="29:29">
      <c r="AC332" s="3509"/>
    </row>
    <row r="333" spans="29:29">
      <c r="AC333" s="3509"/>
    </row>
    <row r="334" spans="29:29">
      <c r="AC334" s="3509"/>
    </row>
    <row r="335" spans="29:29">
      <c r="AC335" s="3509"/>
    </row>
    <row r="336" spans="29:29">
      <c r="AC336" s="3509"/>
    </row>
    <row r="337" spans="29:29">
      <c r="AC337" s="3509"/>
    </row>
    <row r="338" spans="29:29">
      <c r="AC338" s="3509"/>
    </row>
    <row r="339" spans="29:29">
      <c r="AC339" s="3509"/>
    </row>
    <row r="340" spans="29:29">
      <c r="AC340" s="3509"/>
    </row>
    <row r="341" spans="29:29">
      <c r="AC341" s="3509"/>
    </row>
    <row r="342" spans="29:29">
      <c r="AC342" s="3509"/>
    </row>
    <row r="343" spans="29:29">
      <c r="AC343" s="3509"/>
    </row>
    <row r="344" spans="29:29">
      <c r="AC344" s="3509"/>
    </row>
    <row r="345" spans="29:29">
      <c r="AC345" s="3509"/>
    </row>
    <row r="346" spans="29:29">
      <c r="AC346" s="3509"/>
    </row>
    <row r="347" spans="29:29">
      <c r="AC347" s="3509"/>
    </row>
    <row r="348" spans="29:29">
      <c r="AC348" s="3509"/>
    </row>
    <row r="349" spans="29:29">
      <c r="AC349" s="3509"/>
    </row>
    <row r="350" spans="29:29">
      <c r="AC350" s="3509"/>
    </row>
    <row r="351" spans="29:29">
      <c r="AC351" s="3509"/>
    </row>
    <row r="352" spans="29:29">
      <c r="AC352" s="3509"/>
    </row>
    <row r="353" spans="29:29">
      <c r="AC353" s="3509"/>
    </row>
    <row r="354" spans="29:29">
      <c r="AC354" s="3509"/>
    </row>
    <row r="355" spans="29:29">
      <c r="AC355" s="3509"/>
    </row>
    <row r="356" spans="29:29">
      <c r="AC356" s="3509"/>
    </row>
    <row r="357" spans="29:29">
      <c r="AC357" s="3509"/>
    </row>
    <row r="358" spans="29:29">
      <c r="AC358" s="3509"/>
    </row>
    <row r="359" spans="29:29">
      <c r="AC359" s="3509"/>
    </row>
    <row r="360" spans="29:29">
      <c r="AC360" s="3509"/>
    </row>
    <row r="361" spans="29:29">
      <c r="AC361" s="3509"/>
    </row>
    <row r="362" spans="29:29">
      <c r="AC362" s="3509"/>
    </row>
    <row r="363" spans="29:29">
      <c r="AC363" s="3509"/>
    </row>
    <row r="364" spans="29:29">
      <c r="AC364" s="3509"/>
    </row>
    <row r="365" spans="29:29">
      <c r="AC365" s="3509"/>
    </row>
    <row r="366" spans="29:29">
      <c r="AC366" s="3509"/>
    </row>
    <row r="367" spans="29:29">
      <c r="AC367" s="3509"/>
    </row>
    <row r="368" spans="29:29">
      <c r="AC368" s="3509"/>
    </row>
    <row r="369" spans="29:29">
      <c r="AC369" s="3509"/>
    </row>
    <row r="370" spans="29:29">
      <c r="AC370" s="3509"/>
    </row>
    <row r="371" spans="29:29">
      <c r="AC371" s="3509"/>
    </row>
    <row r="372" spans="29:29">
      <c r="AC372" s="3509"/>
    </row>
    <row r="373" spans="29:29">
      <c r="AC373" s="3509"/>
    </row>
    <row r="374" spans="29:29">
      <c r="AC374" s="3509"/>
    </row>
    <row r="375" spans="29:29">
      <c r="AC375" s="3509"/>
    </row>
    <row r="376" spans="29:29">
      <c r="AC376" s="3509"/>
    </row>
    <row r="377" spans="29:29">
      <c r="AC377" s="3509"/>
    </row>
    <row r="378" spans="29:29">
      <c r="AC378" s="3509"/>
    </row>
    <row r="379" spans="29:29">
      <c r="AC379" s="3509"/>
    </row>
    <row r="380" spans="29:29">
      <c r="AC380" s="3509"/>
    </row>
    <row r="381" spans="29:29">
      <c r="AC381" s="3509"/>
    </row>
    <row r="382" spans="29:29">
      <c r="AC382" s="3509"/>
    </row>
    <row r="383" spans="29:29">
      <c r="AC383" s="3509"/>
    </row>
    <row r="384" spans="29:29">
      <c r="AC384" s="3509"/>
    </row>
    <row r="385" spans="29:29">
      <c r="AC385" s="3509"/>
    </row>
    <row r="386" spans="29:29">
      <c r="AC386" s="3509"/>
    </row>
    <row r="387" spans="29:29">
      <c r="AC387" s="3509"/>
    </row>
    <row r="388" spans="29:29">
      <c r="AC388" s="3509"/>
    </row>
    <row r="389" spans="29:29">
      <c r="AC389" s="3509"/>
    </row>
    <row r="390" spans="29:29">
      <c r="AC390" s="3509"/>
    </row>
    <row r="391" spans="29:29">
      <c r="AC391" s="3509"/>
    </row>
    <row r="392" spans="29:29">
      <c r="AC392" s="3509"/>
    </row>
    <row r="393" spans="29:29">
      <c r="AC393" s="3509"/>
    </row>
    <row r="394" spans="29:29">
      <c r="AC394" s="3509"/>
    </row>
    <row r="395" spans="29:29">
      <c r="AC395" s="3509"/>
    </row>
    <row r="396" spans="29:29">
      <c r="AC396" s="3509"/>
    </row>
    <row r="397" spans="29:29">
      <c r="AC397" s="3509"/>
    </row>
    <row r="398" spans="29:29">
      <c r="AC398" s="3509"/>
    </row>
    <row r="399" spans="29:29">
      <c r="AC399" s="3509"/>
    </row>
    <row r="400" spans="29:29">
      <c r="AC400" s="3509"/>
    </row>
    <row r="401" spans="29:29">
      <c r="AC401" s="3509"/>
    </row>
    <row r="402" spans="29:29">
      <c r="AC402" s="3509"/>
    </row>
    <row r="403" spans="29:29">
      <c r="AC403" s="3509"/>
    </row>
    <row r="404" spans="29:29">
      <c r="AC404" s="3509"/>
    </row>
    <row r="405" spans="29:29">
      <c r="AC405" s="3509"/>
    </row>
    <row r="406" spans="29:29">
      <c r="AC406" s="3509"/>
    </row>
    <row r="407" spans="29:29">
      <c r="AC407" s="3509"/>
    </row>
    <row r="408" spans="29:29">
      <c r="AC408" s="3509"/>
    </row>
    <row r="409" spans="29:29">
      <c r="AC409" s="3509"/>
    </row>
    <row r="410" spans="29:29">
      <c r="AC410" s="3509"/>
    </row>
    <row r="411" spans="29:29">
      <c r="AC411" s="3509"/>
    </row>
    <row r="412" spans="29:29">
      <c r="AC412" s="3509"/>
    </row>
    <row r="413" spans="29:29">
      <c r="AC413" s="3509"/>
    </row>
    <row r="414" spans="29:29">
      <c r="AC414" s="3509"/>
    </row>
    <row r="415" spans="29:29">
      <c r="AC415" s="3509"/>
    </row>
    <row r="416" spans="29:29">
      <c r="AC416" s="3509"/>
    </row>
    <row r="417" spans="29:29">
      <c r="AC417" s="3509"/>
    </row>
    <row r="418" spans="29:29">
      <c r="AC418" s="3509"/>
    </row>
    <row r="419" spans="29:29">
      <c r="AC419" s="3509"/>
    </row>
    <row r="420" spans="29:29">
      <c r="AC420" s="3509"/>
    </row>
    <row r="421" spans="29:29">
      <c r="AC421" s="3509"/>
    </row>
    <row r="422" spans="29:29">
      <c r="AC422" s="3509"/>
    </row>
    <row r="423" spans="29:29">
      <c r="AC423" s="3509"/>
    </row>
    <row r="424" spans="29:29">
      <c r="AC424" s="3509"/>
    </row>
    <row r="425" spans="29:29">
      <c r="AC425" s="3509"/>
    </row>
    <row r="426" spans="29:29">
      <c r="AC426" s="3509"/>
    </row>
    <row r="427" spans="29:29">
      <c r="AC427" s="3509"/>
    </row>
    <row r="428" spans="29:29">
      <c r="AC428" s="3509"/>
    </row>
    <row r="429" spans="29:29">
      <c r="AC429" s="3509"/>
    </row>
    <row r="430" spans="29:29">
      <c r="AC430" s="3509"/>
    </row>
    <row r="431" spans="29:29">
      <c r="AC431" s="3509"/>
    </row>
    <row r="432" spans="29:29">
      <c r="AC432" s="3509"/>
    </row>
    <row r="433" spans="29:29">
      <c r="AC433" s="3509"/>
    </row>
    <row r="434" spans="29:29">
      <c r="AC434" s="3509"/>
    </row>
    <row r="435" spans="29:29">
      <c r="AC435" s="3509"/>
    </row>
    <row r="436" spans="29:29">
      <c r="AC436" s="3509"/>
    </row>
    <row r="437" spans="29:29">
      <c r="AC437" s="3509"/>
    </row>
    <row r="438" spans="29:29">
      <c r="AC438" s="3509"/>
    </row>
    <row r="439" spans="29:29">
      <c r="AC439" s="3509"/>
    </row>
    <row r="440" spans="29:29">
      <c r="AC440" s="3509"/>
    </row>
    <row r="441" spans="29:29">
      <c r="AC441" s="3509"/>
    </row>
    <row r="442" spans="29:29">
      <c r="AC442" s="3509"/>
    </row>
    <row r="443" spans="29:29">
      <c r="AC443" s="3509"/>
    </row>
    <row r="444" spans="29:29">
      <c r="AC444" s="3509"/>
    </row>
    <row r="445" spans="29:29">
      <c r="AC445" s="3509"/>
    </row>
    <row r="446" spans="29:29">
      <c r="AC446" s="3509"/>
    </row>
    <row r="447" spans="29:29">
      <c r="AC447" s="3509"/>
    </row>
    <row r="448" spans="29:29">
      <c r="AC448" s="3509"/>
    </row>
    <row r="449" spans="29:29">
      <c r="AC449" s="3509"/>
    </row>
    <row r="450" spans="29:29">
      <c r="AC450" s="3509"/>
    </row>
    <row r="451" spans="29:29">
      <c r="AC451" s="3509"/>
    </row>
    <row r="452" spans="29:29">
      <c r="AC452" s="3509"/>
    </row>
    <row r="453" spans="29:29">
      <c r="AC453" s="3509"/>
    </row>
    <row r="454" spans="29:29">
      <c r="AC454" s="3509"/>
    </row>
    <row r="455" spans="29:29">
      <c r="AC455" s="3509"/>
    </row>
    <row r="456" spans="29:29">
      <c r="AC456" s="3509"/>
    </row>
    <row r="457" spans="29:29">
      <c r="AC457" s="3509"/>
    </row>
    <row r="458" spans="29:29">
      <c r="AC458" s="3509"/>
    </row>
    <row r="459" spans="29:29">
      <c r="AC459" s="3509"/>
    </row>
    <row r="460" spans="29:29">
      <c r="AC460" s="3509"/>
    </row>
    <row r="461" spans="29:29">
      <c r="AC461" s="3509"/>
    </row>
    <row r="462" spans="29:29">
      <c r="AC462" s="3509"/>
    </row>
    <row r="463" spans="29:29">
      <c r="AC463" s="3509"/>
    </row>
    <row r="464" spans="29:29">
      <c r="AC464" s="3509"/>
    </row>
    <row r="465" spans="29:29">
      <c r="AC465" s="3509"/>
    </row>
    <row r="466" spans="29:29">
      <c r="AC466" s="3509"/>
    </row>
    <row r="467" spans="29:29">
      <c r="AC467" s="3509"/>
    </row>
    <row r="468" spans="29:29">
      <c r="AC468" s="3509"/>
    </row>
    <row r="469" spans="29:29">
      <c r="AC469" s="3509"/>
    </row>
    <row r="470" spans="29:29">
      <c r="AC470" s="3509"/>
    </row>
    <row r="471" spans="29:29">
      <c r="AC471" s="3509"/>
    </row>
    <row r="472" spans="29:29">
      <c r="AC472" s="3509"/>
    </row>
    <row r="473" spans="29:29">
      <c r="AC473" s="3509"/>
    </row>
    <row r="474" spans="29:29">
      <c r="AC474" s="3509"/>
    </row>
    <row r="475" spans="29:29">
      <c r="AC475" s="3509"/>
    </row>
    <row r="476" spans="29:29">
      <c r="AC476" s="3509"/>
    </row>
    <row r="477" spans="29:29">
      <c r="AC477" s="3509"/>
    </row>
    <row r="478" spans="29:29">
      <c r="AC478" s="3509"/>
    </row>
    <row r="479" spans="29:29">
      <c r="AC479" s="3509"/>
    </row>
    <row r="480" spans="29:29">
      <c r="AC480" s="3509"/>
    </row>
    <row r="481" spans="29:29">
      <c r="AC481" s="3509"/>
    </row>
    <row r="482" spans="29:29">
      <c r="AC482" s="3509"/>
    </row>
    <row r="483" spans="29:29">
      <c r="AC483" s="3509"/>
    </row>
    <row r="484" spans="29:29">
      <c r="AC484" s="3509"/>
    </row>
    <row r="485" spans="29:29">
      <c r="AC485" s="3509"/>
    </row>
    <row r="486" spans="29:29">
      <c r="AC486" s="3509"/>
    </row>
    <row r="487" spans="29:29">
      <c r="AC487" s="3509"/>
    </row>
    <row r="488" spans="29:29">
      <c r="AC488" s="3509"/>
    </row>
    <row r="489" spans="29:29">
      <c r="AC489" s="3509"/>
    </row>
    <row r="490" spans="29:29">
      <c r="AC490" s="3509"/>
    </row>
    <row r="491" spans="29:29">
      <c r="AC491" s="3509"/>
    </row>
    <row r="492" spans="29:29">
      <c r="AC492" s="3509"/>
    </row>
    <row r="493" spans="29:29">
      <c r="AC493" s="3509"/>
    </row>
    <row r="494" spans="29:29">
      <c r="AC494" s="3509"/>
    </row>
    <row r="495" spans="29:29">
      <c r="AC495" s="3509"/>
    </row>
    <row r="496" spans="29:29">
      <c r="AC496" s="3509"/>
    </row>
    <row r="497" spans="29:29">
      <c r="AC497" s="3509"/>
    </row>
    <row r="498" spans="29:29">
      <c r="AC498" s="3509"/>
    </row>
    <row r="499" spans="29:29">
      <c r="AC499" s="3509"/>
    </row>
    <row r="500" spans="29:29">
      <c r="AC500" s="3509"/>
    </row>
    <row r="501" spans="29:29">
      <c r="AC501" s="3509"/>
    </row>
    <row r="502" spans="29:29">
      <c r="AC502" s="3509"/>
    </row>
    <row r="503" spans="29:29">
      <c r="AC503" s="3509"/>
    </row>
    <row r="504" spans="29:29">
      <c r="AC504" s="3509"/>
    </row>
    <row r="505" spans="29:29">
      <c r="AC505" s="3509"/>
    </row>
    <row r="506" spans="29:29">
      <c r="AC506" s="3509"/>
    </row>
    <row r="507" spans="29:29">
      <c r="AC507" s="3509"/>
    </row>
    <row r="508" spans="29:29">
      <c r="AC508" s="3509"/>
    </row>
    <row r="509" spans="29:29">
      <c r="AC509" s="3509"/>
    </row>
    <row r="510" spans="29:29">
      <c r="AC510" s="3509"/>
    </row>
    <row r="511" spans="29:29">
      <c r="AC511" s="3509"/>
    </row>
    <row r="512" spans="29:29">
      <c r="AC512" s="3509"/>
    </row>
    <row r="513" spans="29:29">
      <c r="AC513" s="3509"/>
    </row>
    <row r="514" spans="29:29">
      <c r="AC514" s="3509"/>
    </row>
    <row r="515" spans="29:29">
      <c r="AC515" s="3509"/>
    </row>
    <row r="516" spans="29:29">
      <c r="AC516" s="3509"/>
    </row>
    <row r="517" spans="29:29">
      <c r="AC517" s="3509"/>
    </row>
    <row r="518" spans="29:29">
      <c r="AC518" s="3509"/>
    </row>
    <row r="519" spans="29:29">
      <c r="AC519" s="3509"/>
    </row>
    <row r="520" spans="29:29">
      <c r="AC520" s="3509"/>
    </row>
    <row r="521" spans="29:29">
      <c r="AC521" s="3509"/>
    </row>
    <row r="522" spans="29:29">
      <c r="AC522" s="3509"/>
    </row>
    <row r="523" spans="29:29">
      <c r="AC523" s="3509"/>
    </row>
    <row r="524" spans="29:29">
      <c r="AC524" s="3509"/>
    </row>
    <row r="525" spans="29:29">
      <c r="AC525" s="3509"/>
    </row>
    <row r="526" spans="29:29">
      <c r="AC526" s="3509"/>
    </row>
    <row r="527" spans="29:29">
      <c r="AC527" s="3509"/>
    </row>
    <row r="528" spans="29:29">
      <c r="AC528" s="3509"/>
    </row>
    <row r="529" spans="29:29">
      <c r="AC529" s="3509"/>
    </row>
    <row r="530" spans="29:29">
      <c r="AC530" s="3509"/>
    </row>
    <row r="531" spans="29:29">
      <c r="AC531" s="3509"/>
    </row>
    <row r="532" spans="29:29">
      <c r="AC532" s="3509"/>
    </row>
    <row r="533" spans="29:29">
      <c r="AC533" s="3509"/>
    </row>
    <row r="534" spans="29:29">
      <c r="AC534" s="3509"/>
    </row>
    <row r="535" spans="29:29">
      <c r="AC535" s="3509"/>
    </row>
    <row r="536" spans="29:29">
      <c r="AC536" s="3509"/>
    </row>
    <row r="537" spans="29:29">
      <c r="AC537" s="3509"/>
    </row>
    <row r="538" spans="29:29">
      <c r="AC538" s="3509"/>
    </row>
    <row r="539" spans="29:29">
      <c r="AC539" s="3509"/>
    </row>
    <row r="540" spans="29:29">
      <c r="AC540" s="3509"/>
    </row>
    <row r="541" spans="29:29">
      <c r="AC541" s="3509"/>
    </row>
    <row r="542" spans="29:29">
      <c r="AC542" s="3509"/>
    </row>
    <row r="543" spans="29:29">
      <c r="AC543" s="3509"/>
    </row>
    <row r="544" spans="29:29">
      <c r="AC544" s="3509"/>
    </row>
    <row r="545" spans="29:29">
      <c r="AC545" s="3509"/>
    </row>
    <row r="546" spans="29:29">
      <c r="AC546" s="3509"/>
    </row>
    <row r="547" spans="29:29">
      <c r="AC547" s="3509"/>
    </row>
    <row r="548" spans="29:29">
      <c r="AC548" s="3509"/>
    </row>
    <row r="549" spans="29:29">
      <c r="AC549" s="3509"/>
    </row>
    <row r="550" spans="29:29">
      <c r="AC550" s="3509"/>
    </row>
    <row r="551" spans="29:29">
      <c r="AC551" s="3509"/>
    </row>
    <row r="552" spans="29:29">
      <c r="AC552" s="3509"/>
    </row>
    <row r="553" spans="29:29">
      <c r="AC553" s="3509"/>
    </row>
    <row r="554" spans="29:29">
      <c r="AC554" s="3509"/>
    </row>
    <row r="555" spans="29:29">
      <c r="AC555" s="3509"/>
    </row>
    <row r="556" spans="29:29">
      <c r="AC556" s="3509"/>
    </row>
    <row r="557" spans="29:29">
      <c r="AC557" s="3509"/>
    </row>
    <row r="558" spans="29:29">
      <c r="AC558" s="3509"/>
    </row>
    <row r="559" spans="29:29">
      <c r="AC559" s="3509"/>
    </row>
    <row r="560" spans="29:29">
      <c r="AC560" s="3509"/>
    </row>
    <row r="561" spans="29:29">
      <c r="AC561" s="3509"/>
    </row>
    <row r="562" spans="29:29">
      <c r="AC562" s="3509"/>
    </row>
    <row r="563" spans="29:29">
      <c r="AC563" s="3509"/>
    </row>
    <row r="564" spans="29:29">
      <c r="AC564" s="3509"/>
    </row>
    <row r="565" spans="29:29">
      <c r="AC565" s="3509"/>
    </row>
    <row r="566" spans="29:29">
      <c r="AC566" s="3509"/>
    </row>
    <row r="567" spans="29:29">
      <c r="AC567" s="3509"/>
    </row>
    <row r="568" spans="29:29">
      <c r="AC568" s="3509"/>
    </row>
    <row r="569" spans="29:29">
      <c r="AC569" s="3509"/>
    </row>
    <row r="570" spans="29:29">
      <c r="AC570" s="3509"/>
    </row>
    <row r="571" spans="29:29">
      <c r="AC571" s="3509"/>
    </row>
    <row r="572" spans="29:29">
      <c r="AC572" s="3509"/>
    </row>
    <row r="573" spans="29:29">
      <c r="AC573" s="3509"/>
    </row>
    <row r="574" spans="29:29">
      <c r="AC574" s="3509"/>
    </row>
    <row r="575" spans="29:29">
      <c r="AC575" s="3509"/>
    </row>
    <row r="576" spans="29:29">
      <c r="AC576" s="3509"/>
    </row>
    <row r="577" spans="29:29">
      <c r="AC577" s="3509"/>
    </row>
    <row r="578" spans="29:29">
      <c r="AC578" s="3509"/>
    </row>
    <row r="579" spans="29:29">
      <c r="AC579" s="3509"/>
    </row>
    <row r="580" spans="29:29">
      <c r="AC580" s="3509"/>
    </row>
    <row r="581" spans="29:29">
      <c r="AC581" s="3509"/>
    </row>
    <row r="582" spans="29:29">
      <c r="AC582" s="3509"/>
    </row>
    <row r="583" spans="29:29">
      <c r="AC583" s="3509"/>
    </row>
    <row r="584" spans="29:29">
      <c r="AC584" s="3509"/>
    </row>
    <row r="585" spans="29:29">
      <c r="AC585" s="3509"/>
    </row>
    <row r="586" spans="29:29">
      <c r="AC586" s="3509"/>
    </row>
    <row r="587" spans="29:29">
      <c r="AC587" s="3509"/>
    </row>
    <row r="588" spans="29:29">
      <c r="AC588" s="3509"/>
    </row>
    <row r="589" spans="29:29">
      <c r="AC589" s="3509"/>
    </row>
    <row r="590" spans="29:29">
      <c r="AC590" s="3509"/>
    </row>
    <row r="591" spans="29:29">
      <c r="AC591" s="3509"/>
    </row>
    <row r="592" spans="29:29">
      <c r="AC592" s="3509"/>
    </row>
    <row r="593" spans="29:29">
      <c r="AC593" s="3509"/>
    </row>
    <row r="594" spans="29:29">
      <c r="AC594" s="3509"/>
    </row>
    <row r="595" spans="29:29">
      <c r="AC595" s="3509"/>
    </row>
    <row r="596" spans="29:29">
      <c r="AC596" s="3509"/>
    </row>
    <row r="597" spans="29:29">
      <c r="AC597" s="3509"/>
    </row>
    <row r="598" spans="29:29">
      <c r="AC598" s="3509"/>
    </row>
    <row r="599" spans="29:29">
      <c r="AC599" s="3509"/>
    </row>
    <row r="600" spans="29:29">
      <c r="AC600" s="3509"/>
    </row>
    <row r="601" spans="29:29">
      <c r="AC601" s="3509"/>
    </row>
    <row r="602" spans="29:29">
      <c r="AC602" s="3509"/>
    </row>
    <row r="603" spans="29:29">
      <c r="AC603" s="3509"/>
    </row>
    <row r="604" spans="29:29">
      <c r="AC604" s="3509"/>
    </row>
    <row r="605" spans="29:29">
      <c r="AC605" s="3509"/>
    </row>
    <row r="606" spans="29:29">
      <c r="AC606" s="3509"/>
    </row>
    <row r="607" spans="29:29">
      <c r="AC607" s="3509"/>
    </row>
    <row r="608" spans="29:29">
      <c r="AC608" s="3509"/>
    </row>
    <row r="609" spans="29:29">
      <c r="AC609" s="3509"/>
    </row>
    <row r="610" spans="29:29">
      <c r="AC610" s="3509"/>
    </row>
    <row r="611" spans="29:29">
      <c r="AC611" s="3509"/>
    </row>
    <row r="612" spans="29:29">
      <c r="AC612" s="3509"/>
    </row>
    <row r="613" spans="29:29">
      <c r="AC613" s="3509"/>
    </row>
    <row r="614" spans="29:29">
      <c r="AC614" s="3509"/>
    </row>
    <row r="615" spans="29:29">
      <c r="AC615" s="3509"/>
    </row>
    <row r="616" spans="29:29">
      <c r="AC616" s="3509"/>
    </row>
    <row r="617" spans="29:29">
      <c r="AC617" s="3509"/>
    </row>
    <row r="618" spans="29:29">
      <c r="AC618" s="3509"/>
    </row>
    <row r="619" spans="29:29">
      <c r="AC619" s="3509"/>
    </row>
    <row r="620" spans="29:29">
      <c r="AC620" s="3509"/>
    </row>
    <row r="621" spans="29:29">
      <c r="AC621" s="3509"/>
    </row>
    <row r="622" spans="29:29">
      <c r="AC622" s="3509"/>
    </row>
    <row r="623" spans="29:29">
      <c r="AC623" s="3509"/>
    </row>
    <row r="624" spans="29:29">
      <c r="AC624" s="3509"/>
    </row>
    <row r="625" spans="29:29">
      <c r="AC625" s="3509"/>
    </row>
    <row r="626" spans="29:29">
      <c r="AC626" s="3509"/>
    </row>
    <row r="627" spans="29:29">
      <c r="AC627" s="3509"/>
    </row>
    <row r="628" spans="29:29">
      <c r="AC628" s="3509"/>
    </row>
    <row r="629" spans="29:29">
      <c r="AC629" s="3509"/>
    </row>
    <row r="630" spans="29:29">
      <c r="AC630" s="3509"/>
    </row>
    <row r="631" spans="29:29">
      <c r="AC631" s="3509"/>
    </row>
    <row r="632" spans="29:29">
      <c r="AC632" s="3509"/>
    </row>
    <row r="633" spans="29:29">
      <c r="AC633" s="3509"/>
    </row>
    <row r="634" spans="29:29">
      <c r="AC634" s="3509"/>
    </row>
    <row r="635" spans="29:29">
      <c r="AC635" s="3509"/>
    </row>
    <row r="636" spans="29:29">
      <c r="AC636" s="3509"/>
    </row>
    <row r="637" spans="29:29">
      <c r="AC637" s="3509"/>
    </row>
    <row r="638" spans="29:29">
      <c r="AC638" s="3509"/>
    </row>
    <row r="639" spans="29:29">
      <c r="AC639" s="3509"/>
    </row>
    <row r="640" spans="29:29">
      <c r="AC640" s="3509"/>
    </row>
    <row r="641" spans="29:29">
      <c r="AC641" s="3509"/>
    </row>
    <row r="642" spans="29:29">
      <c r="AC642" s="3509"/>
    </row>
    <row r="643" spans="29:29">
      <c r="AC643" s="3509"/>
    </row>
    <row r="644" spans="29:29">
      <c r="AC644" s="3509"/>
    </row>
    <row r="645" spans="29:29">
      <c r="AC645" s="3509"/>
    </row>
    <row r="646" spans="29:29">
      <c r="AC646" s="3509"/>
    </row>
    <row r="647" spans="29:29">
      <c r="AC647" s="3509"/>
    </row>
    <row r="648" spans="29:29">
      <c r="AC648" s="3509"/>
    </row>
    <row r="649" spans="29:29">
      <c r="AC649" s="3509"/>
    </row>
    <row r="650" spans="29:29">
      <c r="AC650" s="3509"/>
    </row>
    <row r="651" spans="29:29">
      <c r="AC651" s="3509"/>
    </row>
    <row r="652" spans="29:29">
      <c r="AC652" s="3509"/>
    </row>
    <row r="653" spans="29:29">
      <c r="AC653" s="3509"/>
    </row>
    <row r="654" spans="29:29">
      <c r="AC654" s="3509"/>
    </row>
    <row r="655" spans="29:29">
      <c r="AC655" s="3509"/>
    </row>
    <row r="656" spans="29:29">
      <c r="AC656" s="3509"/>
    </row>
    <row r="657" spans="29:29">
      <c r="AC657" s="3509"/>
    </row>
    <row r="658" spans="29:29">
      <c r="AC658" s="3509"/>
    </row>
    <row r="659" spans="29:29">
      <c r="AC659" s="3509"/>
    </row>
    <row r="660" spans="29:29">
      <c r="AC660" s="3509"/>
    </row>
    <row r="661" spans="29:29">
      <c r="AC661" s="3509"/>
    </row>
    <row r="662" spans="29:29">
      <c r="AC662" s="3509"/>
    </row>
    <row r="663" spans="29:29">
      <c r="AC663" s="3509"/>
    </row>
    <row r="664" spans="29:29">
      <c r="AC664" s="3509"/>
    </row>
    <row r="665" spans="29:29">
      <c r="AC665" s="3509"/>
    </row>
    <row r="666" spans="29:29">
      <c r="AC666" s="3509"/>
    </row>
    <row r="667" spans="29:29">
      <c r="AC667" s="3509"/>
    </row>
    <row r="668" spans="29:29">
      <c r="AC668" s="3509"/>
    </row>
    <row r="669" spans="29:29">
      <c r="AC669" s="3509"/>
    </row>
    <row r="670" spans="29:29">
      <c r="AC670" s="3509"/>
    </row>
    <row r="671" spans="29:29">
      <c r="AC671" s="3509"/>
    </row>
    <row r="672" spans="29:29">
      <c r="AC672" s="3509"/>
    </row>
    <row r="673" spans="29:29">
      <c r="AC673" s="3509"/>
    </row>
    <row r="674" spans="29:29">
      <c r="AC674" s="3509"/>
    </row>
    <row r="675" spans="29:29">
      <c r="AC675" s="3509"/>
    </row>
    <row r="676" spans="29:29">
      <c r="AC676" s="3509"/>
    </row>
    <row r="677" spans="29:29">
      <c r="AC677" s="3509"/>
    </row>
    <row r="678" spans="29:29">
      <c r="AC678" s="3509"/>
    </row>
    <row r="679" spans="29:29">
      <c r="AC679" s="3509"/>
    </row>
    <row r="680" spans="29:29">
      <c r="AC680" s="3509"/>
    </row>
    <row r="681" spans="29:29">
      <c r="AC681" s="3509"/>
    </row>
    <row r="682" spans="29:29">
      <c r="AC682" s="3509"/>
    </row>
    <row r="683" spans="29:29">
      <c r="AC683" s="3509"/>
    </row>
    <row r="684" spans="29:29">
      <c r="AC684" s="3509"/>
    </row>
    <row r="685" spans="29:29">
      <c r="AC685" s="3509"/>
    </row>
    <row r="686" spans="29:29">
      <c r="AC686" s="3509"/>
    </row>
    <row r="687" spans="29:29">
      <c r="AC687" s="3509"/>
    </row>
    <row r="688" spans="29:29">
      <c r="AC688" s="3509"/>
    </row>
    <row r="689" spans="29:29">
      <c r="AC689" s="3509"/>
    </row>
    <row r="690" spans="29:29">
      <c r="AC690" s="3509"/>
    </row>
    <row r="691" spans="29:29">
      <c r="AC691" s="3509"/>
    </row>
    <row r="692" spans="29:29">
      <c r="AC692" s="3509"/>
    </row>
    <row r="693" spans="29:29">
      <c r="AC693" s="3509"/>
    </row>
    <row r="694" spans="29:29">
      <c r="AC694" s="3509"/>
    </row>
    <row r="695" spans="29:29">
      <c r="AC695" s="3509"/>
    </row>
    <row r="696" spans="29:29">
      <c r="AC696" s="3509"/>
    </row>
    <row r="697" spans="29:29">
      <c r="AC697" s="3509"/>
    </row>
    <row r="698" spans="29:29">
      <c r="AC698" s="3509"/>
    </row>
    <row r="699" spans="29:29">
      <c r="AC699" s="3509"/>
    </row>
    <row r="700" spans="29:29">
      <c r="AC700" s="3509"/>
    </row>
    <row r="701" spans="29:29">
      <c r="AC701" s="3509"/>
    </row>
    <row r="702" spans="29:29">
      <c r="AC702" s="3509"/>
    </row>
    <row r="703" spans="29:29">
      <c r="AC703" s="3509"/>
    </row>
    <row r="704" spans="29:29">
      <c r="AC704" s="3509"/>
    </row>
    <row r="705" spans="29:29">
      <c r="AC705" s="3509"/>
    </row>
    <row r="706" spans="29:29">
      <c r="AC706" s="3509"/>
    </row>
    <row r="707" spans="29:29">
      <c r="AC707" s="3509"/>
    </row>
    <row r="708" spans="29:29">
      <c r="AC708" s="3509"/>
    </row>
    <row r="709" spans="29:29">
      <c r="AC709" s="3509"/>
    </row>
    <row r="710" spans="29:29">
      <c r="AC710" s="3509"/>
    </row>
    <row r="711" spans="29:29">
      <c r="AC711" s="3509"/>
    </row>
    <row r="712" spans="29:29">
      <c r="AC712" s="3509"/>
    </row>
    <row r="713" spans="29:29">
      <c r="AC713" s="3509"/>
    </row>
    <row r="714" spans="29:29">
      <c r="AC714" s="3509"/>
    </row>
    <row r="715" spans="29:29">
      <c r="AC715" s="3509"/>
    </row>
    <row r="716" spans="29:29">
      <c r="AC716" s="3509"/>
    </row>
    <row r="717" spans="29:29">
      <c r="AC717" s="3509"/>
    </row>
    <row r="718" spans="29:29">
      <c r="AC718" s="3509"/>
    </row>
    <row r="719" spans="29:29">
      <c r="AC719" s="3509"/>
    </row>
    <row r="720" spans="29:29">
      <c r="AC720" s="3509"/>
    </row>
    <row r="721" spans="29:29">
      <c r="AC721" s="3509"/>
    </row>
    <row r="722" spans="29:29">
      <c r="AC722" s="3509"/>
    </row>
    <row r="723" spans="29:29">
      <c r="AC723" s="3509"/>
    </row>
    <row r="724" spans="29:29">
      <c r="AC724" s="3509"/>
    </row>
    <row r="725" spans="29:29">
      <c r="AC725" s="3509"/>
    </row>
    <row r="726" spans="29:29">
      <c r="AC726" s="3509"/>
    </row>
    <row r="727" spans="29:29">
      <c r="AC727" s="3509"/>
    </row>
    <row r="728" spans="29:29">
      <c r="AC728" s="3509"/>
    </row>
    <row r="729" spans="29:29">
      <c r="AC729" s="3509"/>
    </row>
    <row r="730" spans="29:29">
      <c r="AC730" s="3509"/>
    </row>
    <row r="731" spans="29:29">
      <c r="AC731" s="3509"/>
    </row>
    <row r="732" spans="29:29">
      <c r="AC732" s="3509"/>
    </row>
    <row r="733" spans="29:29">
      <c r="AC733" s="3509"/>
    </row>
    <row r="734" spans="29:29">
      <c r="AC734" s="3509"/>
    </row>
    <row r="735" spans="29:29">
      <c r="AC735" s="3509"/>
    </row>
    <row r="736" spans="29:29">
      <c r="AC736" s="3509"/>
    </row>
    <row r="737" spans="29:29">
      <c r="AC737" s="3509"/>
    </row>
    <row r="738" spans="29:29">
      <c r="AC738" s="3509"/>
    </row>
    <row r="739" spans="29:29">
      <c r="AC739" s="3509"/>
    </row>
    <row r="740" spans="29:29">
      <c r="AC740" s="3509"/>
    </row>
    <row r="741" spans="29:29">
      <c r="AC741" s="3509"/>
    </row>
    <row r="742" spans="29:29">
      <c r="AC742" s="3509"/>
    </row>
    <row r="743" spans="29:29">
      <c r="AC743" s="3509"/>
    </row>
    <row r="744" spans="29:29">
      <c r="AC744" s="3509"/>
    </row>
    <row r="745" spans="29:29">
      <c r="AC745" s="3509"/>
    </row>
    <row r="746" spans="29:29">
      <c r="AC746" s="3509"/>
    </row>
    <row r="747" spans="29:29">
      <c r="AC747" s="3509"/>
    </row>
    <row r="748" spans="29:29">
      <c r="AC748" s="3509"/>
    </row>
    <row r="749" spans="29:29">
      <c r="AC749" s="3509"/>
    </row>
    <row r="750" spans="29:29">
      <c r="AC750" s="3509"/>
    </row>
    <row r="751" spans="29:29">
      <c r="AC751" s="3509"/>
    </row>
    <row r="752" spans="29:29">
      <c r="AC752" s="3509"/>
    </row>
    <row r="753" spans="29:29">
      <c r="AC753" s="3509"/>
    </row>
    <row r="754" spans="29:29">
      <c r="AC754" s="3509"/>
    </row>
    <row r="755" spans="29:29">
      <c r="AC755" s="3509"/>
    </row>
    <row r="756" spans="29:29">
      <c r="AC756" s="3509"/>
    </row>
    <row r="757" spans="29:29">
      <c r="AC757" s="3509"/>
    </row>
    <row r="758" spans="29:29">
      <c r="AC758" s="3509"/>
    </row>
    <row r="759" spans="29:29">
      <c r="AC759" s="3509"/>
    </row>
    <row r="760" spans="29:29">
      <c r="AC760" s="3509"/>
    </row>
    <row r="761" spans="29:29">
      <c r="AC761" s="3509"/>
    </row>
    <row r="762" spans="29:29">
      <c r="AC762" s="3509"/>
    </row>
    <row r="763" spans="29:29">
      <c r="AC763" s="3509"/>
    </row>
    <row r="764" spans="29:29">
      <c r="AC764" s="3509"/>
    </row>
    <row r="765" spans="29:29">
      <c r="AC765" s="3509"/>
    </row>
    <row r="766" spans="29:29">
      <c r="AC766" s="3509"/>
    </row>
    <row r="767" spans="29:29">
      <c r="AC767" s="3509"/>
    </row>
    <row r="768" spans="29:29">
      <c r="AC768" s="3509"/>
    </row>
    <row r="769" spans="29:29">
      <c r="AC769" s="3509"/>
    </row>
    <row r="770" spans="29:29">
      <c r="AC770" s="3509"/>
    </row>
    <row r="771" spans="29:29">
      <c r="AC771" s="3509"/>
    </row>
    <row r="772" spans="29:29">
      <c r="AC772" s="3509"/>
    </row>
    <row r="773" spans="29:29">
      <c r="AC773" s="3509"/>
    </row>
    <row r="774" spans="29:29">
      <c r="AC774" s="3509"/>
    </row>
    <row r="775" spans="29:29">
      <c r="AC775" s="3509"/>
    </row>
    <row r="776" spans="29:29">
      <c r="AC776" s="3509"/>
    </row>
    <row r="777" spans="29:29">
      <c r="AC777" s="3509"/>
    </row>
    <row r="778" spans="29:29">
      <c r="AC778" s="3509"/>
    </row>
    <row r="779" spans="29:29">
      <c r="AC779" s="3509"/>
    </row>
    <row r="780" spans="29:29">
      <c r="AC780" s="3509"/>
    </row>
    <row r="781" spans="29:29">
      <c r="AC781" s="3509"/>
    </row>
    <row r="782" spans="29:29">
      <c r="AC782" s="3509"/>
    </row>
    <row r="783" spans="29:29">
      <c r="AC783" s="3509"/>
    </row>
    <row r="784" spans="29:29">
      <c r="AC784" s="3509"/>
    </row>
    <row r="785" spans="29:29">
      <c r="AC785" s="3509"/>
    </row>
    <row r="786" spans="29:29">
      <c r="AC786" s="3509"/>
    </row>
    <row r="787" spans="29:29">
      <c r="AC787" s="3509"/>
    </row>
    <row r="788" spans="29:29">
      <c r="AC788" s="3509"/>
    </row>
    <row r="789" spans="29:29">
      <c r="AC789" s="3509"/>
    </row>
    <row r="790" spans="29:29">
      <c r="AC790" s="3509"/>
    </row>
    <row r="791" spans="29:29">
      <c r="AC791" s="3509"/>
    </row>
    <row r="792" spans="29:29">
      <c r="AC792" s="3509"/>
    </row>
    <row r="793" spans="29:29">
      <c r="AC793" s="3509"/>
    </row>
    <row r="794" spans="29:29">
      <c r="AC794" s="350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1" type="noConversion"/>
  <conditionalFormatting sqref="F52 H52">
    <cfRule type="containsText" dxfId="89" priority="16"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F1 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F65537 JB65537 SX65537 ACT65537 AMP65537 AWL65537 BGH65537 BQD65537 BZZ65537 CJV65537 CTR65537 DDN65537 DNJ65537 DXF65537 EHB65537 EQX65537 FAT65537 FKP65537 FUL65537 GEH65537 GOD65537 GXZ65537 HHV65537 HRR65537 IBN65537 ILJ65537 IVF65537 JFB65537 JOX65537 JYT65537 KIP65537 KSL65537 LCH65537 LMD65537 LVZ65537 MFV65537 MPR65537 MZN65537 NJJ65537 NTF65537 ODB65537 OMX65537 OWT65537 PGP65537 PQL65537 QAH65537 QKD65537 QTZ65537 RDV65537 RNR65537 RXN65537 SHJ65537 SRF65537 TBB65537 TKX65537 TUT65537 UEP65537 UOL65537 UYH65537 VID65537 VRZ65537 WBV65537 WLR65537 WVN65537 F131073 JB131073 SX131073 ACT131073 AMP131073 AWL131073 BGH131073 BQD131073 BZZ131073 CJV131073 CTR131073 DDN131073 DNJ131073 DXF131073 EHB131073 EQX131073 FAT131073 FKP131073 FUL131073 GEH131073 GOD131073 GXZ131073 HHV131073 HRR131073 IBN131073 ILJ131073 IVF131073 JFB131073 JOX131073 JYT131073 KIP131073 KSL131073 LCH131073 LMD131073 LVZ131073 MFV131073 MPR131073 MZN131073 NJJ131073 NTF131073 ODB131073 OMX131073 OWT131073 PGP131073 PQL131073 QAH131073 QKD131073 QTZ131073 RDV131073 RNR131073 RXN131073 SHJ131073 SRF131073 TBB131073 TKX131073 TUT131073 UEP131073 UOL131073 UYH131073 VID131073 VRZ131073 WBV131073 WLR131073 WVN131073 F196609 JB196609 SX196609 ACT196609 AMP196609 AWL196609 BGH196609 BQD196609 BZZ196609 CJV196609 CTR196609 DDN196609 DNJ196609 DXF196609 EHB196609 EQX196609 FAT196609 FKP196609 FUL196609 GEH196609 GOD196609 GXZ196609 HHV196609 HRR196609 IBN196609 ILJ196609 IVF196609 JFB196609 JOX196609 JYT196609 KIP196609 KSL196609 LCH196609 LMD196609 LVZ196609 MFV196609 MPR196609 MZN196609 NJJ196609 NTF196609 ODB196609 OMX196609 OWT196609 PGP196609 PQL196609 QAH196609 QKD196609 QTZ196609 RDV196609 RNR196609 RXN196609 SHJ196609 SRF196609 TBB196609 TKX196609 TUT196609 UEP196609 UOL196609 UYH196609 VID196609 VRZ196609 WBV196609 WLR196609 WVN196609 F262145 JB262145 SX262145 ACT262145 AMP262145 AWL262145 BGH262145 BQD262145 BZZ262145 CJV262145 CTR262145 DDN262145 DNJ262145 DXF262145 EHB262145 EQX262145 FAT262145 FKP262145 FUL262145 GEH262145 GOD262145 GXZ262145 HHV262145 HRR262145 IBN262145 ILJ262145 IVF262145 JFB262145 JOX262145 JYT262145 KIP262145 KSL262145 LCH262145 LMD262145 LVZ262145 MFV262145 MPR262145 MZN262145 NJJ262145 NTF262145 ODB262145 OMX262145 OWT262145 PGP262145 PQL262145 QAH262145 QKD262145 QTZ262145 RDV262145 RNR262145 RXN262145 SHJ262145 SRF262145 TBB262145 TKX262145 TUT262145 UEP262145 UOL262145 UYH262145 VID262145 VRZ262145 WBV262145 WLR262145 WVN262145 F327681 JB327681 SX327681 ACT327681 AMP327681 AWL327681 BGH327681 BQD327681 BZZ327681 CJV327681 CTR327681 DDN327681 DNJ327681 DXF327681 EHB327681 EQX327681 FAT327681 FKP327681 FUL327681 GEH327681 GOD327681 GXZ327681 HHV327681 HRR327681 IBN327681 ILJ327681 IVF327681 JFB327681 JOX327681 JYT327681 KIP327681 KSL327681 LCH327681 LMD327681 LVZ327681 MFV327681 MPR327681 MZN327681 NJJ327681 NTF327681 ODB327681 OMX327681 OWT327681 PGP327681 PQL327681 QAH327681 QKD327681 QTZ327681 RDV327681 RNR327681 RXN327681 SHJ327681 SRF327681 TBB327681 TKX327681 TUT327681 UEP327681 UOL327681 UYH327681 VID327681 VRZ327681 WBV327681 WLR327681 WVN327681 F393217 JB393217 SX393217 ACT393217 AMP393217 AWL393217 BGH393217 BQD393217 BZZ393217 CJV393217 CTR393217 DDN393217 DNJ393217 DXF393217 EHB393217 EQX393217 FAT393217 FKP393217 FUL393217 GEH393217 GOD393217 GXZ393217 HHV393217 HRR393217 IBN393217 ILJ393217 IVF393217 JFB393217 JOX393217 JYT393217 KIP393217 KSL393217 LCH393217 LMD393217 LVZ393217 MFV393217 MPR393217 MZN393217 NJJ393217 NTF393217 ODB393217 OMX393217 OWT393217 PGP393217 PQL393217 QAH393217 QKD393217 QTZ393217 RDV393217 RNR393217 RXN393217 SHJ393217 SRF393217 TBB393217 TKX393217 TUT393217 UEP393217 UOL393217 UYH393217 VID393217 VRZ393217 WBV393217 WLR393217 WVN393217 F458753 JB458753 SX458753 ACT458753 AMP458753 AWL458753 BGH458753 BQD458753 BZZ458753 CJV458753 CTR458753 DDN458753 DNJ458753 DXF458753 EHB458753 EQX458753 FAT458753 FKP458753 FUL458753 GEH458753 GOD458753 GXZ458753 HHV458753 HRR458753 IBN458753 ILJ458753 IVF458753 JFB458753 JOX458753 JYT458753 KIP458753 KSL458753 LCH458753 LMD458753 LVZ458753 MFV458753 MPR458753 MZN458753 NJJ458753 NTF458753 ODB458753 OMX458753 OWT458753 PGP458753 PQL458753 QAH458753 QKD458753 QTZ458753 RDV458753 RNR458753 RXN458753 SHJ458753 SRF458753 TBB458753 TKX458753 TUT458753 UEP458753 UOL458753 UYH458753 VID458753 VRZ458753 WBV458753 WLR458753 WVN458753 F524289 JB524289 SX524289 ACT524289 AMP524289 AWL524289 BGH524289 BQD524289 BZZ524289 CJV524289 CTR524289 DDN524289 DNJ524289 DXF524289 EHB524289 EQX524289 FAT524289 FKP524289 FUL524289 GEH524289 GOD524289 GXZ524289 HHV524289 HRR524289 IBN524289 ILJ524289 IVF524289 JFB524289 JOX524289 JYT524289 KIP524289 KSL524289 LCH524289 LMD524289 LVZ524289 MFV524289 MPR524289 MZN524289 NJJ524289 NTF524289 ODB524289 OMX524289 OWT524289 PGP524289 PQL524289 QAH524289 QKD524289 QTZ524289 RDV524289 RNR524289 RXN524289 SHJ524289 SRF524289 TBB524289 TKX524289 TUT524289 UEP524289 UOL524289 UYH524289 VID524289 VRZ524289 WBV524289 WLR524289 WVN524289 F589825 JB589825 SX589825 ACT589825 AMP589825 AWL589825 BGH589825 BQD589825 BZZ589825 CJV589825 CTR589825 DDN589825 DNJ589825 DXF589825 EHB589825 EQX589825 FAT589825 FKP589825 FUL589825 GEH589825 GOD589825 GXZ589825 HHV589825 HRR589825 IBN589825 ILJ589825 IVF589825 JFB589825 JOX589825 JYT589825 KIP589825 KSL589825 LCH589825 LMD589825 LVZ589825 MFV589825 MPR589825 MZN589825 NJJ589825 NTF589825 ODB589825 OMX589825 OWT589825 PGP589825 PQL589825 QAH589825 QKD589825 QTZ589825 RDV589825 RNR589825 RXN589825 SHJ589825 SRF589825 TBB589825 TKX589825 TUT589825 UEP589825 UOL589825 UYH589825 VID589825 VRZ589825 WBV589825 WLR589825 WVN589825 F655361 JB655361 SX655361 ACT655361 AMP655361 AWL655361 BGH655361 BQD655361 BZZ655361 CJV655361 CTR655361 DDN655361 DNJ655361 DXF655361 EHB655361 EQX655361 FAT655361 FKP655361 FUL655361 GEH655361 GOD655361 GXZ655361 HHV655361 HRR655361 IBN655361 ILJ655361 IVF655361 JFB655361 JOX655361 JYT655361 KIP655361 KSL655361 LCH655361 LMD655361 LVZ655361 MFV655361 MPR655361 MZN655361 NJJ655361 NTF655361 ODB655361 OMX655361 OWT655361 PGP655361 PQL655361 QAH655361 QKD655361 QTZ655361 RDV655361 RNR655361 RXN655361 SHJ655361 SRF655361 TBB655361 TKX655361 TUT655361 UEP655361 UOL655361 UYH655361 VID655361 VRZ655361 WBV655361 WLR655361 WVN655361 F720897 JB720897 SX720897 ACT720897 AMP720897 AWL720897 BGH720897 BQD720897 BZZ720897 CJV720897 CTR720897 DDN720897 DNJ720897 DXF720897 EHB720897 EQX720897 FAT720897 FKP720897 FUL720897 GEH720897 GOD720897 GXZ720897 HHV720897 HRR720897 IBN720897 ILJ720897 IVF720897 JFB720897 JOX720897 JYT720897 KIP720897 KSL720897 LCH720897 LMD720897 LVZ720897 MFV720897 MPR720897 MZN720897 NJJ720897 NTF720897 ODB720897 OMX720897 OWT720897 PGP720897 PQL720897 QAH720897 QKD720897 QTZ720897 RDV720897 RNR720897 RXN720897 SHJ720897 SRF720897 TBB720897 TKX720897 TUT720897 UEP720897 UOL720897 UYH720897 VID720897 VRZ720897 WBV720897 WLR720897 WVN720897 F786433 JB786433 SX786433 ACT786433 AMP786433 AWL786433 BGH786433 BQD786433 BZZ786433 CJV786433 CTR786433 DDN786433 DNJ786433 DXF786433 EHB786433 EQX786433 FAT786433 FKP786433 FUL786433 GEH786433 GOD786433 GXZ786433 HHV786433 HRR786433 IBN786433 ILJ786433 IVF786433 JFB786433 JOX786433 JYT786433 KIP786433 KSL786433 LCH786433 LMD786433 LVZ786433 MFV786433 MPR786433 MZN786433 NJJ786433 NTF786433 ODB786433 OMX786433 OWT786433 PGP786433 PQL786433 QAH786433 QKD786433 QTZ786433 RDV786433 RNR786433 RXN786433 SHJ786433 SRF786433 TBB786433 TKX786433 TUT786433 UEP786433 UOL786433 UYH786433 VID786433 VRZ786433 WBV786433 WLR786433 WVN786433 F851969 JB851969 SX851969 ACT851969 AMP851969 AWL851969 BGH851969 BQD851969 BZZ851969 CJV851969 CTR851969 DDN851969 DNJ851969 DXF851969 EHB851969 EQX851969 FAT851969 FKP851969 FUL851969 GEH851969 GOD851969 GXZ851969 HHV851969 HRR851969 IBN851969 ILJ851969 IVF851969 JFB851969 JOX851969 JYT851969 KIP851969 KSL851969 LCH851969 LMD851969 LVZ851969 MFV851969 MPR851969 MZN851969 NJJ851969 NTF851969 ODB851969 OMX851969 OWT851969 PGP851969 PQL851969 QAH851969 QKD851969 QTZ851969 RDV851969 RNR851969 RXN851969 SHJ851969 SRF851969 TBB851969 TKX851969 TUT851969 UEP851969 UOL851969 UYH851969 VID851969 VRZ851969 WBV851969 WLR851969 WVN851969 F917505 JB917505 SX917505 ACT917505 AMP917505 AWL917505 BGH917505 BQD917505 BZZ917505 CJV917505 CTR917505 DDN917505 DNJ917505 DXF917505 EHB917505 EQX917505 FAT917505 FKP917505 FUL917505 GEH917505 GOD917505 GXZ917505 HHV917505 HRR917505 IBN917505 ILJ917505 IVF917505 JFB917505 JOX917505 JYT917505 KIP917505 KSL917505 LCH917505 LMD917505 LVZ917505 MFV917505 MPR917505 MZN917505 NJJ917505 NTF917505 ODB917505 OMX917505 OWT917505 PGP917505 PQL917505 QAH917505 QKD917505 QTZ917505 RDV917505 RNR917505 RXN917505 SHJ917505 SRF917505 TBB917505 TKX917505 TUT917505 UEP917505 UOL917505 UYH917505 VID917505 VRZ917505 WBV917505 WLR917505 WVN917505 F983041 JB983041 SX983041 ACT983041 AMP983041 AWL983041 BGH983041 BQD983041 BZZ983041 CJV983041 CTR983041 DDN983041 DNJ983041 DXF983041 EHB983041 EQX983041 FAT983041 FKP983041 FUL983041 GEH983041 GOD983041 GXZ983041 HHV983041 HRR983041 IBN983041 ILJ983041 IVF983041 JFB983041 JOX983041 JYT983041 KIP983041 KSL983041 LCH983041 LMD983041 LVZ983041 MFV983041 MPR983041 MZN983041 NJJ983041 NTF983041 ODB983041 OMX983041 OWT983041 PGP983041 PQL983041 QAH983041 QKD983041 QTZ983041 RDV983041 RNR983041 RXN983041 SHJ983041 SRF983041 TBB983041 TKX983041 TUT983041 UEP983041 UOL983041 UYH983041 VID983041 VRZ983041 WBV983041 WLR983041 WVN983041">
      <formula1>"售价,租金"</formula1>
    </dataValidation>
    <dataValidation type="list" allowBlank="1" showInputMessage="1" showErrorMessage="1" sqref="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I22 JE22 TA22 ACW22 AMS22 AWO22 BGK22 BQG22 CAC22 CJY22 CTU22 DDQ22 DNM22 DXI22 EHE22 ERA22 FAW22 FKS22 FUO22 GEK22 GOG22 GYC22 HHY22 HRU22 IBQ22 ILM22 IVI22 JFE22 JPA22 JYW22 KIS22 KSO22 LCK22 LMG22 LWC22 MFY22 MPU22 MZQ22 NJM22 NTI22 ODE22 ONA22 OWW22 PGS22 PQO22 QAK22 QKG22 QUC22 RDY22 RNU22 RXQ22 SHM22 SRI22 TBE22 TLA22 TUW22 UES22 UOO22 UYK22 VIG22 VSC22 WBY22 WLU22 WVQ22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WVQ983062">
      <formula1>基础设施水平</formula1>
    </dataValidation>
    <dataValidation type="list" allowBlank="1" showInputMessage="1" showErrorMessage="1"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E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E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E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E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E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E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E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E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E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E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E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E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E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E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WVM983056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I16 JE16 TA16 ACW16 AMS16 AWO16 BGK16 BQG16 CAC16 CJY16 CTU16 DDQ16 DNM16 DXI16 EHE16 ERA16 FAW16 FKS16 FUO16 GEK16 GOG16 GYC16 HHY16 HRU16 IBQ16 ILM16 IVI16 JFE16 JPA16 JYW16 KIS16 KSO16 LCK16 LMG16 LWC16 MFY16 MPU16 MZQ16 NJM16 NTI16 ODE16 ONA16 OWW16 PGS16 PQO16 QAK16 QKG16 QUC16 RDY16 RNU16 RXQ16 SHM16 SRI16 TBE16 TLA16 TUW16 UES16 UOO16 UYK16 VIG16 VSC16 WBY16 WLU16 WVQ16 I65552 JE65552 TA65552 ACW65552 AMS65552 AWO65552 BGK65552 BQG65552 CAC65552 CJY65552 CTU65552 DDQ65552 DNM65552 DXI65552 EHE65552 ERA65552 FAW65552 FKS65552 FUO65552 GEK65552 GOG65552 GYC65552 HHY65552 HRU65552 IBQ65552 ILM65552 IVI65552 JFE65552 JPA65552 JYW65552 KIS65552 KSO65552 LCK65552 LMG65552 LWC65552 MFY65552 MPU65552 MZQ65552 NJM65552 NTI65552 ODE65552 ONA65552 OWW65552 PGS65552 PQO65552 QAK65552 QKG65552 QUC65552 RDY65552 RNU65552 RXQ65552 SHM65552 SRI65552 TBE65552 TLA65552 TUW65552 UES65552 UOO65552 UYK65552 VIG65552 VSC65552 WBY65552 WLU65552 WVQ65552 I131088 JE131088 TA131088 ACW131088 AMS131088 AWO131088 BGK131088 BQG131088 CAC131088 CJY131088 CTU131088 DDQ131088 DNM131088 DXI131088 EHE131088 ERA131088 FAW131088 FKS131088 FUO131088 GEK131088 GOG131088 GYC131088 HHY131088 HRU131088 IBQ131088 ILM131088 IVI131088 JFE131088 JPA131088 JYW131088 KIS131088 KSO131088 LCK131088 LMG131088 LWC131088 MFY131088 MPU131088 MZQ131088 NJM131088 NTI131088 ODE131088 ONA131088 OWW131088 PGS131088 PQO131088 QAK131088 QKG131088 QUC131088 RDY131088 RNU131088 RXQ131088 SHM131088 SRI131088 TBE131088 TLA131088 TUW131088 UES131088 UOO131088 UYK131088 VIG131088 VSC131088 WBY131088 WLU131088 WVQ131088 I196624 JE196624 TA196624 ACW196624 AMS196624 AWO196624 BGK196624 BQG196624 CAC196624 CJY196624 CTU196624 DDQ196624 DNM196624 DXI196624 EHE196624 ERA196624 FAW196624 FKS196624 FUO196624 GEK196624 GOG196624 GYC196624 HHY196624 HRU196624 IBQ196624 ILM196624 IVI196624 JFE196624 JPA196624 JYW196624 KIS196624 KSO196624 LCK196624 LMG196624 LWC196624 MFY196624 MPU196624 MZQ196624 NJM196624 NTI196624 ODE196624 ONA196624 OWW196624 PGS196624 PQO196624 QAK196624 QKG196624 QUC196624 RDY196624 RNU196624 RXQ196624 SHM196624 SRI196624 TBE196624 TLA196624 TUW196624 UES196624 UOO196624 UYK196624 VIG196624 VSC196624 WBY196624 WLU196624 WVQ196624 I262160 JE262160 TA262160 ACW262160 AMS262160 AWO262160 BGK262160 BQG262160 CAC262160 CJY262160 CTU262160 DDQ262160 DNM262160 DXI262160 EHE262160 ERA262160 FAW262160 FKS262160 FUO262160 GEK262160 GOG262160 GYC262160 HHY262160 HRU262160 IBQ262160 ILM262160 IVI262160 JFE262160 JPA262160 JYW262160 KIS262160 KSO262160 LCK262160 LMG262160 LWC262160 MFY262160 MPU262160 MZQ262160 NJM262160 NTI262160 ODE262160 ONA262160 OWW262160 PGS262160 PQO262160 QAK262160 QKG262160 QUC262160 RDY262160 RNU262160 RXQ262160 SHM262160 SRI262160 TBE262160 TLA262160 TUW262160 UES262160 UOO262160 UYK262160 VIG262160 VSC262160 WBY262160 WLU262160 WVQ262160 I327696 JE327696 TA327696 ACW327696 AMS327696 AWO327696 BGK327696 BQG327696 CAC327696 CJY327696 CTU327696 DDQ327696 DNM327696 DXI327696 EHE327696 ERA327696 FAW327696 FKS327696 FUO327696 GEK327696 GOG327696 GYC327696 HHY327696 HRU327696 IBQ327696 ILM327696 IVI327696 JFE327696 JPA327696 JYW327696 KIS327696 KSO327696 LCK327696 LMG327696 LWC327696 MFY327696 MPU327696 MZQ327696 NJM327696 NTI327696 ODE327696 ONA327696 OWW327696 PGS327696 PQO327696 QAK327696 QKG327696 QUC327696 RDY327696 RNU327696 RXQ327696 SHM327696 SRI327696 TBE327696 TLA327696 TUW327696 UES327696 UOO327696 UYK327696 VIG327696 VSC327696 WBY327696 WLU327696 WVQ327696 I393232 JE393232 TA393232 ACW393232 AMS393232 AWO393232 BGK393232 BQG393232 CAC393232 CJY393232 CTU393232 DDQ393232 DNM393232 DXI393232 EHE393232 ERA393232 FAW393232 FKS393232 FUO393232 GEK393232 GOG393232 GYC393232 HHY393232 HRU393232 IBQ393232 ILM393232 IVI393232 JFE393232 JPA393232 JYW393232 KIS393232 KSO393232 LCK393232 LMG393232 LWC393232 MFY393232 MPU393232 MZQ393232 NJM393232 NTI393232 ODE393232 ONA393232 OWW393232 PGS393232 PQO393232 QAK393232 QKG393232 QUC393232 RDY393232 RNU393232 RXQ393232 SHM393232 SRI393232 TBE393232 TLA393232 TUW393232 UES393232 UOO393232 UYK393232 VIG393232 VSC393232 WBY393232 WLU393232 WVQ393232 I458768 JE458768 TA458768 ACW458768 AMS458768 AWO458768 BGK458768 BQG458768 CAC458768 CJY458768 CTU458768 DDQ458768 DNM458768 DXI458768 EHE458768 ERA458768 FAW458768 FKS458768 FUO458768 GEK458768 GOG458768 GYC458768 HHY458768 HRU458768 IBQ458768 ILM458768 IVI458768 JFE458768 JPA458768 JYW458768 KIS458768 KSO458768 LCK458768 LMG458768 LWC458768 MFY458768 MPU458768 MZQ458768 NJM458768 NTI458768 ODE458768 ONA458768 OWW458768 PGS458768 PQO458768 QAK458768 QKG458768 QUC458768 RDY458768 RNU458768 RXQ458768 SHM458768 SRI458768 TBE458768 TLA458768 TUW458768 UES458768 UOO458768 UYK458768 VIG458768 VSC458768 WBY458768 WLU458768 WVQ458768 I524304 JE524304 TA524304 ACW524304 AMS524304 AWO524304 BGK524304 BQG524304 CAC524304 CJY524304 CTU524304 DDQ524304 DNM524304 DXI524304 EHE524304 ERA524304 FAW524304 FKS524304 FUO524304 GEK524304 GOG524304 GYC524304 HHY524304 HRU524304 IBQ524304 ILM524304 IVI524304 JFE524304 JPA524304 JYW524304 KIS524304 KSO524304 LCK524304 LMG524304 LWC524304 MFY524304 MPU524304 MZQ524304 NJM524304 NTI524304 ODE524304 ONA524304 OWW524304 PGS524304 PQO524304 QAK524304 QKG524304 QUC524304 RDY524304 RNU524304 RXQ524304 SHM524304 SRI524304 TBE524304 TLA524304 TUW524304 UES524304 UOO524304 UYK524304 VIG524304 VSC524304 WBY524304 WLU524304 WVQ524304 I589840 JE589840 TA589840 ACW589840 AMS589840 AWO589840 BGK589840 BQG589840 CAC589840 CJY589840 CTU589840 DDQ589840 DNM589840 DXI589840 EHE589840 ERA589840 FAW589840 FKS589840 FUO589840 GEK589840 GOG589840 GYC589840 HHY589840 HRU589840 IBQ589840 ILM589840 IVI589840 JFE589840 JPA589840 JYW589840 KIS589840 KSO589840 LCK589840 LMG589840 LWC589840 MFY589840 MPU589840 MZQ589840 NJM589840 NTI589840 ODE589840 ONA589840 OWW589840 PGS589840 PQO589840 QAK589840 QKG589840 QUC589840 RDY589840 RNU589840 RXQ589840 SHM589840 SRI589840 TBE589840 TLA589840 TUW589840 UES589840 UOO589840 UYK589840 VIG589840 VSC589840 WBY589840 WLU589840 WVQ589840 I655376 JE655376 TA655376 ACW655376 AMS655376 AWO655376 BGK655376 BQG655376 CAC655376 CJY655376 CTU655376 DDQ655376 DNM655376 DXI655376 EHE655376 ERA655376 FAW655376 FKS655376 FUO655376 GEK655376 GOG655376 GYC655376 HHY655376 HRU655376 IBQ655376 ILM655376 IVI655376 JFE655376 JPA655376 JYW655376 KIS655376 KSO655376 LCK655376 LMG655376 LWC655376 MFY655376 MPU655376 MZQ655376 NJM655376 NTI655376 ODE655376 ONA655376 OWW655376 PGS655376 PQO655376 QAK655376 QKG655376 QUC655376 RDY655376 RNU655376 RXQ655376 SHM655376 SRI655376 TBE655376 TLA655376 TUW655376 UES655376 UOO655376 UYK655376 VIG655376 VSC655376 WBY655376 WLU655376 WVQ655376 I720912 JE720912 TA720912 ACW720912 AMS720912 AWO720912 BGK720912 BQG720912 CAC720912 CJY720912 CTU720912 DDQ720912 DNM720912 DXI720912 EHE720912 ERA720912 FAW720912 FKS720912 FUO720912 GEK720912 GOG720912 GYC720912 HHY720912 HRU720912 IBQ720912 ILM720912 IVI720912 JFE720912 JPA720912 JYW720912 KIS720912 KSO720912 LCK720912 LMG720912 LWC720912 MFY720912 MPU720912 MZQ720912 NJM720912 NTI720912 ODE720912 ONA720912 OWW720912 PGS720912 PQO720912 QAK720912 QKG720912 QUC720912 RDY720912 RNU720912 RXQ720912 SHM720912 SRI720912 TBE720912 TLA720912 TUW720912 UES720912 UOO720912 UYK720912 VIG720912 VSC720912 WBY720912 WLU720912 WVQ720912 I786448 JE786448 TA786448 ACW786448 AMS786448 AWO786448 BGK786448 BQG786448 CAC786448 CJY786448 CTU786448 DDQ786448 DNM786448 DXI786448 EHE786448 ERA786448 FAW786448 FKS786448 FUO786448 GEK786448 GOG786448 GYC786448 HHY786448 HRU786448 IBQ786448 ILM786448 IVI786448 JFE786448 JPA786448 JYW786448 KIS786448 KSO786448 LCK786448 LMG786448 LWC786448 MFY786448 MPU786448 MZQ786448 NJM786448 NTI786448 ODE786448 ONA786448 OWW786448 PGS786448 PQO786448 QAK786448 QKG786448 QUC786448 RDY786448 RNU786448 RXQ786448 SHM786448 SRI786448 TBE786448 TLA786448 TUW786448 UES786448 UOO786448 UYK786448 VIG786448 VSC786448 WBY786448 WLU786448 WVQ786448 I851984 JE851984 TA851984 ACW851984 AMS851984 AWO851984 BGK851984 BQG851984 CAC851984 CJY851984 CTU851984 DDQ851984 DNM851984 DXI851984 EHE851984 ERA851984 FAW851984 FKS851984 FUO851984 GEK851984 GOG851984 GYC851984 HHY851984 HRU851984 IBQ851984 ILM851984 IVI851984 JFE851984 JPA851984 JYW851984 KIS851984 KSO851984 LCK851984 LMG851984 LWC851984 MFY851984 MPU851984 MZQ851984 NJM851984 NTI851984 ODE851984 ONA851984 OWW851984 PGS851984 PQO851984 QAK851984 QKG851984 QUC851984 RDY851984 RNU851984 RXQ851984 SHM851984 SRI851984 TBE851984 TLA851984 TUW851984 UES851984 UOO851984 UYK851984 VIG851984 VSC851984 WBY851984 WLU851984 WVQ851984 I917520 JE917520 TA917520 ACW917520 AMS917520 AWO917520 BGK917520 BQG917520 CAC917520 CJY917520 CTU917520 DDQ917520 DNM917520 DXI917520 EHE917520 ERA917520 FAW917520 FKS917520 FUO917520 GEK917520 GOG917520 GYC917520 HHY917520 HRU917520 IBQ917520 ILM917520 IVI917520 JFE917520 JPA917520 JYW917520 KIS917520 KSO917520 LCK917520 LMG917520 LWC917520 MFY917520 MPU917520 MZQ917520 NJM917520 NTI917520 ODE917520 ONA917520 OWW917520 PGS917520 PQO917520 QAK917520 QKG917520 QUC917520 RDY917520 RNU917520 RXQ917520 SHM917520 SRI917520 TBE917520 TLA917520 TUW917520 UES917520 UOO917520 UYK917520 VIG917520 VSC917520 WBY917520 WLU917520 WVQ917520 I983056 JE983056 TA983056 ACW983056 AMS983056 AWO983056 BGK983056 BQG983056 CAC983056 CJY983056 CTU983056 DDQ983056 DNM983056 DXI983056 EHE983056 ERA983056 FAW983056 FKS983056 FUO983056 GEK983056 GOG983056 GYC983056 HHY983056 HRU983056 IBQ983056 ILM983056 IVI983056 JFE983056 JPA983056 JYW983056 KIS983056 KSO983056 LCK983056 LMG983056 LWC983056 MFY983056 MPU983056 MZQ983056 NJM983056 NTI983056 ODE983056 ONA983056 OWW983056 PGS983056 PQO983056 QAK983056 QKG983056 QUC983056 RDY983056 RNU983056 RXQ983056 SHM983056 SRI983056 TBE983056 TLA983056 TUW983056 UES983056 UOO983056 UYK983056 VIG983056 VSC983056 WBY983056 WLU983056 WVQ983056">
      <formula1>商业繁华度</formula1>
    </dataValidation>
    <dataValidation type="list" allowBlank="1" showInputMessage="1" showErrorMessage="1"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E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44 JE65544 TA65544 ACW65544 AMS65544 AWO65544 BGK65544 BQG65544 CAC65544 CJY65544 CTU65544 DDQ65544 DNM65544 DXI65544 EHE65544 ERA65544 FAW65544 FKS65544 FUO65544 GEK65544 GOG65544 GYC65544 HHY65544 HRU65544 IBQ65544 ILM65544 IVI65544 JFE65544 JPA65544 JYW65544 KIS65544 KSO65544 LCK65544 LMG65544 LWC65544 MFY65544 MPU65544 MZQ65544 NJM65544 NTI65544 ODE65544 ONA65544 OWW65544 PGS65544 PQO65544 QAK65544 QKG65544 QUC65544 RDY65544 RNU65544 RXQ65544 SHM65544 SRI65544 TBE65544 TLA65544 TUW65544 UES65544 UOO65544 UYK65544 VIG65544 VSC65544 WBY65544 WLU65544 WVQ65544 I131080 JE131080 TA131080 ACW131080 AMS131080 AWO131080 BGK131080 BQG131080 CAC131080 CJY131080 CTU131080 DDQ131080 DNM131080 DXI131080 EHE131080 ERA131080 FAW131080 FKS131080 FUO131080 GEK131080 GOG131080 GYC131080 HHY131080 HRU131080 IBQ131080 ILM131080 IVI131080 JFE131080 JPA131080 JYW131080 KIS131080 KSO131080 LCK131080 LMG131080 LWC131080 MFY131080 MPU131080 MZQ131080 NJM131080 NTI131080 ODE131080 ONA131080 OWW131080 PGS131080 PQO131080 QAK131080 QKG131080 QUC131080 RDY131080 RNU131080 RXQ131080 SHM131080 SRI131080 TBE131080 TLA131080 TUW131080 UES131080 UOO131080 UYK131080 VIG131080 VSC131080 WBY131080 WLU131080 WVQ131080 I196616 JE196616 TA196616 ACW196616 AMS196616 AWO196616 BGK196616 BQG196616 CAC196616 CJY196616 CTU196616 DDQ196616 DNM196616 DXI196616 EHE196616 ERA196616 FAW196616 FKS196616 FUO196616 GEK196616 GOG196616 GYC196616 HHY196616 HRU196616 IBQ196616 ILM196616 IVI196616 JFE196616 JPA196616 JYW196616 KIS196616 KSO196616 LCK196616 LMG196616 LWC196616 MFY196616 MPU196616 MZQ196616 NJM196616 NTI196616 ODE196616 ONA196616 OWW196616 PGS196616 PQO196616 QAK196616 QKG196616 QUC196616 RDY196616 RNU196616 RXQ196616 SHM196616 SRI196616 TBE196616 TLA196616 TUW196616 UES196616 UOO196616 UYK196616 VIG196616 VSC196616 WBY196616 WLU196616 WVQ196616 I262152 JE262152 TA262152 ACW262152 AMS262152 AWO262152 BGK262152 BQG262152 CAC262152 CJY262152 CTU262152 DDQ262152 DNM262152 DXI262152 EHE262152 ERA262152 FAW262152 FKS262152 FUO262152 GEK262152 GOG262152 GYC262152 HHY262152 HRU262152 IBQ262152 ILM262152 IVI262152 JFE262152 JPA262152 JYW262152 KIS262152 KSO262152 LCK262152 LMG262152 LWC262152 MFY262152 MPU262152 MZQ262152 NJM262152 NTI262152 ODE262152 ONA262152 OWW262152 PGS262152 PQO262152 QAK262152 QKG262152 QUC262152 RDY262152 RNU262152 RXQ262152 SHM262152 SRI262152 TBE262152 TLA262152 TUW262152 UES262152 UOO262152 UYK262152 VIG262152 VSC262152 WBY262152 WLU262152 WVQ262152 I327688 JE327688 TA327688 ACW327688 AMS327688 AWO327688 BGK327688 BQG327688 CAC327688 CJY327688 CTU327688 DDQ327688 DNM327688 DXI327688 EHE327688 ERA327688 FAW327688 FKS327688 FUO327688 GEK327688 GOG327688 GYC327688 HHY327688 HRU327688 IBQ327688 ILM327688 IVI327688 JFE327688 JPA327688 JYW327688 KIS327688 KSO327688 LCK327688 LMG327688 LWC327688 MFY327688 MPU327688 MZQ327688 NJM327688 NTI327688 ODE327688 ONA327688 OWW327688 PGS327688 PQO327688 QAK327688 QKG327688 QUC327688 RDY327688 RNU327688 RXQ327688 SHM327688 SRI327688 TBE327688 TLA327688 TUW327688 UES327688 UOO327688 UYK327688 VIG327688 VSC327688 WBY327688 WLU327688 WVQ327688 I393224 JE393224 TA393224 ACW393224 AMS393224 AWO393224 BGK393224 BQG393224 CAC393224 CJY393224 CTU393224 DDQ393224 DNM393224 DXI393224 EHE393224 ERA393224 FAW393224 FKS393224 FUO393224 GEK393224 GOG393224 GYC393224 HHY393224 HRU393224 IBQ393224 ILM393224 IVI393224 JFE393224 JPA393224 JYW393224 KIS393224 KSO393224 LCK393224 LMG393224 LWC393224 MFY393224 MPU393224 MZQ393224 NJM393224 NTI393224 ODE393224 ONA393224 OWW393224 PGS393224 PQO393224 QAK393224 QKG393224 QUC393224 RDY393224 RNU393224 RXQ393224 SHM393224 SRI393224 TBE393224 TLA393224 TUW393224 UES393224 UOO393224 UYK393224 VIG393224 VSC393224 WBY393224 WLU393224 WVQ393224 I458760 JE458760 TA458760 ACW458760 AMS458760 AWO458760 BGK458760 BQG458760 CAC458760 CJY458760 CTU458760 DDQ458760 DNM458760 DXI458760 EHE458760 ERA458760 FAW458760 FKS458760 FUO458760 GEK458760 GOG458760 GYC458760 HHY458760 HRU458760 IBQ458760 ILM458760 IVI458760 JFE458760 JPA458760 JYW458760 KIS458760 KSO458760 LCK458760 LMG458760 LWC458760 MFY458760 MPU458760 MZQ458760 NJM458760 NTI458760 ODE458760 ONA458760 OWW458760 PGS458760 PQO458760 QAK458760 QKG458760 QUC458760 RDY458760 RNU458760 RXQ458760 SHM458760 SRI458760 TBE458760 TLA458760 TUW458760 UES458760 UOO458760 UYK458760 VIG458760 VSC458760 WBY458760 WLU458760 WVQ458760 I524296 JE524296 TA524296 ACW524296 AMS524296 AWO524296 BGK524296 BQG524296 CAC524296 CJY524296 CTU524296 DDQ524296 DNM524296 DXI524296 EHE524296 ERA524296 FAW524296 FKS524296 FUO524296 GEK524296 GOG524296 GYC524296 HHY524296 HRU524296 IBQ524296 ILM524296 IVI524296 JFE524296 JPA524296 JYW524296 KIS524296 KSO524296 LCK524296 LMG524296 LWC524296 MFY524296 MPU524296 MZQ524296 NJM524296 NTI524296 ODE524296 ONA524296 OWW524296 PGS524296 PQO524296 QAK524296 QKG524296 QUC524296 RDY524296 RNU524296 RXQ524296 SHM524296 SRI524296 TBE524296 TLA524296 TUW524296 UES524296 UOO524296 UYK524296 VIG524296 VSC524296 WBY524296 WLU524296 WVQ524296 I589832 JE589832 TA589832 ACW589832 AMS589832 AWO589832 BGK589832 BQG589832 CAC589832 CJY589832 CTU589832 DDQ589832 DNM589832 DXI589832 EHE589832 ERA589832 FAW589832 FKS589832 FUO589832 GEK589832 GOG589832 GYC589832 HHY589832 HRU589832 IBQ589832 ILM589832 IVI589832 JFE589832 JPA589832 JYW589832 KIS589832 KSO589832 LCK589832 LMG589832 LWC589832 MFY589832 MPU589832 MZQ589832 NJM589832 NTI589832 ODE589832 ONA589832 OWW589832 PGS589832 PQO589832 QAK589832 QKG589832 QUC589832 RDY589832 RNU589832 RXQ589832 SHM589832 SRI589832 TBE589832 TLA589832 TUW589832 UES589832 UOO589832 UYK589832 VIG589832 VSC589832 WBY589832 WLU589832 WVQ589832 I655368 JE655368 TA655368 ACW655368 AMS655368 AWO655368 BGK655368 BQG655368 CAC655368 CJY655368 CTU655368 DDQ655368 DNM655368 DXI655368 EHE655368 ERA655368 FAW655368 FKS655368 FUO655368 GEK655368 GOG655368 GYC655368 HHY655368 HRU655368 IBQ655368 ILM655368 IVI655368 JFE655368 JPA655368 JYW655368 KIS655368 KSO655368 LCK655368 LMG655368 LWC655368 MFY655368 MPU655368 MZQ655368 NJM655368 NTI655368 ODE655368 ONA655368 OWW655368 PGS655368 PQO655368 QAK655368 QKG655368 QUC655368 RDY655368 RNU655368 RXQ655368 SHM655368 SRI655368 TBE655368 TLA655368 TUW655368 UES655368 UOO655368 UYK655368 VIG655368 VSC655368 WBY655368 WLU655368 WVQ655368 I720904 JE720904 TA720904 ACW720904 AMS720904 AWO720904 BGK720904 BQG720904 CAC720904 CJY720904 CTU720904 DDQ720904 DNM720904 DXI720904 EHE720904 ERA720904 FAW720904 FKS720904 FUO720904 GEK720904 GOG720904 GYC720904 HHY720904 HRU720904 IBQ720904 ILM720904 IVI720904 JFE720904 JPA720904 JYW720904 KIS720904 KSO720904 LCK720904 LMG720904 LWC720904 MFY720904 MPU720904 MZQ720904 NJM720904 NTI720904 ODE720904 ONA720904 OWW720904 PGS720904 PQO720904 QAK720904 QKG720904 QUC720904 RDY720904 RNU720904 RXQ720904 SHM720904 SRI720904 TBE720904 TLA720904 TUW720904 UES720904 UOO720904 UYK720904 VIG720904 VSC720904 WBY720904 WLU720904 WVQ720904 I786440 JE786440 TA786440 ACW786440 AMS786440 AWO786440 BGK786440 BQG786440 CAC786440 CJY786440 CTU786440 DDQ786440 DNM786440 DXI786440 EHE786440 ERA786440 FAW786440 FKS786440 FUO786440 GEK786440 GOG786440 GYC786440 HHY786440 HRU786440 IBQ786440 ILM786440 IVI786440 JFE786440 JPA786440 JYW786440 KIS786440 KSO786440 LCK786440 LMG786440 LWC786440 MFY786440 MPU786440 MZQ786440 NJM786440 NTI786440 ODE786440 ONA786440 OWW786440 PGS786440 PQO786440 QAK786440 QKG786440 QUC786440 RDY786440 RNU786440 RXQ786440 SHM786440 SRI786440 TBE786440 TLA786440 TUW786440 UES786440 UOO786440 UYK786440 VIG786440 VSC786440 WBY786440 WLU786440 WVQ786440 I851976 JE851976 TA851976 ACW851976 AMS851976 AWO851976 BGK851976 BQG851976 CAC851976 CJY851976 CTU851976 DDQ851976 DNM851976 DXI851976 EHE851976 ERA851976 FAW851976 FKS851976 FUO851976 GEK851976 GOG851976 GYC851976 HHY851976 HRU851976 IBQ851976 ILM851976 IVI851976 JFE851976 JPA851976 JYW851976 KIS851976 KSO851976 LCK851976 LMG851976 LWC851976 MFY851976 MPU851976 MZQ851976 NJM851976 NTI851976 ODE851976 ONA851976 OWW851976 PGS851976 PQO851976 QAK851976 QKG851976 QUC851976 RDY851976 RNU851976 RXQ851976 SHM851976 SRI851976 TBE851976 TLA851976 TUW851976 UES851976 UOO851976 UYK851976 VIG851976 VSC851976 WBY851976 WLU851976 WVQ851976 I917512 JE917512 TA917512 ACW917512 AMS917512 AWO917512 BGK917512 BQG917512 CAC917512 CJY917512 CTU917512 DDQ917512 DNM917512 DXI917512 EHE917512 ERA917512 FAW917512 FKS917512 FUO917512 GEK917512 GOG917512 GYC917512 HHY917512 HRU917512 IBQ917512 ILM917512 IVI917512 JFE917512 JPA917512 JYW917512 KIS917512 KSO917512 LCK917512 LMG917512 LWC917512 MFY917512 MPU917512 MZQ917512 NJM917512 NTI917512 ODE917512 ONA917512 OWW917512 PGS917512 PQO917512 QAK917512 QKG917512 QUC917512 RDY917512 RNU917512 RXQ917512 SHM917512 SRI917512 TBE917512 TLA917512 TUW917512 UES917512 UOO917512 UYK917512 VIG917512 VSC917512 WBY917512 WLU917512 WVQ917512 I983048 JE983048 TA983048 ACW983048 AMS983048 AWO983048 BGK983048 BQG983048 CAC983048 CJY983048 CTU983048 DDQ983048 DNM983048 DXI983048 EHE983048 ERA983048 FAW983048 FKS983048 FUO983048 GEK983048 GOG983048 GYC983048 HHY983048 HRU983048 IBQ983048 ILM983048 IVI983048 JFE983048 JPA983048 JYW983048 KIS983048 KSO983048 LCK983048 LMG983048 LWC983048 MFY983048 MPU983048 MZQ983048 NJM983048 NTI983048 ODE983048 ONA983048 OWW983048 PGS983048 PQO983048 QAK983048 QKG983048 QUC983048 RDY983048 RNU983048 RXQ983048 SHM983048 SRI983048 TBE983048 TLA983048 TUW983048 UES983048 UOO983048 UYK983048 VIG983048 VSC983048 WBY983048 WLU983048 WVQ983048">
      <formula1>商业交易情况</formula1>
    </dataValidation>
    <dataValidation type="list" allowBlank="1" showInputMessage="1" showErrorMessage="1" sqref="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E3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E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E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E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E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E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E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E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E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E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E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E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E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E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E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E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WVM983079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I39 JE39 TA39 ACW39 AMS39 AWO39 BGK39 BQG39 CAC39 CJY39 CTU39 DDQ39 DNM39 DXI39 EHE39 ERA39 FAW39 FKS39 FUO39 GEK39 GOG39 GYC39 HHY39 HRU39 IBQ39 ILM39 IVI39 JFE39 JPA39 JYW39 KIS39 KSO39 LCK39 LMG39 LWC39 MFY39 MPU39 MZQ39 NJM39 NTI39 ODE39 ONA39 OWW39 PGS39 PQO39 QAK39 QKG39 QUC39 RDY39 RNU39 RXQ39 SHM39 SRI39 TBE39 TLA39 TUW39 UES39 UOO39 UYK39 VIG39 VSC39 WBY39 WLU39 WVQ39 I65575 JE65575 TA65575 ACW65575 AMS65575 AWO65575 BGK65575 BQG65575 CAC65575 CJY65575 CTU65575 DDQ65575 DNM65575 DXI65575 EHE65575 ERA65575 FAW65575 FKS65575 FUO65575 GEK65575 GOG65575 GYC65575 HHY65575 HRU65575 IBQ65575 ILM65575 IVI65575 JFE65575 JPA65575 JYW65575 KIS65575 KSO65575 LCK65575 LMG65575 LWC65575 MFY65575 MPU65575 MZQ65575 NJM65575 NTI65575 ODE65575 ONA65575 OWW65575 PGS65575 PQO65575 QAK65575 QKG65575 QUC65575 RDY65575 RNU65575 RXQ65575 SHM65575 SRI65575 TBE65575 TLA65575 TUW65575 UES65575 UOO65575 UYK65575 VIG65575 VSC65575 WBY65575 WLU65575 WVQ65575 I131111 JE131111 TA131111 ACW131111 AMS131111 AWO131111 BGK131111 BQG131111 CAC131111 CJY131111 CTU131111 DDQ131111 DNM131111 DXI131111 EHE131111 ERA131111 FAW131111 FKS131111 FUO131111 GEK131111 GOG131111 GYC131111 HHY131111 HRU131111 IBQ131111 ILM131111 IVI131111 JFE131111 JPA131111 JYW131111 KIS131111 KSO131111 LCK131111 LMG131111 LWC131111 MFY131111 MPU131111 MZQ131111 NJM131111 NTI131111 ODE131111 ONA131111 OWW131111 PGS131111 PQO131111 QAK131111 QKG131111 QUC131111 RDY131111 RNU131111 RXQ131111 SHM131111 SRI131111 TBE131111 TLA131111 TUW131111 UES131111 UOO131111 UYK131111 VIG131111 VSC131111 WBY131111 WLU131111 WVQ131111 I196647 JE196647 TA196647 ACW196647 AMS196647 AWO196647 BGK196647 BQG196647 CAC196647 CJY196647 CTU196647 DDQ196647 DNM196647 DXI196647 EHE196647 ERA196647 FAW196647 FKS196647 FUO196647 GEK196647 GOG196647 GYC196647 HHY196647 HRU196647 IBQ196647 ILM196647 IVI196647 JFE196647 JPA196647 JYW196647 KIS196647 KSO196647 LCK196647 LMG196647 LWC196647 MFY196647 MPU196647 MZQ196647 NJM196647 NTI196647 ODE196647 ONA196647 OWW196647 PGS196647 PQO196647 QAK196647 QKG196647 QUC196647 RDY196647 RNU196647 RXQ196647 SHM196647 SRI196647 TBE196647 TLA196647 TUW196647 UES196647 UOO196647 UYK196647 VIG196647 VSC196647 WBY196647 WLU196647 WVQ196647 I262183 JE262183 TA262183 ACW262183 AMS262183 AWO262183 BGK262183 BQG262183 CAC262183 CJY262183 CTU262183 DDQ262183 DNM262183 DXI262183 EHE262183 ERA262183 FAW262183 FKS262183 FUO262183 GEK262183 GOG262183 GYC262183 HHY262183 HRU262183 IBQ262183 ILM262183 IVI262183 JFE262183 JPA262183 JYW262183 KIS262183 KSO262183 LCK262183 LMG262183 LWC262183 MFY262183 MPU262183 MZQ262183 NJM262183 NTI262183 ODE262183 ONA262183 OWW262183 PGS262183 PQO262183 QAK262183 QKG262183 QUC262183 RDY262183 RNU262183 RXQ262183 SHM262183 SRI262183 TBE262183 TLA262183 TUW262183 UES262183 UOO262183 UYK262183 VIG262183 VSC262183 WBY262183 WLU262183 WVQ262183 I327719 JE327719 TA327719 ACW327719 AMS327719 AWO327719 BGK327719 BQG327719 CAC327719 CJY327719 CTU327719 DDQ327719 DNM327719 DXI327719 EHE327719 ERA327719 FAW327719 FKS327719 FUO327719 GEK327719 GOG327719 GYC327719 HHY327719 HRU327719 IBQ327719 ILM327719 IVI327719 JFE327719 JPA327719 JYW327719 KIS327719 KSO327719 LCK327719 LMG327719 LWC327719 MFY327719 MPU327719 MZQ327719 NJM327719 NTI327719 ODE327719 ONA327719 OWW327719 PGS327719 PQO327719 QAK327719 QKG327719 QUC327719 RDY327719 RNU327719 RXQ327719 SHM327719 SRI327719 TBE327719 TLA327719 TUW327719 UES327719 UOO327719 UYK327719 VIG327719 VSC327719 WBY327719 WLU327719 WVQ327719 I393255 JE393255 TA393255 ACW393255 AMS393255 AWO393255 BGK393255 BQG393255 CAC393255 CJY393255 CTU393255 DDQ393255 DNM393255 DXI393255 EHE393255 ERA393255 FAW393255 FKS393255 FUO393255 GEK393255 GOG393255 GYC393255 HHY393255 HRU393255 IBQ393255 ILM393255 IVI393255 JFE393255 JPA393255 JYW393255 KIS393255 KSO393255 LCK393255 LMG393255 LWC393255 MFY393255 MPU393255 MZQ393255 NJM393255 NTI393255 ODE393255 ONA393255 OWW393255 PGS393255 PQO393255 QAK393255 QKG393255 QUC393255 RDY393255 RNU393255 RXQ393255 SHM393255 SRI393255 TBE393255 TLA393255 TUW393255 UES393255 UOO393255 UYK393255 VIG393255 VSC393255 WBY393255 WLU393255 WVQ393255 I458791 JE458791 TA458791 ACW458791 AMS458791 AWO458791 BGK458791 BQG458791 CAC458791 CJY458791 CTU458791 DDQ458791 DNM458791 DXI458791 EHE458791 ERA458791 FAW458791 FKS458791 FUO458791 GEK458791 GOG458791 GYC458791 HHY458791 HRU458791 IBQ458791 ILM458791 IVI458791 JFE458791 JPA458791 JYW458791 KIS458791 KSO458791 LCK458791 LMG458791 LWC458791 MFY458791 MPU458791 MZQ458791 NJM458791 NTI458791 ODE458791 ONA458791 OWW458791 PGS458791 PQO458791 QAK458791 QKG458791 QUC458791 RDY458791 RNU458791 RXQ458791 SHM458791 SRI458791 TBE458791 TLA458791 TUW458791 UES458791 UOO458791 UYK458791 VIG458791 VSC458791 WBY458791 WLU458791 WVQ458791 I524327 JE524327 TA524327 ACW524327 AMS524327 AWO524327 BGK524327 BQG524327 CAC524327 CJY524327 CTU524327 DDQ524327 DNM524327 DXI524327 EHE524327 ERA524327 FAW524327 FKS524327 FUO524327 GEK524327 GOG524327 GYC524327 HHY524327 HRU524327 IBQ524327 ILM524327 IVI524327 JFE524327 JPA524327 JYW524327 KIS524327 KSO524327 LCK524327 LMG524327 LWC524327 MFY524327 MPU524327 MZQ524327 NJM524327 NTI524327 ODE524327 ONA524327 OWW524327 PGS524327 PQO524327 QAK524327 QKG524327 QUC524327 RDY524327 RNU524327 RXQ524327 SHM524327 SRI524327 TBE524327 TLA524327 TUW524327 UES524327 UOO524327 UYK524327 VIG524327 VSC524327 WBY524327 WLU524327 WVQ524327 I589863 JE589863 TA589863 ACW589863 AMS589863 AWO589863 BGK589863 BQG589863 CAC589863 CJY589863 CTU589863 DDQ589863 DNM589863 DXI589863 EHE589863 ERA589863 FAW589863 FKS589863 FUO589863 GEK589863 GOG589863 GYC589863 HHY589863 HRU589863 IBQ589863 ILM589863 IVI589863 JFE589863 JPA589863 JYW589863 KIS589863 KSO589863 LCK589863 LMG589863 LWC589863 MFY589863 MPU589863 MZQ589863 NJM589863 NTI589863 ODE589863 ONA589863 OWW589863 PGS589863 PQO589863 QAK589863 QKG589863 QUC589863 RDY589863 RNU589863 RXQ589863 SHM589863 SRI589863 TBE589863 TLA589863 TUW589863 UES589863 UOO589863 UYK589863 VIG589863 VSC589863 WBY589863 WLU589863 WVQ589863 I655399 JE655399 TA655399 ACW655399 AMS655399 AWO655399 BGK655399 BQG655399 CAC655399 CJY655399 CTU655399 DDQ655399 DNM655399 DXI655399 EHE655399 ERA655399 FAW655399 FKS655399 FUO655399 GEK655399 GOG655399 GYC655399 HHY655399 HRU655399 IBQ655399 ILM655399 IVI655399 JFE655399 JPA655399 JYW655399 KIS655399 KSO655399 LCK655399 LMG655399 LWC655399 MFY655399 MPU655399 MZQ655399 NJM655399 NTI655399 ODE655399 ONA655399 OWW655399 PGS655399 PQO655399 QAK655399 QKG655399 QUC655399 RDY655399 RNU655399 RXQ655399 SHM655399 SRI655399 TBE655399 TLA655399 TUW655399 UES655399 UOO655399 UYK655399 VIG655399 VSC655399 WBY655399 WLU655399 WVQ655399 I720935 JE720935 TA720935 ACW720935 AMS720935 AWO720935 BGK720935 BQG720935 CAC720935 CJY720935 CTU720935 DDQ720935 DNM720935 DXI720935 EHE720935 ERA720935 FAW720935 FKS720935 FUO720935 GEK720935 GOG720935 GYC720935 HHY720935 HRU720935 IBQ720935 ILM720935 IVI720935 JFE720935 JPA720935 JYW720935 KIS720935 KSO720935 LCK720935 LMG720935 LWC720935 MFY720935 MPU720935 MZQ720935 NJM720935 NTI720935 ODE720935 ONA720935 OWW720935 PGS720935 PQO720935 QAK720935 QKG720935 QUC720935 RDY720935 RNU720935 RXQ720935 SHM720935 SRI720935 TBE720935 TLA720935 TUW720935 UES720935 UOO720935 UYK720935 VIG720935 VSC720935 WBY720935 WLU720935 WVQ720935 I786471 JE786471 TA786471 ACW786471 AMS786471 AWO786471 BGK786471 BQG786471 CAC786471 CJY786471 CTU786471 DDQ786471 DNM786471 DXI786471 EHE786471 ERA786471 FAW786471 FKS786471 FUO786471 GEK786471 GOG786471 GYC786471 HHY786471 HRU786471 IBQ786471 ILM786471 IVI786471 JFE786471 JPA786471 JYW786471 KIS786471 KSO786471 LCK786471 LMG786471 LWC786471 MFY786471 MPU786471 MZQ786471 NJM786471 NTI786471 ODE786471 ONA786471 OWW786471 PGS786471 PQO786471 QAK786471 QKG786471 QUC786471 RDY786471 RNU786471 RXQ786471 SHM786471 SRI786471 TBE786471 TLA786471 TUW786471 UES786471 UOO786471 UYK786471 VIG786471 VSC786471 WBY786471 WLU786471 WVQ786471 I852007 JE852007 TA852007 ACW852007 AMS852007 AWO852007 BGK852007 BQG852007 CAC852007 CJY852007 CTU852007 DDQ852007 DNM852007 DXI852007 EHE852007 ERA852007 FAW852007 FKS852007 FUO852007 GEK852007 GOG852007 GYC852007 HHY852007 HRU852007 IBQ852007 ILM852007 IVI852007 JFE852007 JPA852007 JYW852007 KIS852007 KSO852007 LCK852007 LMG852007 LWC852007 MFY852007 MPU852007 MZQ852007 NJM852007 NTI852007 ODE852007 ONA852007 OWW852007 PGS852007 PQO852007 QAK852007 QKG852007 QUC852007 RDY852007 RNU852007 RXQ852007 SHM852007 SRI852007 TBE852007 TLA852007 TUW852007 UES852007 UOO852007 UYK852007 VIG852007 VSC852007 WBY852007 WLU852007 WVQ852007 I917543 JE917543 TA917543 ACW917543 AMS917543 AWO917543 BGK917543 BQG917543 CAC917543 CJY917543 CTU917543 DDQ917543 DNM917543 DXI917543 EHE917543 ERA917543 FAW917543 FKS917543 FUO917543 GEK917543 GOG917543 GYC917543 HHY917543 HRU917543 IBQ917543 ILM917543 IVI917543 JFE917543 JPA917543 JYW917543 KIS917543 KSO917543 LCK917543 LMG917543 LWC917543 MFY917543 MPU917543 MZQ917543 NJM917543 NTI917543 ODE917543 ONA917543 OWW917543 PGS917543 PQO917543 QAK917543 QKG917543 QUC917543 RDY917543 RNU917543 RXQ917543 SHM917543 SRI917543 TBE917543 TLA917543 TUW917543 UES917543 UOO917543 UYK917543 VIG917543 VSC917543 WBY917543 WLU917543 WVQ917543 I983079 JE983079 TA983079 ACW983079 AMS983079 AWO983079 BGK983079 BQG983079 CAC983079 CJY983079 CTU983079 DDQ983079 DNM983079 DXI983079 EHE983079 ERA983079 FAW983079 FKS983079 FUO983079 GEK983079 GOG983079 GYC983079 HHY983079 HRU983079 IBQ983079 ILM983079 IVI983079 JFE983079 JPA983079 JYW983079 KIS983079 KSO983079 LCK983079 LMG983079 LWC983079 MFY983079 MPU983079 MZQ983079 NJM983079 NTI983079 ODE983079 ONA983079 OWW983079 PGS983079 PQO983079 QAK983079 QKG983079 QUC983079 RDY983079 RNU983079 RXQ983079 SHM983079 SRI983079 TBE983079 TLA983079 TUW983079 UES983079 UOO983079 UYK983079 VIG983079 VSC983079 WBY983079 WLU983079 WVQ983079">
      <formula1>商业层高</formula1>
    </dataValidation>
    <dataValidation type="list" allowBlank="1" showInputMessage="1" showErrorMessage="1" sqref="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E38 JA38 SW38 ACS38 AMO38 AWK38 BGG38 BQC38 BZY38 CJU38 CTQ38 DDM38 DNI38 DXE38 EHA38 EQW38 FAS38 FKO38 FUK38 GEG38 GOC38 GXY38 HHU38 HRQ38 IBM38 ILI38 IVE38 JFA38 JOW38 JYS38 KIO38 KSK38 LCG38 LMC38 LVY38 MFU38 MPQ38 MZM38 NJI38 NTE38 ODA38 OMW38 OWS38 PGO38 PQK38 QAG38 QKC38 QTY38 RDU38 RNQ38 RXM38 SHI38 SRE38 TBA38 TKW38 TUS38 UEO38 UOK38 UYG38 VIC38 VRY38 WBU38 WLQ38 WVM38 E65574 JA65574 SW65574 ACS65574 AMO65574 AWK65574 BGG65574 BQC65574 BZY65574 CJU65574 CTQ65574 DDM65574 DNI65574 DXE65574 EHA65574 EQW65574 FAS65574 FKO65574 FUK65574 GEG65574 GOC65574 GXY65574 HHU65574 HRQ65574 IBM65574 ILI65574 IVE65574 JFA65574 JOW65574 JYS65574 KIO65574 KSK65574 LCG65574 LMC65574 LVY65574 MFU65574 MPQ65574 MZM65574 NJI65574 NTE65574 ODA65574 OMW65574 OWS65574 PGO65574 PQK65574 QAG65574 QKC65574 QTY65574 RDU65574 RNQ65574 RXM65574 SHI65574 SRE65574 TBA65574 TKW65574 TUS65574 UEO65574 UOK65574 UYG65574 VIC65574 VRY65574 WBU65574 WLQ65574 WVM65574 E131110 JA131110 SW131110 ACS131110 AMO131110 AWK131110 BGG131110 BQC131110 BZY131110 CJU131110 CTQ131110 DDM131110 DNI131110 DXE131110 EHA131110 EQW131110 FAS131110 FKO131110 FUK131110 GEG131110 GOC131110 GXY131110 HHU131110 HRQ131110 IBM131110 ILI131110 IVE131110 JFA131110 JOW131110 JYS131110 KIO131110 KSK131110 LCG131110 LMC131110 LVY131110 MFU131110 MPQ131110 MZM131110 NJI131110 NTE131110 ODA131110 OMW131110 OWS131110 PGO131110 PQK131110 QAG131110 QKC131110 QTY131110 RDU131110 RNQ131110 RXM131110 SHI131110 SRE131110 TBA131110 TKW131110 TUS131110 UEO131110 UOK131110 UYG131110 VIC131110 VRY131110 WBU131110 WLQ131110 WVM131110 E196646 JA196646 SW196646 ACS196646 AMO196646 AWK196646 BGG196646 BQC196646 BZY196646 CJU196646 CTQ196646 DDM196646 DNI196646 DXE196646 EHA196646 EQW196646 FAS196646 FKO196646 FUK196646 GEG196646 GOC196646 GXY196646 HHU196646 HRQ196646 IBM196646 ILI196646 IVE196646 JFA196646 JOW196646 JYS196646 KIO196646 KSK196646 LCG196646 LMC196646 LVY196646 MFU196646 MPQ196646 MZM196646 NJI196646 NTE196646 ODA196646 OMW196646 OWS196646 PGO196646 PQK196646 QAG196646 QKC196646 QTY196646 RDU196646 RNQ196646 RXM196646 SHI196646 SRE196646 TBA196646 TKW196646 TUS196646 UEO196646 UOK196646 UYG196646 VIC196646 VRY196646 WBU196646 WLQ196646 WVM196646 E262182 JA262182 SW262182 ACS262182 AMO262182 AWK262182 BGG262182 BQC262182 BZY262182 CJU262182 CTQ262182 DDM262182 DNI262182 DXE262182 EHA262182 EQW262182 FAS262182 FKO262182 FUK262182 GEG262182 GOC262182 GXY262182 HHU262182 HRQ262182 IBM262182 ILI262182 IVE262182 JFA262182 JOW262182 JYS262182 KIO262182 KSK262182 LCG262182 LMC262182 LVY262182 MFU262182 MPQ262182 MZM262182 NJI262182 NTE262182 ODA262182 OMW262182 OWS262182 PGO262182 PQK262182 QAG262182 QKC262182 QTY262182 RDU262182 RNQ262182 RXM262182 SHI262182 SRE262182 TBA262182 TKW262182 TUS262182 UEO262182 UOK262182 UYG262182 VIC262182 VRY262182 WBU262182 WLQ262182 WVM262182 E327718 JA327718 SW327718 ACS327718 AMO327718 AWK327718 BGG327718 BQC327718 BZY327718 CJU327718 CTQ327718 DDM327718 DNI327718 DXE327718 EHA327718 EQW327718 FAS327718 FKO327718 FUK327718 GEG327718 GOC327718 GXY327718 HHU327718 HRQ327718 IBM327718 ILI327718 IVE327718 JFA327718 JOW327718 JYS327718 KIO327718 KSK327718 LCG327718 LMC327718 LVY327718 MFU327718 MPQ327718 MZM327718 NJI327718 NTE327718 ODA327718 OMW327718 OWS327718 PGO327718 PQK327718 QAG327718 QKC327718 QTY327718 RDU327718 RNQ327718 RXM327718 SHI327718 SRE327718 TBA327718 TKW327718 TUS327718 UEO327718 UOK327718 UYG327718 VIC327718 VRY327718 WBU327718 WLQ327718 WVM327718 E393254 JA393254 SW393254 ACS393254 AMO393254 AWK393254 BGG393254 BQC393254 BZY393254 CJU393254 CTQ393254 DDM393254 DNI393254 DXE393254 EHA393254 EQW393254 FAS393254 FKO393254 FUK393254 GEG393254 GOC393254 GXY393254 HHU393254 HRQ393254 IBM393254 ILI393254 IVE393254 JFA393254 JOW393254 JYS393254 KIO393254 KSK393254 LCG393254 LMC393254 LVY393254 MFU393254 MPQ393254 MZM393254 NJI393254 NTE393254 ODA393254 OMW393254 OWS393254 PGO393254 PQK393254 QAG393254 QKC393254 QTY393254 RDU393254 RNQ393254 RXM393254 SHI393254 SRE393254 TBA393254 TKW393254 TUS393254 UEO393254 UOK393254 UYG393254 VIC393254 VRY393254 WBU393254 WLQ393254 WVM393254 E458790 JA458790 SW458790 ACS458790 AMO458790 AWK458790 BGG458790 BQC458790 BZY458790 CJU458790 CTQ458790 DDM458790 DNI458790 DXE458790 EHA458790 EQW458790 FAS458790 FKO458790 FUK458790 GEG458790 GOC458790 GXY458790 HHU458790 HRQ458790 IBM458790 ILI458790 IVE458790 JFA458790 JOW458790 JYS458790 KIO458790 KSK458790 LCG458790 LMC458790 LVY458790 MFU458790 MPQ458790 MZM458790 NJI458790 NTE458790 ODA458790 OMW458790 OWS458790 PGO458790 PQK458790 QAG458790 QKC458790 QTY458790 RDU458790 RNQ458790 RXM458790 SHI458790 SRE458790 TBA458790 TKW458790 TUS458790 UEO458790 UOK458790 UYG458790 VIC458790 VRY458790 WBU458790 WLQ458790 WVM458790 E524326 JA524326 SW524326 ACS524326 AMO524326 AWK524326 BGG524326 BQC524326 BZY524326 CJU524326 CTQ524326 DDM524326 DNI524326 DXE524326 EHA524326 EQW524326 FAS524326 FKO524326 FUK524326 GEG524326 GOC524326 GXY524326 HHU524326 HRQ524326 IBM524326 ILI524326 IVE524326 JFA524326 JOW524326 JYS524326 KIO524326 KSK524326 LCG524326 LMC524326 LVY524326 MFU524326 MPQ524326 MZM524326 NJI524326 NTE524326 ODA524326 OMW524326 OWS524326 PGO524326 PQK524326 QAG524326 QKC524326 QTY524326 RDU524326 RNQ524326 RXM524326 SHI524326 SRE524326 TBA524326 TKW524326 TUS524326 UEO524326 UOK524326 UYG524326 VIC524326 VRY524326 WBU524326 WLQ524326 WVM524326 E589862 JA589862 SW589862 ACS589862 AMO589862 AWK589862 BGG589862 BQC589862 BZY589862 CJU589862 CTQ589862 DDM589862 DNI589862 DXE589862 EHA589862 EQW589862 FAS589862 FKO589862 FUK589862 GEG589862 GOC589862 GXY589862 HHU589862 HRQ589862 IBM589862 ILI589862 IVE589862 JFA589862 JOW589862 JYS589862 KIO589862 KSK589862 LCG589862 LMC589862 LVY589862 MFU589862 MPQ589862 MZM589862 NJI589862 NTE589862 ODA589862 OMW589862 OWS589862 PGO589862 PQK589862 QAG589862 QKC589862 QTY589862 RDU589862 RNQ589862 RXM589862 SHI589862 SRE589862 TBA589862 TKW589862 TUS589862 UEO589862 UOK589862 UYG589862 VIC589862 VRY589862 WBU589862 WLQ589862 WVM589862 E655398 JA655398 SW655398 ACS655398 AMO655398 AWK655398 BGG655398 BQC655398 BZY655398 CJU655398 CTQ655398 DDM655398 DNI655398 DXE655398 EHA655398 EQW655398 FAS655398 FKO655398 FUK655398 GEG655398 GOC655398 GXY655398 HHU655398 HRQ655398 IBM655398 ILI655398 IVE655398 JFA655398 JOW655398 JYS655398 KIO655398 KSK655398 LCG655398 LMC655398 LVY655398 MFU655398 MPQ655398 MZM655398 NJI655398 NTE655398 ODA655398 OMW655398 OWS655398 PGO655398 PQK655398 QAG655398 QKC655398 QTY655398 RDU655398 RNQ655398 RXM655398 SHI655398 SRE655398 TBA655398 TKW655398 TUS655398 UEO655398 UOK655398 UYG655398 VIC655398 VRY655398 WBU655398 WLQ655398 WVM655398 E720934 JA720934 SW720934 ACS720934 AMO720934 AWK720934 BGG720934 BQC720934 BZY720934 CJU720934 CTQ720934 DDM720934 DNI720934 DXE720934 EHA720934 EQW720934 FAS720934 FKO720934 FUK720934 GEG720934 GOC720934 GXY720934 HHU720934 HRQ720934 IBM720934 ILI720934 IVE720934 JFA720934 JOW720934 JYS720934 KIO720934 KSK720934 LCG720934 LMC720934 LVY720934 MFU720934 MPQ720934 MZM720934 NJI720934 NTE720934 ODA720934 OMW720934 OWS720934 PGO720934 PQK720934 QAG720934 QKC720934 QTY720934 RDU720934 RNQ720934 RXM720934 SHI720934 SRE720934 TBA720934 TKW720934 TUS720934 UEO720934 UOK720934 UYG720934 VIC720934 VRY720934 WBU720934 WLQ720934 WVM720934 E786470 JA786470 SW786470 ACS786470 AMO786470 AWK786470 BGG786470 BQC786470 BZY786470 CJU786470 CTQ786470 DDM786470 DNI786470 DXE786470 EHA786470 EQW786470 FAS786470 FKO786470 FUK786470 GEG786470 GOC786470 GXY786470 HHU786470 HRQ786470 IBM786470 ILI786470 IVE786470 JFA786470 JOW786470 JYS786470 KIO786470 KSK786470 LCG786470 LMC786470 LVY786470 MFU786470 MPQ786470 MZM786470 NJI786470 NTE786470 ODA786470 OMW786470 OWS786470 PGO786470 PQK786470 QAG786470 QKC786470 QTY786470 RDU786470 RNQ786470 RXM786470 SHI786470 SRE786470 TBA786470 TKW786470 TUS786470 UEO786470 UOK786470 UYG786470 VIC786470 VRY786470 WBU786470 WLQ786470 WVM786470 E852006 JA852006 SW852006 ACS852006 AMO852006 AWK852006 BGG852006 BQC852006 BZY852006 CJU852006 CTQ852006 DDM852006 DNI852006 DXE852006 EHA852006 EQW852006 FAS852006 FKO852006 FUK852006 GEG852006 GOC852006 GXY852006 HHU852006 HRQ852006 IBM852006 ILI852006 IVE852006 JFA852006 JOW852006 JYS852006 KIO852006 KSK852006 LCG852006 LMC852006 LVY852006 MFU852006 MPQ852006 MZM852006 NJI852006 NTE852006 ODA852006 OMW852006 OWS852006 PGO852006 PQK852006 QAG852006 QKC852006 QTY852006 RDU852006 RNQ852006 RXM852006 SHI852006 SRE852006 TBA852006 TKW852006 TUS852006 UEO852006 UOK852006 UYG852006 VIC852006 VRY852006 WBU852006 WLQ852006 WVM852006 E917542 JA917542 SW917542 ACS917542 AMO917542 AWK917542 BGG917542 BQC917542 BZY917542 CJU917542 CTQ917542 DDM917542 DNI917542 DXE917542 EHA917542 EQW917542 FAS917542 FKO917542 FUK917542 GEG917542 GOC917542 GXY917542 HHU917542 HRQ917542 IBM917542 ILI917542 IVE917542 JFA917542 JOW917542 JYS917542 KIO917542 KSK917542 LCG917542 LMC917542 LVY917542 MFU917542 MPQ917542 MZM917542 NJI917542 NTE917542 ODA917542 OMW917542 OWS917542 PGO917542 PQK917542 QAG917542 QKC917542 QTY917542 RDU917542 RNQ917542 RXM917542 SHI917542 SRE917542 TBA917542 TKW917542 TUS917542 UEO917542 UOK917542 UYG917542 VIC917542 VRY917542 WBU917542 WLQ917542 WVM917542 E983078 JA983078 SW983078 ACS983078 AMO983078 AWK983078 BGG983078 BQC983078 BZY983078 CJU983078 CTQ983078 DDM983078 DNI983078 DXE983078 EHA983078 EQW983078 FAS983078 FKO983078 FUK983078 GEG983078 GOC983078 GXY983078 HHU983078 HRQ983078 IBM983078 ILI983078 IVE983078 JFA983078 JOW983078 JYS983078 KIO983078 KSK983078 LCG983078 LMC983078 LVY983078 MFU983078 MPQ983078 MZM983078 NJI983078 NTE983078 ODA983078 OMW983078 OWS983078 PGO983078 PQK983078 QAG983078 QKC983078 QTY983078 RDU983078 RNQ983078 RXM983078 SHI983078 SRE983078 TBA983078 TKW983078 TUS983078 UEO983078 UOK983078 UYG983078 VIC983078 VRY983078 WBU983078 WLQ983078 WVM983078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I3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UYK983078 VIG983078 VSC983078 WBY983078 WLU983078 WVQ983078">
      <formula1>商业业态</formula1>
    </dataValidation>
    <dataValidation type="list" allowBlank="1" showInputMessage="1" showErrorMessage="1" sqref="E9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G9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G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G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G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G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G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G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G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G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G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G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G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G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G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G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G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I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formula1>商业用途</formula1>
    </dataValidation>
    <dataValidation type="list" allowBlank="1" showInputMessage="1" showErrorMessage="1" sqref="C42 IY42 SU42 ACQ42 AMM42 AWI42 BGE42 BQA42 BZW42 CJS42 CTO42 DDK42 DNG42 DXC42 EGY42 EQU42 FAQ42 FKM42 FUI42 GEE42 GOA42 GXW42 HHS42 HRO42 IBK42 ILG42 IVC42 JEY42 JOU42 JYQ42 KIM42 KSI42 LCE42 LMA42 LVW42 MFS42 MPO42 MZK42 NJG42 NTC42 OCY42 OMU42 OWQ42 PGM42 PQI42 QAE42 QKA42 QTW42 RDS42 RNO42 RXK42 SHG42 SRC42 TAY42 TKU42 TUQ42 UEM42 UOI42 UYE42 VIA42 VRW42 WBS42 WLO42 WVK42 C65578 IY65578 SU65578 ACQ65578 AMM65578 AWI65578 BGE65578 BQA65578 BZW65578 CJS65578 CTO65578 DDK65578 DNG65578 DXC65578 EGY65578 EQU65578 FAQ65578 FKM65578 FUI65578 GEE65578 GOA65578 GXW65578 HHS65578 HRO65578 IBK65578 ILG65578 IVC65578 JEY65578 JOU65578 JYQ65578 KIM65578 KSI65578 LCE65578 LMA65578 LVW65578 MFS65578 MPO65578 MZK65578 NJG65578 NTC65578 OCY65578 OMU65578 OWQ65578 PGM65578 PQI65578 QAE65578 QKA65578 QTW65578 RDS65578 RNO65578 RXK65578 SHG65578 SRC65578 TAY65578 TKU65578 TUQ65578 UEM65578 UOI65578 UYE65578 VIA65578 VRW65578 WBS65578 WLO65578 WVK65578 C131114 IY131114 SU131114 ACQ131114 AMM131114 AWI131114 BGE131114 BQA131114 BZW131114 CJS131114 CTO131114 DDK131114 DNG131114 DXC131114 EGY131114 EQU131114 FAQ131114 FKM131114 FUI131114 GEE131114 GOA131114 GXW131114 HHS131114 HRO131114 IBK131114 ILG131114 IVC131114 JEY131114 JOU131114 JYQ131114 KIM131114 KSI131114 LCE131114 LMA131114 LVW131114 MFS131114 MPO131114 MZK131114 NJG131114 NTC131114 OCY131114 OMU131114 OWQ131114 PGM131114 PQI131114 QAE131114 QKA131114 QTW131114 RDS131114 RNO131114 RXK131114 SHG131114 SRC131114 TAY131114 TKU131114 TUQ131114 UEM131114 UOI131114 UYE131114 VIA131114 VRW131114 WBS131114 WLO131114 WVK131114 C196650 IY196650 SU196650 ACQ196650 AMM196650 AWI196650 BGE196650 BQA196650 BZW196650 CJS196650 CTO196650 DDK196650 DNG196650 DXC196650 EGY196650 EQU196650 FAQ196650 FKM196650 FUI196650 GEE196650 GOA196650 GXW196650 HHS196650 HRO196650 IBK196650 ILG196650 IVC196650 JEY196650 JOU196650 JYQ196650 KIM196650 KSI196650 LCE196650 LMA196650 LVW196650 MFS196650 MPO196650 MZK196650 NJG196650 NTC196650 OCY196650 OMU196650 OWQ196650 PGM196650 PQI196650 QAE196650 QKA196650 QTW196650 RDS196650 RNO196650 RXK196650 SHG196650 SRC196650 TAY196650 TKU196650 TUQ196650 UEM196650 UOI196650 UYE196650 VIA196650 VRW196650 WBS196650 WLO196650 WVK196650 C262186 IY262186 SU262186 ACQ262186 AMM262186 AWI262186 BGE262186 BQA262186 BZW262186 CJS262186 CTO262186 DDK262186 DNG262186 DXC262186 EGY262186 EQU262186 FAQ262186 FKM262186 FUI262186 GEE262186 GOA262186 GXW262186 HHS262186 HRO262186 IBK262186 ILG262186 IVC262186 JEY262186 JOU262186 JYQ262186 KIM262186 KSI262186 LCE262186 LMA262186 LVW262186 MFS262186 MPO262186 MZK262186 NJG262186 NTC262186 OCY262186 OMU262186 OWQ262186 PGM262186 PQI262186 QAE262186 QKA262186 QTW262186 RDS262186 RNO262186 RXK262186 SHG262186 SRC262186 TAY262186 TKU262186 TUQ262186 UEM262186 UOI262186 UYE262186 VIA262186 VRW262186 WBS262186 WLO262186 WVK262186 C327722 IY327722 SU327722 ACQ327722 AMM327722 AWI327722 BGE327722 BQA327722 BZW327722 CJS327722 CTO327722 DDK327722 DNG327722 DXC327722 EGY327722 EQU327722 FAQ327722 FKM327722 FUI327722 GEE327722 GOA327722 GXW327722 HHS327722 HRO327722 IBK327722 ILG327722 IVC327722 JEY327722 JOU327722 JYQ327722 KIM327722 KSI327722 LCE327722 LMA327722 LVW327722 MFS327722 MPO327722 MZK327722 NJG327722 NTC327722 OCY327722 OMU327722 OWQ327722 PGM327722 PQI327722 QAE327722 QKA327722 QTW327722 RDS327722 RNO327722 RXK327722 SHG327722 SRC327722 TAY327722 TKU327722 TUQ327722 UEM327722 UOI327722 UYE327722 VIA327722 VRW327722 WBS327722 WLO327722 WVK327722 C393258 IY393258 SU393258 ACQ393258 AMM393258 AWI393258 BGE393258 BQA393258 BZW393258 CJS393258 CTO393258 DDK393258 DNG393258 DXC393258 EGY393258 EQU393258 FAQ393258 FKM393258 FUI393258 GEE393258 GOA393258 GXW393258 HHS393258 HRO393258 IBK393258 ILG393258 IVC393258 JEY393258 JOU393258 JYQ393258 KIM393258 KSI393258 LCE393258 LMA393258 LVW393258 MFS393258 MPO393258 MZK393258 NJG393258 NTC393258 OCY393258 OMU393258 OWQ393258 PGM393258 PQI393258 QAE393258 QKA393258 QTW393258 RDS393258 RNO393258 RXK393258 SHG393258 SRC393258 TAY393258 TKU393258 TUQ393258 UEM393258 UOI393258 UYE393258 VIA393258 VRW393258 WBS393258 WLO393258 WVK393258 C458794 IY458794 SU458794 ACQ458794 AMM458794 AWI458794 BGE458794 BQA458794 BZW458794 CJS458794 CTO458794 DDK458794 DNG458794 DXC458794 EGY458794 EQU458794 FAQ458794 FKM458794 FUI458794 GEE458794 GOA458794 GXW458794 HHS458794 HRO458794 IBK458794 ILG458794 IVC458794 JEY458794 JOU458794 JYQ458794 KIM458794 KSI458794 LCE458794 LMA458794 LVW458794 MFS458794 MPO458794 MZK458794 NJG458794 NTC458794 OCY458794 OMU458794 OWQ458794 PGM458794 PQI458794 QAE458794 QKA458794 QTW458794 RDS458794 RNO458794 RXK458794 SHG458794 SRC458794 TAY458794 TKU458794 TUQ458794 UEM458794 UOI458794 UYE458794 VIA458794 VRW458794 WBS458794 WLO458794 WVK458794 C524330 IY524330 SU524330 ACQ524330 AMM524330 AWI524330 BGE524330 BQA524330 BZW524330 CJS524330 CTO524330 DDK524330 DNG524330 DXC524330 EGY524330 EQU524330 FAQ524330 FKM524330 FUI524330 GEE524330 GOA524330 GXW524330 HHS524330 HRO524330 IBK524330 ILG524330 IVC524330 JEY524330 JOU524330 JYQ524330 KIM524330 KSI524330 LCE524330 LMA524330 LVW524330 MFS524330 MPO524330 MZK524330 NJG524330 NTC524330 OCY524330 OMU524330 OWQ524330 PGM524330 PQI524330 QAE524330 QKA524330 QTW524330 RDS524330 RNO524330 RXK524330 SHG524330 SRC524330 TAY524330 TKU524330 TUQ524330 UEM524330 UOI524330 UYE524330 VIA524330 VRW524330 WBS524330 WLO524330 WVK524330 C589866 IY589866 SU589866 ACQ589866 AMM589866 AWI589866 BGE589866 BQA589866 BZW589866 CJS589866 CTO589866 DDK589866 DNG589866 DXC589866 EGY589866 EQU589866 FAQ589866 FKM589866 FUI589866 GEE589866 GOA589866 GXW589866 HHS589866 HRO589866 IBK589866 ILG589866 IVC589866 JEY589866 JOU589866 JYQ589866 KIM589866 KSI589866 LCE589866 LMA589866 LVW589866 MFS589866 MPO589866 MZK589866 NJG589866 NTC589866 OCY589866 OMU589866 OWQ589866 PGM589866 PQI589866 QAE589866 QKA589866 QTW589866 RDS589866 RNO589866 RXK589866 SHG589866 SRC589866 TAY589866 TKU589866 TUQ589866 UEM589866 UOI589866 UYE589866 VIA589866 VRW589866 WBS589866 WLO589866 WVK589866 C655402 IY655402 SU655402 ACQ655402 AMM655402 AWI655402 BGE655402 BQA655402 BZW655402 CJS655402 CTO655402 DDK655402 DNG655402 DXC655402 EGY655402 EQU655402 FAQ655402 FKM655402 FUI655402 GEE655402 GOA655402 GXW655402 HHS655402 HRO655402 IBK655402 ILG655402 IVC655402 JEY655402 JOU655402 JYQ655402 KIM655402 KSI655402 LCE655402 LMA655402 LVW655402 MFS655402 MPO655402 MZK655402 NJG655402 NTC655402 OCY655402 OMU655402 OWQ655402 PGM655402 PQI655402 QAE655402 QKA655402 QTW655402 RDS655402 RNO655402 RXK655402 SHG655402 SRC655402 TAY655402 TKU655402 TUQ655402 UEM655402 UOI655402 UYE655402 VIA655402 VRW655402 WBS655402 WLO655402 WVK655402 C720938 IY720938 SU720938 ACQ720938 AMM720938 AWI720938 BGE720938 BQA720938 BZW720938 CJS720938 CTO720938 DDK720938 DNG720938 DXC720938 EGY720938 EQU720938 FAQ720938 FKM720938 FUI720938 GEE720938 GOA720938 GXW720938 HHS720938 HRO720938 IBK720938 ILG720938 IVC720938 JEY720938 JOU720938 JYQ720938 KIM720938 KSI720938 LCE720938 LMA720938 LVW720938 MFS720938 MPO720938 MZK720938 NJG720938 NTC720938 OCY720938 OMU720938 OWQ720938 PGM720938 PQI720938 QAE720938 QKA720938 QTW720938 RDS720938 RNO720938 RXK720938 SHG720938 SRC720938 TAY720938 TKU720938 TUQ720938 UEM720938 UOI720938 UYE720938 VIA720938 VRW720938 WBS720938 WLO720938 WVK720938 C786474 IY786474 SU786474 ACQ786474 AMM786474 AWI786474 BGE786474 BQA786474 BZW786474 CJS786474 CTO786474 DDK786474 DNG786474 DXC786474 EGY786474 EQU786474 FAQ786474 FKM786474 FUI786474 GEE786474 GOA786474 GXW786474 HHS786474 HRO786474 IBK786474 ILG786474 IVC786474 JEY786474 JOU786474 JYQ786474 KIM786474 KSI786474 LCE786474 LMA786474 LVW786474 MFS786474 MPO786474 MZK786474 NJG786474 NTC786474 OCY786474 OMU786474 OWQ786474 PGM786474 PQI786474 QAE786474 QKA786474 QTW786474 RDS786474 RNO786474 RXK786474 SHG786474 SRC786474 TAY786474 TKU786474 TUQ786474 UEM786474 UOI786474 UYE786474 VIA786474 VRW786474 WBS786474 WLO786474 WVK786474 C852010 IY852010 SU852010 ACQ852010 AMM852010 AWI852010 BGE852010 BQA852010 BZW852010 CJS852010 CTO852010 DDK852010 DNG852010 DXC852010 EGY852010 EQU852010 FAQ852010 FKM852010 FUI852010 GEE852010 GOA852010 GXW852010 HHS852010 HRO852010 IBK852010 ILG852010 IVC852010 JEY852010 JOU852010 JYQ852010 KIM852010 KSI852010 LCE852010 LMA852010 LVW852010 MFS852010 MPO852010 MZK852010 NJG852010 NTC852010 OCY852010 OMU852010 OWQ852010 PGM852010 PQI852010 QAE852010 QKA852010 QTW852010 RDS852010 RNO852010 RXK852010 SHG852010 SRC852010 TAY852010 TKU852010 TUQ852010 UEM852010 UOI852010 UYE852010 VIA852010 VRW852010 WBS852010 WLO852010 WVK852010 C917546 IY917546 SU917546 ACQ917546 AMM917546 AWI917546 BGE917546 BQA917546 BZW917546 CJS917546 CTO917546 DDK917546 DNG917546 DXC917546 EGY917546 EQU917546 FAQ917546 FKM917546 FUI917546 GEE917546 GOA917546 GXW917546 HHS917546 HRO917546 IBK917546 ILG917546 IVC917546 JEY917546 JOU917546 JYQ917546 KIM917546 KSI917546 LCE917546 LMA917546 LVW917546 MFS917546 MPO917546 MZK917546 NJG917546 NTC917546 OCY917546 OMU917546 OWQ917546 PGM917546 PQI917546 QAE917546 QKA917546 QTW917546 RDS917546 RNO917546 RXK917546 SHG917546 SRC917546 TAY917546 TKU917546 TUQ917546 UEM917546 UOI917546 UYE917546 VIA917546 VRW917546 WBS917546 WLO917546 WVK917546 C983082 IY983082 SU983082 ACQ983082 AMM983082 AWI983082 BGE983082 BQA983082 BZW983082 CJS983082 CTO983082 DDK983082 DNG983082 DXC983082 EGY983082 EQU983082 FAQ983082 FKM983082 FUI983082 GEE983082 GOA983082 GXW983082 HHS983082 HRO983082 IBK983082 ILG983082 IVC983082 JEY983082 JOU983082 JYQ983082 KIM983082 KSI983082 LCE983082 LMA983082 LVW983082 MFS983082 MPO983082 MZK983082 NJG983082 NTC983082 OCY983082 OMU983082 OWQ983082 PGM983082 PQI983082 QAE983082 QKA983082 QTW983082 RDS983082 RNO983082 RXK983082 SHG983082 SRC983082 TAY983082 TKU983082 TUQ983082 UEM983082 UOI983082 UYE983082 VIA983082 VRW983082 WBS983082 WLO983082 WVK983082 E42 JA42 SW42 ACS42 AMO42 AWK42 BGG42 BQC42 BZY42 CJU42 CTQ42 DDM42 DNI42 DXE42 EHA42 EQW42 FAS42 FKO42 FUK42 GEG42 GOC42 GXY42 HHU42 HRQ42 IBM42 ILI42 IVE42 JFA42 JOW42 JYS42 KIO42 KSK42 LCG42 LMC42 LVY42 MFU42 MPQ42 MZM42 NJI42 NTE42 ODA42 OMW42 OWS42 PGO42 PQK42 QAG42 QKC42 QTY42 RDU42 RNQ42 RXM42 SHI42 SRE42 TBA42 TKW42 TUS42 UEO42 UOK42 UYG42 VIC42 VRY42 WBU42 WLQ42 WVM42 E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E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E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E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E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E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E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E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E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E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E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E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E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E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E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I42 JE42 TA42 ACW42 AMS42 AWO42 BGK42 BQG42 CAC42 CJY42 CTU42 DDQ42 DNM42 DXI42 EHE42 ERA42 FAW42 FKS42 FUO42 GEK42 GOG42 GYC42 HHY42 HRU42 IBQ42 ILM42 IVI42 JFE42 JPA42 JYW42 KIS42 KSO42 LCK42 LMG42 LWC42 MFY42 MPU42 MZQ42 NJM42 NTI42 ODE42 ONA42 OWW42 PGS42 PQO42 QAK42 QKG42 QUC42 RDY42 RNU42 RXQ42 SHM42 SRI42 TBE42 TLA42 TUW42 UES42 UOO42 UYK42 VIG42 VSC42 WBY42 WLU42 WVQ42 I65578 JE65578 TA65578 ACW65578 AMS65578 AWO65578 BGK65578 BQG65578 CAC65578 CJY65578 CTU65578 DDQ65578 DNM65578 DXI65578 EHE65578 ERA65578 FAW65578 FKS65578 FUO65578 GEK65578 GOG65578 GYC65578 HHY65578 HRU65578 IBQ65578 ILM65578 IVI65578 JFE65578 JPA65578 JYW65578 KIS65578 KSO65578 LCK65578 LMG65578 LWC65578 MFY65578 MPU65578 MZQ65578 NJM65578 NTI65578 ODE65578 ONA65578 OWW65578 PGS65578 PQO65578 QAK65578 QKG65578 QUC65578 RDY65578 RNU65578 RXQ65578 SHM65578 SRI65578 TBE65578 TLA65578 TUW65578 UES65578 UOO65578 UYK65578 VIG65578 VSC65578 WBY65578 WLU65578 WVQ65578 I131114 JE131114 TA131114 ACW131114 AMS131114 AWO131114 BGK131114 BQG131114 CAC131114 CJY131114 CTU131114 DDQ131114 DNM131114 DXI131114 EHE131114 ERA131114 FAW131114 FKS131114 FUO131114 GEK131114 GOG131114 GYC131114 HHY131114 HRU131114 IBQ131114 ILM131114 IVI131114 JFE131114 JPA131114 JYW131114 KIS131114 KSO131114 LCK131114 LMG131114 LWC131114 MFY131114 MPU131114 MZQ131114 NJM131114 NTI131114 ODE131114 ONA131114 OWW131114 PGS131114 PQO131114 QAK131114 QKG131114 QUC131114 RDY131114 RNU131114 RXQ131114 SHM131114 SRI131114 TBE131114 TLA131114 TUW131114 UES131114 UOO131114 UYK131114 VIG131114 VSC131114 WBY131114 WLU131114 WVQ131114 I196650 JE196650 TA196650 ACW196650 AMS196650 AWO196650 BGK196650 BQG196650 CAC196650 CJY196650 CTU196650 DDQ196650 DNM196650 DXI196650 EHE196650 ERA196650 FAW196650 FKS196650 FUO196650 GEK196650 GOG196650 GYC196650 HHY196650 HRU196650 IBQ196650 ILM196650 IVI196650 JFE196650 JPA196650 JYW196650 KIS196650 KSO196650 LCK196650 LMG196650 LWC196650 MFY196650 MPU196650 MZQ196650 NJM196650 NTI196650 ODE196650 ONA196650 OWW196650 PGS196650 PQO196650 QAK196650 QKG196650 QUC196650 RDY196650 RNU196650 RXQ196650 SHM196650 SRI196650 TBE196650 TLA196650 TUW196650 UES196650 UOO196650 UYK196650 VIG196650 VSC196650 WBY196650 WLU196650 WVQ196650 I262186 JE262186 TA262186 ACW262186 AMS262186 AWO262186 BGK262186 BQG262186 CAC262186 CJY262186 CTU262186 DDQ262186 DNM262186 DXI262186 EHE262186 ERA262186 FAW262186 FKS262186 FUO262186 GEK262186 GOG262186 GYC262186 HHY262186 HRU262186 IBQ262186 ILM262186 IVI262186 JFE262186 JPA262186 JYW262186 KIS262186 KSO262186 LCK262186 LMG262186 LWC262186 MFY262186 MPU262186 MZQ262186 NJM262186 NTI262186 ODE262186 ONA262186 OWW262186 PGS262186 PQO262186 QAK262186 QKG262186 QUC262186 RDY262186 RNU262186 RXQ262186 SHM262186 SRI262186 TBE262186 TLA262186 TUW262186 UES262186 UOO262186 UYK262186 VIG262186 VSC262186 WBY262186 WLU262186 WVQ262186 I327722 JE327722 TA327722 ACW327722 AMS327722 AWO327722 BGK327722 BQG327722 CAC327722 CJY327722 CTU327722 DDQ327722 DNM327722 DXI327722 EHE327722 ERA327722 FAW327722 FKS327722 FUO327722 GEK327722 GOG327722 GYC327722 HHY327722 HRU327722 IBQ327722 ILM327722 IVI327722 JFE327722 JPA327722 JYW327722 KIS327722 KSO327722 LCK327722 LMG327722 LWC327722 MFY327722 MPU327722 MZQ327722 NJM327722 NTI327722 ODE327722 ONA327722 OWW327722 PGS327722 PQO327722 QAK327722 QKG327722 QUC327722 RDY327722 RNU327722 RXQ327722 SHM327722 SRI327722 TBE327722 TLA327722 TUW327722 UES327722 UOO327722 UYK327722 VIG327722 VSC327722 WBY327722 WLU327722 WVQ327722 I393258 JE393258 TA393258 ACW393258 AMS393258 AWO393258 BGK393258 BQG393258 CAC393258 CJY393258 CTU393258 DDQ393258 DNM393258 DXI393258 EHE393258 ERA393258 FAW393258 FKS393258 FUO393258 GEK393258 GOG393258 GYC393258 HHY393258 HRU393258 IBQ393258 ILM393258 IVI393258 JFE393258 JPA393258 JYW393258 KIS393258 KSO393258 LCK393258 LMG393258 LWC393258 MFY393258 MPU393258 MZQ393258 NJM393258 NTI393258 ODE393258 ONA393258 OWW393258 PGS393258 PQO393258 QAK393258 QKG393258 QUC393258 RDY393258 RNU393258 RXQ393258 SHM393258 SRI393258 TBE393258 TLA393258 TUW393258 UES393258 UOO393258 UYK393258 VIG393258 VSC393258 WBY393258 WLU393258 WVQ393258 I458794 JE458794 TA458794 ACW458794 AMS458794 AWO458794 BGK458794 BQG458794 CAC458794 CJY458794 CTU458794 DDQ458794 DNM458794 DXI458794 EHE458794 ERA458794 FAW458794 FKS458794 FUO458794 GEK458794 GOG458794 GYC458794 HHY458794 HRU458794 IBQ458794 ILM458794 IVI458794 JFE458794 JPA458794 JYW458794 KIS458794 KSO458794 LCK458794 LMG458794 LWC458794 MFY458794 MPU458794 MZQ458794 NJM458794 NTI458794 ODE458794 ONA458794 OWW458794 PGS458794 PQO458794 QAK458794 QKG458794 QUC458794 RDY458794 RNU458794 RXQ458794 SHM458794 SRI458794 TBE458794 TLA458794 TUW458794 UES458794 UOO458794 UYK458794 VIG458794 VSC458794 WBY458794 WLU458794 WVQ458794 I524330 JE524330 TA524330 ACW524330 AMS524330 AWO524330 BGK524330 BQG524330 CAC524330 CJY524330 CTU524330 DDQ524330 DNM524330 DXI524330 EHE524330 ERA524330 FAW524330 FKS524330 FUO524330 GEK524330 GOG524330 GYC524330 HHY524330 HRU524330 IBQ524330 ILM524330 IVI524330 JFE524330 JPA524330 JYW524330 KIS524330 KSO524330 LCK524330 LMG524330 LWC524330 MFY524330 MPU524330 MZQ524330 NJM524330 NTI524330 ODE524330 ONA524330 OWW524330 PGS524330 PQO524330 QAK524330 QKG524330 QUC524330 RDY524330 RNU524330 RXQ524330 SHM524330 SRI524330 TBE524330 TLA524330 TUW524330 UES524330 UOO524330 UYK524330 VIG524330 VSC524330 WBY524330 WLU524330 WVQ524330 I589866 JE589866 TA589866 ACW589866 AMS589866 AWO589866 BGK589866 BQG589866 CAC589866 CJY589866 CTU589866 DDQ589866 DNM589866 DXI589866 EHE589866 ERA589866 FAW589866 FKS589866 FUO589866 GEK589866 GOG589866 GYC589866 HHY589866 HRU589866 IBQ589866 ILM589866 IVI589866 JFE589866 JPA589866 JYW589866 KIS589866 KSO589866 LCK589866 LMG589866 LWC589866 MFY589866 MPU589866 MZQ589866 NJM589866 NTI589866 ODE589866 ONA589866 OWW589866 PGS589866 PQO589866 QAK589866 QKG589866 QUC589866 RDY589866 RNU589866 RXQ589866 SHM589866 SRI589866 TBE589866 TLA589866 TUW589866 UES589866 UOO589866 UYK589866 VIG589866 VSC589866 WBY589866 WLU589866 WVQ589866 I655402 JE655402 TA655402 ACW655402 AMS655402 AWO655402 BGK655402 BQG655402 CAC655402 CJY655402 CTU655402 DDQ655402 DNM655402 DXI655402 EHE655402 ERA655402 FAW655402 FKS655402 FUO655402 GEK655402 GOG655402 GYC655402 HHY655402 HRU655402 IBQ655402 ILM655402 IVI655402 JFE655402 JPA655402 JYW655402 KIS655402 KSO655402 LCK655402 LMG655402 LWC655402 MFY655402 MPU655402 MZQ655402 NJM655402 NTI655402 ODE655402 ONA655402 OWW655402 PGS655402 PQO655402 QAK655402 QKG655402 QUC655402 RDY655402 RNU655402 RXQ655402 SHM655402 SRI655402 TBE655402 TLA655402 TUW655402 UES655402 UOO655402 UYK655402 VIG655402 VSC655402 WBY655402 WLU655402 WVQ655402 I720938 JE720938 TA720938 ACW720938 AMS720938 AWO720938 BGK720938 BQG720938 CAC720938 CJY720938 CTU720938 DDQ720938 DNM720938 DXI720938 EHE720938 ERA720938 FAW720938 FKS720938 FUO720938 GEK720938 GOG720938 GYC720938 HHY720938 HRU720938 IBQ720938 ILM720938 IVI720938 JFE720938 JPA720938 JYW720938 KIS720938 KSO720938 LCK720938 LMG720938 LWC720938 MFY720938 MPU720938 MZQ720938 NJM720938 NTI720938 ODE720938 ONA720938 OWW720938 PGS720938 PQO720938 QAK720938 QKG720938 QUC720938 RDY720938 RNU720938 RXQ720938 SHM720938 SRI720938 TBE720938 TLA720938 TUW720938 UES720938 UOO720938 UYK720938 VIG720938 VSC720938 WBY720938 WLU720938 WVQ720938 I786474 JE786474 TA786474 ACW786474 AMS786474 AWO786474 BGK786474 BQG786474 CAC786474 CJY786474 CTU786474 DDQ786474 DNM786474 DXI786474 EHE786474 ERA786474 FAW786474 FKS786474 FUO786474 GEK786474 GOG786474 GYC786474 HHY786474 HRU786474 IBQ786474 ILM786474 IVI786474 JFE786474 JPA786474 JYW786474 KIS786474 KSO786474 LCK786474 LMG786474 LWC786474 MFY786474 MPU786474 MZQ786474 NJM786474 NTI786474 ODE786474 ONA786474 OWW786474 PGS786474 PQO786474 QAK786474 QKG786474 QUC786474 RDY786474 RNU786474 RXQ786474 SHM786474 SRI786474 TBE786474 TLA786474 TUW786474 UES786474 UOO786474 UYK786474 VIG786474 VSC786474 WBY786474 WLU786474 WVQ786474 I852010 JE852010 TA852010 ACW852010 AMS852010 AWO852010 BGK852010 BQG852010 CAC852010 CJY852010 CTU852010 DDQ852010 DNM852010 DXI852010 EHE852010 ERA852010 FAW852010 FKS852010 FUO852010 GEK852010 GOG852010 GYC852010 HHY852010 HRU852010 IBQ852010 ILM852010 IVI852010 JFE852010 JPA852010 JYW852010 KIS852010 KSO852010 LCK852010 LMG852010 LWC852010 MFY852010 MPU852010 MZQ852010 NJM852010 NTI852010 ODE852010 ONA852010 OWW852010 PGS852010 PQO852010 QAK852010 QKG852010 QUC852010 RDY852010 RNU852010 RXQ852010 SHM852010 SRI852010 TBE852010 TLA852010 TUW852010 UES852010 UOO852010 UYK852010 VIG852010 VSC852010 WBY852010 WLU852010 WVQ852010 I917546 JE917546 TA917546 ACW917546 AMS917546 AWO917546 BGK917546 BQG917546 CAC917546 CJY917546 CTU917546 DDQ917546 DNM917546 DXI917546 EHE917546 ERA917546 FAW917546 FKS917546 FUO917546 GEK917546 GOG917546 GYC917546 HHY917546 HRU917546 IBQ917546 ILM917546 IVI917546 JFE917546 JPA917546 JYW917546 KIS917546 KSO917546 LCK917546 LMG917546 LWC917546 MFY917546 MPU917546 MZQ917546 NJM917546 NTI917546 ODE917546 ONA917546 OWW917546 PGS917546 PQO917546 QAK917546 QKG917546 QUC917546 RDY917546 RNU917546 RXQ917546 SHM917546 SRI917546 TBE917546 TLA917546 TUW917546 UES917546 UOO917546 UYK917546 VIG917546 VSC917546 WBY917546 WLU917546 WVQ917546 I983082 JE983082 TA983082 ACW983082 AMS983082 AWO983082 BGK983082 BQG983082 CAC983082 CJY983082 CTU983082 DDQ983082 DNM983082 DXI983082 EHE983082 ERA983082 FAW983082 FKS983082 FUO983082 GEK983082 GOG983082 GYC983082 HHY983082 HRU983082 IBQ983082 ILM983082 IVI983082 JFE983082 JPA983082 JYW983082 KIS983082 KSO983082 LCK983082 LMG983082 LWC983082 MFY983082 MPU983082 MZQ983082 NJM983082 NTI983082 ODE983082 ONA983082 OWW983082 PGS983082 PQO983082 QAK983082 QKG983082 QUC983082 RDY983082 RNU983082 RXQ983082 SHM983082 SRI983082 TBE983082 TLA983082 TUW983082 UES983082 UOO983082 UYK983082 VIG983082 VSC983082 WBY983082 WLU983082 WVQ983082">
      <formula1>商业内部装修</formula1>
    </dataValidation>
    <dataValidation type="list" allowBlank="1" showInputMessage="1" showErrorMessage="1" sqref="C41 IY41 SU41 ACQ41 AMM41 AWI41 BGE41 BQA41 BZW41 CJS41 CTO41 DDK41 DNG41 DXC41 EGY41 EQU41 FAQ41 FKM41 FUI41 GEE41 GOA41 GXW41 HHS41 HRO41 IBK41 ILG41 IVC41 JEY41 JOU41 JYQ41 KIM41 KSI41 LCE41 LMA41 LVW41 MFS41 MPO41 MZK41 NJG41 NTC41 OCY41 OMU41 OWQ41 PGM41 PQI41 QAE41 QKA41 QTW41 RDS41 RNO41 RXK41 SHG41 SRC41 TAY41 TKU41 TUQ41 UEM41 UOI41 UYE41 VIA41 VRW41 WBS41 WLO41 WVK41 C65577 IY65577 SU65577 ACQ65577 AMM65577 AWI65577 BGE65577 BQA65577 BZW65577 CJS65577 CTO65577 DDK65577 DNG65577 DXC65577 EGY65577 EQU65577 FAQ65577 FKM65577 FUI65577 GEE65577 GOA65577 GXW65577 HHS65577 HRO65577 IBK65577 ILG65577 IVC65577 JEY65577 JOU65577 JYQ65577 KIM65577 KSI65577 LCE65577 LMA65577 LVW65577 MFS65577 MPO65577 MZK65577 NJG65577 NTC65577 OCY65577 OMU65577 OWQ65577 PGM65577 PQI65577 QAE65577 QKA65577 QTW65577 RDS65577 RNO65577 RXK65577 SHG65577 SRC65577 TAY65577 TKU65577 TUQ65577 UEM65577 UOI65577 UYE65577 VIA65577 VRW65577 WBS65577 WLO65577 WVK65577 C131113 IY131113 SU131113 ACQ131113 AMM131113 AWI131113 BGE131113 BQA131113 BZW131113 CJS131113 CTO131113 DDK131113 DNG131113 DXC131113 EGY131113 EQU131113 FAQ131113 FKM131113 FUI131113 GEE131113 GOA131113 GXW131113 HHS131113 HRO131113 IBK131113 ILG131113 IVC131113 JEY131113 JOU131113 JYQ131113 KIM131113 KSI131113 LCE131113 LMA131113 LVW131113 MFS131113 MPO131113 MZK131113 NJG131113 NTC131113 OCY131113 OMU131113 OWQ131113 PGM131113 PQI131113 QAE131113 QKA131113 QTW131113 RDS131113 RNO131113 RXK131113 SHG131113 SRC131113 TAY131113 TKU131113 TUQ131113 UEM131113 UOI131113 UYE131113 VIA131113 VRW131113 WBS131113 WLO131113 WVK131113 C196649 IY196649 SU196649 ACQ196649 AMM196649 AWI196649 BGE196649 BQA196649 BZW196649 CJS196649 CTO196649 DDK196649 DNG196649 DXC196649 EGY196649 EQU196649 FAQ196649 FKM196649 FUI196649 GEE196649 GOA196649 GXW196649 HHS196649 HRO196649 IBK196649 ILG196649 IVC196649 JEY196649 JOU196649 JYQ196649 KIM196649 KSI196649 LCE196649 LMA196649 LVW196649 MFS196649 MPO196649 MZK196649 NJG196649 NTC196649 OCY196649 OMU196649 OWQ196649 PGM196649 PQI196649 QAE196649 QKA196649 QTW196649 RDS196649 RNO196649 RXK196649 SHG196649 SRC196649 TAY196649 TKU196649 TUQ196649 UEM196649 UOI196649 UYE196649 VIA196649 VRW196649 WBS196649 WLO196649 WVK196649 C262185 IY262185 SU262185 ACQ262185 AMM262185 AWI262185 BGE262185 BQA262185 BZW262185 CJS262185 CTO262185 DDK262185 DNG262185 DXC262185 EGY262185 EQU262185 FAQ262185 FKM262185 FUI262185 GEE262185 GOA262185 GXW262185 HHS262185 HRO262185 IBK262185 ILG262185 IVC262185 JEY262185 JOU262185 JYQ262185 KIM262185 KSI262185 LCE262185 LMA262185 LVW262185 MFS262185 MPO262185 MZK262185 NJG262185 NTC262185 OCY262185 OMU262185 OWQ262185 PGM262185 PQI262185 QAE262185 QKA262185 QTW262185 RDS262185 RNO262185 RXK262185 SHG262185 SRC262185 TAY262185 TKU262185 TUQ262185 UEM262185 UOI262185 UYE262185 VIA262185 VRW262185 WBS262185 WLO262185 WVK262185 C327721 IY327721 SU327721 ACQ327721 AMM327721 AWI327721 BGE327721 BQA327721 BZW327721 CJS327721 CTO327721 DDK327721 DNG327721 DXC327721 EGY327721 EQU327721 FAQ327721 FKM327721 FUI327721 GEE327721 GOA327721 GXW327721 HHS327721 HRO327721 IBK327721 ILG327721 IVC327721 JEY327721 JOU327721 JYQ327721 KIM327721 KSI327721 LCE327721 LMA327721 LVW327721 MFS327721 MPO327721 MZK327721 NJG327721 NTC327721 OCY327721 OMU327721 OWQ327721 PGM327721 PQI327721 QAE327721 QKA327721 QTW327721 RDS327721 RNO327721 RXK327721 SHG327721 SRC327721 TAY327721 TKU327721 TUQ327721 UEM327721 UOI327721 UYE327721 VIA327721 VRW327721 WBS327721 WLO327721 WVK327721 C393257 IY393257 SU393257 ACQ393257 AMM393257 AWI393257 BGE393257 BQA393257 BZW393257 CJS393257 CTO393257 DDK393257 DNG393257 DXC393257 EGY393257 EQU393257 FAQ393257 FKM393257 FUI393257 GEE393257 GOA393257 GXW393257 HHS393257 HRO393257 IBK393257 ILG393257 IVC393257 JEY393257 JOU393257 JYQ393257 KIM393257 KSI393257 LCE393257 LMA393257 LVW393257 MFS393257 MPO393257 MZK393257 NJG393257 NTC393257 OCY393257 OMU393257 OWQ393257 PGM393257 PQI393257 QAE393257 QKA393257 QTW393257 RDS393257 RNO393257 RXK393257 SHG393257 SRC393257 TAY393257 TKU393257 TUQ393257 UEM393257 UOI393257 UYE393257 VIA393257 VRW393257 WBS393257 WLO393257 WVK393257 C458793 IY458793 SU458793 ACQ458793 AMM458793 AWI458793 BGE458793 BQA458793 BZW458793 CJS458793 CTO458793 DDK458793 DNG458793 DXC458793 EGY458793 EQU458793 FAQ458793 FKM458793 FUI458793 GEE458793 GOA458793 GXW458793 HHS458793 HRO458793 IBK458793 ILG458793 IVC458793 JEY458793 JOU458793 JYQ458793 KIM458793 KSI458793 LCE458793 LMA458793 LVW458793 MFS458793 MPO458793 MZK458793 NJG458793 NTC458793 OCY458793 OMU458793 OWQ458793 PGM458793 PQI458793 QAE458793 QKA458793 QTW458793 RDS458793 RNO458793 RXK458793 SHG458793 SRC458793 TAY458793 TKU458793 TUQ458793 UEM458793 UOI458793 UYE458793 VIA458793 VRW458793 WBS458793 WLO458793 WVK458793 C524329 IY524329 SU524329 ACQ524329 AMM524329 AWI524329 BGE524329 BQA524329 BZW524329 CJS524329 CTO524329 DDK524329 DNG524329 DXC524329 EGY524329 EQU524329 FAQ524329 FKM524329 FUI524329 GEE524329 GOA524329 GXW524329 HHS524329 HRO524329 IBK524329 ILG524329 IVC524329 JEY524329 JOU524329 JYQ524329 KIM524329 KSI524329 LCE524329 LMA524329 LVW524329 MFS524329 MPO524329 MZK524329 NJG524329 NTC524329 OCY524329 OMU524329 OWQ524329 PGM524329 PQI524329 QAE524329 QKA524329 QTW524329 RDS524329 RNO524329 RXK524329 SHG524329 SRC524329 TAY524329 TKU524329 TUQ524329 UEM524329 UOI524329 UYE524329 VIA524329 VRW524329 WBS524329 WLO524329 WVK524329 C589865 IY589865 SU589865 ACQ589865 AMM589865 AWI589865 BGE589865 BQA589865 BZW589865 CJS589865 CTO589865 DDK589865 DNG589865 DXC589865 EGY589865 EQU589865 FAQ589865 FKM589865 FUI589865 GEE589865 GOA589865 GXW589865 HHS589865 HRO589865 IBK589865 ILG589865 IVC589865 JEY589865 JOU589865 JYQ589865 KIM589865 KSI589865 LCE589865 LMA589865 LVW589865 MFS589865 MPO589865 MZK589865 NJG589865 NTC589865 OCY589865 OMU589865 OWQ589865 PGM589865 PQI589865 QAE589865 QKA589865 QTW589865 RDS589865 RNO589865 RXK589865 SHG589865 SRC589865 TAY589865 TKU589865 TUQ589865 UEM589865 UOI589865 UYE589865 VIA589865 VRW589865 WBS589865 WLO589865 WVK589865 C655401 IY655401 SU655401 ACQ655401 AMM655401 AWI655401 BGE655401 BQA655401 BZW655401 CJS655401 CTO655401 DDK655401 DNG655401 DXC655401 EGY655401 EQU655401 FAQ655401 FKM655401 FUI655401 GEE655401 GOA655401 GXW655401 HHS655401 HRO655401 IBK655401 ILG655401 IVC655401 JEY655401 JOU655401 JYQ655401 KIM655401 KSI655401 LCE655401 LMA655401 LVW655401 MFS655401 MPO655401 MZK655401 NJG655401 NTC655401 OCY655401 OMU655401 OWQ655401 PGM655401 PQI655401 QAE655401 QKA655401 QTW655401 RDS655401 RNO655401 RXK655401 SHG655401 SRC655401 TAY655401 TKU655401 TUQ655401 UEM655401 UOI655401 UYE655401 VIA655401 VRW655401 WBS655401 WLO655401 WVK655401 C720937 IY720937 SU720937 ACQ720937 AMM720937 AWI720937 BGE720937 BQA720937 BZW720937 CJS720937 CTO720937 DDK720937 DNG720937 DXC720937 EGY720937 EQU720937 FAQ720937 FKM720937 FUI720937 GEE720937 GOA720937 GXW720937 HHS720937 HRO720937 IBK720937 ILG720937 IVC720937 JEY720937 JOU720937 JYQ720937 KIM720937 KSI720937 LCE720937 LMA720937 LVW720937 MFS720937 MPO720937 MZK720937 NJG720937 NTC720937 OCY720937 OMU720937 OWQ720937 PGM720937 PQI720937 QAE720937 QKA720937 QTW720937 RDS720937 RNO720937 RXK720937 SHG720937 SRC720937 TAY720937 TKU720937 TUQ720937 UEM720937 UOI720937 UYE720937 VIA720937 VRW720937 WBS720937 WLO720937 WVK720937 C786473 IY786473 SU786473 ACQ786473 AMM786473 AWI786473 BGE786473 BQA786473 BZW786473 CJS786473 CTO786473 DDK786473 DNG786473 DXC786473 EGY786473 EQU786473 FAQ786473 FKM786473 FUI786473 GEE786473 GOA786473 GXW786473 HHS786473 HRO786473 IBK786473 ILG786473 IVC786473 JEY786473 JOU786473 JYQ786473 KIM786473 KSI786473 LCE786473 LMA786473 LVW786473 MFS786473 MPO786473 MZK786473 NJG786473 NTC786473 OCY786473 OMU786473 OWQ786473 PGM786473 PQI786473 QAE786473 QKA786473 QTW786473 RDS786473 RNO786473 RXK786473 SHG786473 SRC786473 TAY786473 TKU786473 TUQ786473 UEM786473 UOI786473 UYE786473 VIA786473 VRW786473 WBS786473 WLO786473 WVK786473 C852009 IY852009 SU852009 ACQ852009 AMM852009 AWI852009 BGE852009 BQA852009 BZW852009 CJS852009 CTO852009 DDK852009 DNG852009 DXC852009 EGY852009 EQU852009 FAQ852009 FKM852009 FUI852009 GEE852009 GOA852009 GXW852009 HHS852009 HRO852009 IBK852009 ILG852009 IVC852009 JEY852009 JOU852009 JYQ852009 KIM852009 KSI852009 LCE852009 LMA852009 LVW852009 MFS852009 MPO852009 MZK852009 NJG852009 NTC852009 OCY852009 OMU852009 OWQ852009 PGM852009 PQI852009 QAE852009 QKA852009 QTW852009 RDS852009 RNO852009 RXK852009 SHG852009 SRC852009 TAY852009 TKU852009 TUQ852009 UEM852009 UOI852009 UYE852009 VIA852009 VRW852009 WBS852009 WLO852009 WVK852009 C917545 IY917545 SU917545 ACQ917545 AMM917545 AWI917545 BGE917545 BQA917545 BZW917545 CJS917545 CTO917545 DDK917545 DNG917545 DXC917545 EGY917545 EQU917545 FAQ917545 FKM917545 FUI917545 GEE917545 GOA917545 GXW917545 HHS917545 HRO917545 IBK917545 ILG917545 IVC917545 JEY917545 JOU917545 JYQ917545 KIM917545 KSI917545 LCE917545 LMA917545 LVW917545 MFS917545 MPO917545 MZK917545 NJG917545 NTC917545 OCY917545 OMU917545 OWQ917545 PGM917545 PQI917545 QAE917545 QKA917545 QTW917545 RDS917545 RNO917545 RXK917545 SHG917545 SRC917545 TAY917545 TKU917545 TUQ917545 UEM917545 UOI917545 UYE917545 VIA917545 VRW917545 WBS917545 WLO917545 WVK917545 C983081 IY983081 SU983081 ACQ983081 AMM983081 AWI983081 BGE983081 BQA983081 BZW983081 CJS983081 CTO983081 DDK983081 DNG983081 DXC983081 EGY983081 EQU983081 FAQ983081 FKM983081 FUI983081 GEE983081 GOA983081 GXW983081 HHS983081 HRO983081 IBK983081 ILG983081 IVC983081 JEY983081 JOU983081 JYQ983081 KIM983081 KSI983081 LCE983081 LMA983081 LVW983081 MFS983081 MPO983081 MZK983081 NJG983081 NTC983081 OCY983081 OMU983081 OWQ983081 PGM983081 PQI983081 QAE983081 QKA983081 QTW983081 RDS983081 RNO983081 RXK983081 SHG983081 SRC983081 TAY983081 TKU983081 TUQ983081 UEM983081 UOI983081 UYE983081 VIA983081 VRW983081 WBS983081 WLO983081 WVK983081 E41 JA41 SW41 ACS41 AMO41 AWK41 BGG41 BQC41 BZY41 CJU41 CTQ41 DDM41 DNI41 DXE41 EHA41 EQW41 FAS41 FKO41 FUK41 GEG41 GOC41 GXY41 HHU41 HRQ41 IBM41 ILI41 IVE41 JFA41 JOW41 JYS41 KIO41 KSK41 LCG41 LMC41 LVY41 MFU41 MPQ41 MZM41 NJI41 NTE41 ODA41 OMW41 OWS41 PGO41 PQK41 QAG41 QKC41 QTY41 RDU41 RNQ41 RXM41 SHI41 SRE41 TBA41 TKW41 TUS41 UEO41 UOK41 UYG41 VIC41 VRY41 WBU41 WLQ41 WVM41 E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E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E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E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E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E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E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E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E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E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E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E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E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E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E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I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I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I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I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I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I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I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I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I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I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I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I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I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I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I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I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formula1>商业进深比</formula1>
    </dataValidation>
    <dataValidation type="list" allowBlank="1" showInputMessage="1" showErrorMessage="1" sqref="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E37 JA37 SW37 ACS37 AMO37 AWK37 BGG37 BQC37 BZY37 CJU37 CTQ37 DDM37 DNI37 DXE37 EHA37 EQW37 FAS37 FKO37 FUK37 GEG37 GOC37 GXY37 HHU37 HRQ37 IBM37 ILI37 IVE37 JFA37 JOW37 JYS37 KIO37 KSK37 LCG37 LMC37 LVY37 MFU37 MPQ37 MZM37 NJI37 NTE37 ODA37 OMW37 OWS37 PGO37 PQK37 QAG37 QKC37 QTY37 RDU37 RNQ37 RXM37 SHI37 SRE37 TBA37 TKW37 TUS37 UEO37 UOK37 UYG37 VIC37 VRY37 WBU37 WLQ37 WVM37 E65573 JA65573 SW65573 ACS65573 AMO65573 AWK65573 BGG65573 BQC65573 BZY65573 CJU65573 CTQ65573 DDM65573 DNI65573 DXE65573 EHA65573 EQW65573 FAS65573 FKO65573 FUK65573 GEG65573 GOC65573 GXY65573 HHU65573 HRQ65573 IBM65573 ILI65573 IVE65573 JFA65573 JOW65573 JYS65573 KIO65573 KSK65573 LCG65573 LMC65573 LVY65573 MFU65573 MPQ65573 MZM65573 NJI65573 NTE65573 ODA65573 OMW65573 OWS65573 PGO65573 PQK65573 QAG65573 QKC65573 QTY65573 RDU65573 RNQ65573 RXM65573 SHI65573 SRE65573 TBA65573 TKW65573 TUS65573 UEO65573 UOK65573 UYG65573 VIC65573 VRY65573 WBU65573 WLQ65573 WVM65573 E131109 JA131109 SW131109 ACS131109 AMO131109 AWK131109 BGG131109 BQC131109 BZY131109 CJU131109 CTQ131109 DDM131109 DNI131109 DXE131109 EHA131109 EQW131109 FAS131109 FKO131109 FUK131109 GEG131109 GOC131109 GXY131109 HHU131109 HRQ131109 IBM131109 ILI131109 IVE131109 JFA131109 JOW131109 JYS131109 KIO131109 KSK131109 LCG131109 LMC131109 LVY131109 MFU131109 MPQ131109 MZM131109 NJI131109 NTE131109 ODA131109 OMW131109 OWS131109 PGO131109 PQK131109 QAG131109 QKC131109 QTY131109 RDU131109 RNQ131109 RXM131109 SHI131109 SRE131109 TBA131109 TKW131109 TUS131109 UEO131109 UOK131109 UYG131109 VIC131109 VRY131109 WBU131109 WLQ131109 WVM131109 E196645 JA196645 SW196645 ACS196645 AMO196645 AWK196645 BGG196645 BQC196645 BZY196645 CJU196645 CTQ196645 DDM196645 DNI196645 DXE196645 EHA196645 EQW196645 FAS196645 FKO196645 FUK196645 GEG196645 GOC196645 GXY196645 HHU196645 HRQ196645 IBM196645 ILI196645 IVE196645 JFA196645 JOW196645 JYS196645 KIO196645 KSK196645 LCG196645 LMC196645 LVY196645 MFU196645 MPQ196645 MZM196645 NJI196645 NTE196645 ODA196645 OMW196645 OWS196645 PGO196645 PQK196645 QAG196645 QKC196645 QTY196645 RDU196645 RNQ196645 RXM196645 SHI196645 SRE196645 TBA196645 TKW196645 TUS196645 UEO196645 UOK196645 UYG196645 VIC196645 VRY196645 WBU196645 WLQ196645 WVM196645 E262181 JA262181 SW262181 ACS262181 AMO262181 AWK262181 BGG262181 BQC262181 BZY262181 CJU262181 CTQ262181 DDM262181 DNI262181 DXE262181 EHA262181 EQW262181 FAS262181 FKO262181 FUK262181 GEG262181 GOC262181 GXY262181 HHU262181 HRQ262181 IBM262181 ILI262181 IVE262181 JFA262181 JOW262181 JYS262181 KIO262181 KSK262181 LCG262181 LMC262181 LVY262181 MFU262181 MPQ262181 MZM262181 NJI262181 NTE262181 ODA262181 OMW262181 OWS262181 PGO262181 PQK262181 QAG262181 QKC262181 QTY262181 RDU262181 RNQ262181 RXM262181 SHI262181 SRE262181 TBA262181 TKW262181 TUS262181 UEO262181 UOK262181 UYG262181 VIC262181 VRY262181 WBU262181 WLQ262181 WVM262181 E327717 JA327717 SW327717 ACS327717 AMO327717 AWK327717 BGG327717 BQC327717 BZY327717 CJU327717 CTQ327717 DDM327717 DNI327717 DXE327717 EHA327717 EQW327717 FAS327717 FKO327717 FUK327717 GEG327717 GOC327717 GXY327717 HHU327717 HRQ327717 IBM327717 ILI327717 IVE327717 JFA327717 JOW327717 JYS327717 KIO327717 KSK327717 LCG327717 LMC327717 LVY327717 MFU327717 MPQ327717 MZM327717 NJI327717 NTE327717 ODA327717 OMW327717 OWS327717 PGO327717 PQK327717 QAG327717 QKC327717 QTY327717 RDU327717 RNQ327717 RXM327717 SHI327717 SRE327717 TBA327717 TKW327717 TUS327717 UEO327717 UOK327717 UYG327717 VIC327717 VRY327717 WBU327717 WLQ327717 WVM327717 E393253 JA393253 SW393253 ACS393253 AMO393253 AWK393253 BGG393253 BQC393253 BZY393253 CJU393253 CTQ393253 DDM393253 DNI393253 DXE393253 EHA393253 EQW393253 FAS393253 FKO393253 FUK393253 GEG393253 GOC393253 GXY393253 HHU393253 HRQ393253 IBM393253 ILI393253 IVE393253 JFA393253 JOW393253 JYS393253 KIO393253 KSK393253 LCG393253 LMC393253 LVY393253 MFU393253 MPQ393253 MZM393253 NJI393253 NTE393253 ODA393253 OMW393253 OWS393253 PGO393253 PQK393253 QAG393253 QKC393253 QTY393253 RDU393253 RNQ393253 RXM393253 SHI393253 SRE393253 TBA393253 TKW393253 TUS393253 UEO393253 UOK393253 UYG393253 VIC393253 VRY393253 WBU393253 WLQ393253 WVM393253 E458789 JA458789 SW458789 ACS458789 AMO458789 AWK458789 BGG458789 BQC458789 BZY458789 CJU458789 CTQ458789 DDM458789 DNI458789 DXE458789 EHA458789 EQW458789 FAS458789 FKO458789 FUK458789 GEG458789 GOC458789 GXY458789 HHU458789 HRQ458789 IBM458789 ILI458789 IVE458789 JFA458789 JOW458789 JYS458789 KIO458789 KSK458789 LCG458789 LMC458789 LVY458789 MFU458789 MPQ458789 MZM458789 NJI458789 NTE458789 ODA458789 OMW458789 OWS458789 PGO458789 PQK458789 QAG458789 QKC458789 QTY458789 RDU458789 RNQ458789 RXM458789 SHI458789 SRE458789 TBA458789 TKW458789 TUS458789 UEO458789 UOK458789 UYG458789 VIC458789 VRY458789 WBU458789 WLQ458789 WVM458789 E524325 JA524325 SW524325 ACS524325 AMO524325 AWK524325 BGG524325 BQC524325 BZY524325 CJU524325 CTQ524325 DDM524325 DNI524325 DXE524325 EHA524325 EQW524325 FAS524325 FKO524325 FUK524325 GEG524325 GOC524325 GXY524325 HHU524325 HRQ524325 IBM524325 ILI524325 IVE524325 JFA524325 JOW524325 JYS524325 KIO524325 KSK524325 LCG524325 LMC524325 LVY524325 MFU524325 MPQ524325 MZM524325 NJI524325 NTE524325 ODA524325 OMW524325 OWS524325 PGO524325 PQK524325 QAG524325 QKC524325 QTY524325 RDU524325 RNQ524325 RXM524325 SHI524325 SRE524325 TBA524325 TKW524325 TUS524325 UEO524325 UOK524325 UYG524325 VIC524325 VRY524325 WBU524325 WLQ524325 WVM524325 E589861 JA589861 SW589861 ACS589861 AMO589861 AWK589861 BGG589861 BQC589861 BZY589861 CJU589861 CTQ589861 DDM589861 DNI589861 DXE589861 EHA589861 EQW589861 FAS589861 FKO589861 FUK589861 GEG589861 GOC589861 GXY589861 HHU589861 HRQ589861 IBM589861 ILI589861 IVE589861 JFA589861 JOW589861 JYS589861 KIO589861 KSK589861 LCG589861 LMC589861 LVY589861 MFU589861 MPQ589861 MZM589861 NJI589861 NTE589861 ODA589861 OMW589861 OWS589861 PGO589861 PQK589861 QAG589861 QKC589861 QTY589861 RDU589861 RNQ589861 RXM589861 SHI589861 SRE589861 TBA589861 TKW589861 TUS589861 UEO589861 UOK589861 UYG589861 VIC589861 VRY589861 WBU589861 WLQ589861 WVM589861 E655397 JA655397 SW655397 ACS655397 AMO655397 AWK655397 BGG655397 BQC655397 BZY655397 CJU655397 CTQ655397 DDM655397 DNI655397 DXE655397 EHA655397 EQW655397 FAS655397 FKO655397 FUK655397 GEG655397 GOC655397 GXY655397 HHU655397 HRQ655397 IBM655397 ILI655397 IVE655397 JFA655397 JOW655397 JYS655397 KIO655397 KSK655397 LCG655397 LMC655397 LVY655397 MFU655397 MPQ655397 MZM655397 NJI655397 NTE655397 ODA655397 OMW655397 OWS655397 PGO655397 PQK655397 QAG655397 QKC655397 QTY655397 RDU655397 RNQ655397 RXM655397 SHI655397 SRE655397 TBA655397 TKW655397 TUS655397 UEO655397 UOK655397 UYG655397 VIC655397 VRY655397 WBU655397 WLQ655397 WVM655397 E720933 JA720933 SW720933 ACS720933 AMO720933 AWK720933 BGG720933 BQC720933 BZY720933 CJU720933 CTQ720933 DDM720933 DNI720933 DXE720933 EHA720933 EQW720933 FAS720933 FKO720933 FUK720933 GEG720933 GOC720933 GXY720933 HHU720933 HRQ720933 IBM720933 ILI720933 IVE720933 JFA720933 JOW720933 JYS720933 KIO720933 KSK720933 LCG720933 LMC720933 LVY720933 MFU720933 MPQ720933 MZM720933 NJI720933 NTE720933 ODA720933 OMW720933 OWS720933 PGO720933 PQK720933 QAG720933 QKC720933 QTY720933 RDU720933 RNQ720933 RXM720933 SHI720933 SRE720933 TBA720933 TKW720933 TUS720933 UEO720933 UOK720933 UYG720933 VIC720933 VRY720933 WBU720933 WLQ720933 WVM720933 E786469 JA786469 SW786469 ACS786469 AMO786469 AWK786469 BGG786469 BQC786469 BZY786469 CJU786469 CTQ786469 DDM786469 DNI786469 DXE786469 EHA786469 EQW786469 FAS786469 FKO786469 FUK786469 GEG786469 GOC786469 GXY786469 HHU786469 HRQ786469 IBM786469 ILI786469 IVE786469 JFA786469 JOW786469 JYS786469 KIO786469 KSK786469 LCG786469 LMC786469 LVY786469 MFU786469 MPQ786469 MZM786469 NJI786469 NTE786469 ODA786469 OMW786469 OWS786469 PGO786469 PQK786469 QAG786469 QKC786469 QTY786469 RDU786469 RNQ786469 RXM786469 SHI786469 SRE786469 TBA786469 TKW786469 TUS786469 UEO786469 UOK786469 UYG786469 VIC786469 VRY786469 WBU786469 WLQ786469 WVM786469 E852005 JA852005 SW852005 ACS852005 AMO852005 AWK852005 BGG852005 BQC852005 BZY852005 CJU852005 CTQ852005 DDM852005 DNI852005 DXE852005 EHA852005 EQW852005 FAS852005 FKO852005 FUK852005 GEG852005 GOC852005 GXY852005 HHU852005 HRQ852005 IBM852005 ILI852005 IVE852005 JFA852005 JOW852005 JYS852005 KIO852005 KSK852005 LCG852005 LMC852005 LVY852005 MFU852005 MPQ852005 MZM852005 NJI852005 NTE852005 ODA852005 OMW852005 OWS852005 PGO852005 PQK852005 QAG852005 QKC852005 QTY852005 RDU852005 RNQ852005 RXM852005 SHI852005 SRE852005 TBA852005 TKW852005 TUS852005 UEO852005 UOK852005 UYG852005 VIC852005 VRY852005 WBU852005 WLQ852005 WVM852005 E917541 JA917541 SW917541 ACS917541 AMO917541 AWK917541 BGG917541 BQC917541 BZY917541 CJU917541 CTQ917541 DDM917541 DNI917541 DXE917541 EHA917541 EQW917541 FAS917541 FKO917541 FUK917541 GEG917541 GOC917541 GXY917541 HHU917541 HRQ917541 IBM917541 ILI917541 IVE917541 JFA917541 JOW917541 JYS917541 KIO917541 KSK917541 LCG917541 LMC917541 LVY917541 MFU917541 MPQ917541 MZM917541 NJI917541 NTE917541 ODA917541 OMW917541 OWS917541 PGO917541 PQK917541 QAG917541 QKC917541 QTY917541 RDU917541 RNQ917541 RXM917541 SHI917541 SRE917541 TBA917541 TKW917541 TUS917541 UEO917541 UOK917541 UYG917541 VIC917541 VRY917541 WBU917541 WLQ917541 WVM917541 E983077 JA983077 SW983077 ACS983077 AMO983077 AWK983077 BGG983077 BQC983077 BZY983077 CJU983077 CTQ983077 DDM983077 DNI983077 DXE983077 EHA983077 EQW983077 FAS983077 FKO983077 FUK983077 GEG983077 GOC983077 GXY983077 HHU983077 HRQ983077 IBM983077 ILI983077 IVE983077 JFA983077 JOW983077 JYS983077 KIO983077 KSK983077 LCG983077 LMC983077 LVY983077 MFU983077 MPQ983077 MZM983077 NJI983077 NTE983077 ODA983077 OMW983077 OWS983077 PGO983077 PQK983077 QAG983077 QKC983077 QTY983077 RDU983077 RNQ983077 RXM983077 SHI983077 SRE983077 TBA983077 TKW983077 TUS983077 UEO983077 UOK983077 UYG983077 VIC983077 VRY983077 WBU983077 WLQ983077 WVM983077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I37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I65573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I131109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I196645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I262181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I327717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I393253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I458789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I524325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I589861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I655397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I720933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I786469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I852005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I917541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I983077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formula1>商业基础设施水平</formula1>
    </dataValidation>
    <dataValidation type="list" allowBlank="1" showInputMessage="1" showErrorMessage="1" sqref="C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C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C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C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C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C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C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C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C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C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C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C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C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C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C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C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E35 JA35 SW35 ACS35 AMO35 AWK35 BGG35 BQC35 BZY35 CJU35 CTQ35 DDM35 DNI35 DXE35 EHA35 EQW35 FAS35 FKO35 FUK35 GEG35 GOC35 GXY35 HHU35 HRQ35 IBM35 ILI35 IVE35 JFA35 JOW35 JYS35 KIO35 KSK35 LCG35 LMC35 LVY35 MFU35 MPQ35 MZM35 NJI35 NTE35 ODA35 OMW35 OWS35 PGO35 PQK35 QAG35 QKC35 QTY35 RDU35 RNQ35 RXM35 SHI35 SRE35 TBA35 TKW35 TUS35 UEO35 UOK35 UYG35 VIC35 VRY35 WBU35 WLQ35 WVM35 E65571 JA65571 SW65571 ACS65571 AMO65571 AWK65571 BGG65571 BQC65571 BZY65571 CJU65571 CTQ65571 DDM65571 DNI65571 DXE65571 EHA65571 EQW65571 FAS65571 FKO65571 FUK65571 GEG65571 GOC65571 GXY65571 HHU65571 HRQ65571 IBM65571 ILI65571 IVE65571 JFA65571 JOW65571 JYS65571 KIO65571 KSK65571 LCG65571 LMC65571 LVY65571 MFU65571 MPQ65571 MZM65571 NJI65571 NTE65571 ODA65571 OMW65571 OWS65571 PGO65571 PQK65571 QAG65571 QKC65571 QTY65571 RDU65571 RNQ65571 RXM65571 SHI65571 SRE65571 TBA65571 TKW65571 TUS65571 UEO65571 UOK65571 UYG65571 VIC65571 VRY65571 WBU65571 WLQ65571 WVM65571 E131107 JA131107 SW131107 ACS131107 AMO131107 AWK131107 BGG131107 BQC131107 BZY131107 CJU131107 CTQ131107 DDM131107 DNI131107 DXE131107 EHA131107 EQW131107 FAS131107 FKO131107 FUK131107 GEG131107 GOC131107 GXY131107 HHU131107 HRQ131107 IBM131107 ILI131107 IVE131107 JFA131107 JOW131107 JYS131107 KIO131107 KSK131107 LCG131107 LMC131107 LVY131107 MFU131107 MPQ131107 MZM131107 NJI131107 NTE131107 ODA131107 OMW131107 OWS131107 PGO131107 PQK131107 QAG131107 QKC131107 QTY131107 RDU131107 RNQ131107 RXM131107 SHI131107 SRE131107 TBA131107 TKW131107 TUS131107 UEO131107 UOK131107 UYG131107 VIC131107 VRY131107 WBU131107 WLQ131107 WVM131107 E196643 JA196643 SW196643 ACS196643 AMO196643 AWK196643 BGG196643 BQC196643 BZY196643 CJU196643 CTQ196643 DDM196643 DNI196643 DXE196643 EHA196643 EQW196643 FAS196643 FKO196643 FUK196643 GEG196643 GOC196643 GXY196643 HHU196643 HRQ196643 IBM196643 ILI196643 IVE196643 JFA196643 JOW196643 JYS196643 KIO196643 KSK196643 LCG196643 LMC196643 LVY196643 MFU196643 MPQ196643 MZM196643 NJI196643 NTE196643 ODA196643 OMW196643 OWS196643 PGO196643 PQK196643 QAG196643 QKC196643 QTY196643 RDU196643 RNQ196643 RXM196643 SHI196643 SRE196643 TBA196643 TKW196643 TUS196643 UEO196643 UOK196643 UYG196643 VIC196643 VRY196643 WBU196643 WLQ196643 WVM196643 E262179 JA262179 SW262179 ACS262179 AMO262179 AWK262179 BGG262179 BQC262179 BZY262179 CJU262179 CTQ262179 DDM262179 DNI262179 DXE262179 EHA262179 EQW262179 FAS262179 FKO262179 FUK262179 GEG262179 GOC262179 GXY262179 HHU262179 HRQ262179 IBM262179 ILI262179 IVE262179 JFA262179 JOW262179 JYS262179 KIO262179 KSK262179 LCG262179 LMC262179 LVY262179 MFU262179 MPQ262179 MZM262179 NJI262179 NTE262179 ODA262179 OMW262179 OWS262179 PGO262179 PQK262179 QAG262179 QKC262179 QTY262179 RDU262179 RNQ262179 RXM262179 SHI262179 SRE262179 TBA262179 TKW262179 TUS262179 UEO262179 UOK262179 UYG262179 VIC262179 VRY262179 WBU262179 WLQ262179 WVM262179 E327715 JA327715 SW327715 ACS327715 AMO327715 AWK327715 BGG327715 BQC327715 BZY327715 CJU327715 CTQ327715 DDM327715 DNI327715 DXE327715 EHA327715 EQW327715 FAS327715 FKO327715 FUK327715 GEG327715 GOC327715 GXY327715 HHU327715 HRQ327715 IBM327715 ILI327715 IVE327715 JFA327715 JOW327715 JYS327715 KIO327715 KSK327715 LCG327715 LMC327715 LVY327715 MFU327715 MPQ327715 MZM327715 NJI327715 NTE327715 ODA327715 OMW327715 OWS327715 PGO327715 PQK327715 QAG327715 QKC327715 QTY327715 RDU327715 RNQ327715 RXM327715 SHI327715 SRE327715 TBA327715 TKW327715 TUS327715 UEO327715 UOK327715 UYG327715 VIC327715 VRY327715 WBU327715 WLQ327715 WVM327715 E393251 JA393251 SW393251 ACS393251 AMO393251 AWK393251 BGG393251 BQC393251 BZY393251 CJU393251 CTQ393251 DDM393251 DNI393251 DXE393251 EHA393251 EQW393251 FAS393251 FKO393251 FUK393251 GEG393251 GOC393251 GXY393251 HHU393251 HRQ393251 IBM393251 ILI393251 IVE393251 JFA393251 JOW393251 JYS393251 KIO393251 KSK393251 LCG393251 LMC393251 LVY393251 MFU393251 MPQ393251 MZM393251 NJI393251 NTE393251 ODA393251 OMW393251 OWS393251 PGO393251 PQK393251 QAG393251 QKC393251 QTY393251 RDU393251 RNQ393251 RXM393251 SHI393251 SRE393251 TBA393251 TKW393251 TUS393251 UEO393251 UOK393251 UYG393251 VIC393251 VRY393251 WBU393251 WLQ393251 WVM393251 E458787 JA458787 SW458787 ACS458787 AMO458787 AWK458787 BGG458787 BQC458787 BZY458787 CJU458787 CTQ458787 DDM458787 DNI458787 DXE458787 EHA458787 EQW458787 FAS458787 FKO458787 FUK458787 GEG458787 GOC458787 GXY458787 HHU458787 HRQ458787 IBM458787 ILI458787 IVE458787 JFA458787 JOW458787 JYS458787 KIO458787 KSK458787 LCG458787 LMC458787 LVY458787 MFU458787 MPQ458787 MZM458787 NJI458787 NTE458787 ODA458787 OMW458787 OWS458787 PGO458787 PQK458787 QAG458787 QKC458787 QTY458787 RDU458787 RNQ458787 RXM458787 SHI458787 SRE458787 TBA458787 TKW458787 TUS458787 UEO458787 UOK458787 UYG458787 VIC458787 VRY458787 WBU458787 WLQ458787 WVM458787 E524323 JA524323 SW524323 ACS524323 AMO524323 AWK524323 BGG524323 BQC524323 BZY524323 CJU524323 CTQ524323 DDM524323 DNI524323 DXE524323 EHA524323 EQW524323 FAS524323 FKO524323 FUK524323 GEG524323 GOC524323 GXY524323 HHU524323 HRQ524323 IBM524323 ILI524323 IVE524323 JFA524323 JOW524323 JYS524323 KIO524323 KSK524323 LCG524323 LMC524323 LVY524323 MFU524323 MPQ524323 MZM524323 NJI524323 NTE524323 ODA524323 OMW524323 OWS524323 PGO524323 PQK524323 QAG524323 QKC524323 QTY524323 RDU524323 RNQ524323 RXM524323 SHI524323 SRE524323 TBA524323 TKW524323 TUS524323 UEO524323 UOK524323 UYG524323 VIC524323 VRY524323 WBU524323 WLQ524323 WVM524323 E589859 JA589859 SW589859 ACS589859 AMO589859 AWK589859 BGG589859 BQC589859 BZY589859 CJU589859 CTQ589859 DDM589859 DNI589859 DXE589859 EHA589859 EQW589859 FAS589859 FKO589859 FUK589859 GEG589859 GOC589859 GXY589859 HHU589859 HRQ589859 IBM589859 ILI589859 IVE589859 JFA589859 JOW589859 JYS589859 KIO589859 KSK589859 LCG589859 LMC589859 LVY589859 MFU589859 MPQ589859 MZM589859 NJI589859 NTE589859 ODA589859 OMW589859 OWS589859 PGO589859 PQK589859 QAG589859 QKC589859 QTY589859 RDU589859 RNQ589859 RXM589859 SHI589859 SRE589859 TBA589859 TKW589859 TUS589859 UEO589859 UOK589859 UYG589859 VIC589859 VRY589859 WBU589859 WLQ589859 WVM589859 E655395 JA655395 SW655395 ACS655395 AMO655395 AWK655395 BGG655395 BQC655395 BZY655395 CJU655395 CTQ655395 DDM655395 DNI655395 DXE655395 EHA655395 EQW655395 FAS655395 FKO655395 FUK655395 GEG655395 GOC655395 GXY655395 HHU655395 HRQ655395 IBM655395 ILI655395 IVE655395 JFA655395 JOW655395 JYS655395 KIO655395 KSK655395 LCG655395 LMC655395 LVY655395 MFU655395 MPQ655395 MZM655395 NJI655395 NTE655395 ODA655395 OMW655395 OWS655395 PGO655395 PQK655395 QAG655395 QKC655395 QTY655395 RDU655395 RNQ655395 RXM655395 SHI655395 SRE655395 TBA655395 TKW655395 TUS655395 UEO655395 UOK655395 UYG655395 VIC655395 VRY655395 WBU655395 WLQ655395 WVM655395 E720931 JA720931 SW720931 ACS720931 AMO720931 AWK720931 BGG720931 BQC720931 BZY720931 CJU720931 CTQ720931 DDM720931 DNI720931 DXE720931 EHA720931 EQW720931 FAS720931 FKO720931 FUK720931 GEG720931 GOC720931 GXY720931 HHU720931 HRQ720931 IBM720931 ILI720931 IVE720931 JFA720931 JOW720931 JYS720931 KIO720931 KSK720931 LCG720931 LMC720931 LVY720931 MFU720931 MPQ720931 MZM720931 NJI720931 NTE720931 ODA720931 OMW720931 OWS720931 PGO720931 PQK720931 QAG720931 QKC720931 QTY720931 RDU720931 RNQ720931 RXM720931 SHI720931 SRE720931 TBA720931 TKW720931 TUS720931 UEO720931 UOK720931 UYG720931 VIC720931 VRY720931 WBU720931 WLQ720931 WVM720931 E786467 JA786467 SW786467 ACS786467 AMO786467 AWK786467 BGG786467 BQC786467 BZY786467 CJU786467 CTQ786467 DDM786467 DNI786467 DXE786467 EHA786467 EQW786467 FAS786467 FKO786467 FUK786467 GEG786467 GOC786467 GXY786467 HHU786467 HRQ786467 IBM786467 ILI786467 IVE786467 JFA786467 JOW786467 JYS786467 KIO786467 KSK786467 LCG786467 LMC786467 LVY786467 MFU786467 MPQ786467 MZM786467 NJI786467 NTE786467 ODA786467 OMW786467 OWS786467 PGO786467 PQK786467 QAG786467 QKC786467 QTY786467 RDU786467 RNQ786467 RXM786467 SHI786467 SRE786467 TBA786467 TKW786467 TUS786467 UEO786467 UOK786467 UYG786467 VIC786467 VRY786467 WBU786467 WLQ786467 WVM786467 E852003 JA852003 SW852003 ACS852003 AMO852003 AWK852003 BGG852003 BQC852003 BZY852003 CJU852003 CTQ852003 DDM852003 DNI852003 DXE852003 EHA852003 EQW852003 FAS852003 FKO852003 FUK852003 GEG852003 GOC852003 GXY852003 HHU852003 HRQ852003 IBM852003 ILI852003 IVE852003 JFA852003 JOW852003 JYS852003 KIO852003 KSK852003 LCG852003 LMC852003 LVY852003 MFU852003 MPQ852003 MZM852003 NJI852003 NTE852003 ODA852003 OMW852003 OWS852003 PGO852003 PQK852003 QAG852003 QKC852003 QTY852003 RDU852003 RNQ852003 RXM852003 SHI852003 SRE852003 TBA852003 TKW852003 TUS852003 UEO852003 UOK852003 UYG852003 VIC852003 VRY852003 WBU852003 WLQ852003 WVM852003 E917539 JA917539 SW917539 ACS917539 AMO917539 AWK917539 BGG917539 BQC917539 BZY917539 CJU917539 CTQ917539 DDM917539 DNI917539 DXE917539 EHA917539 EQW917539 FAS917539 FKO917539 FUK917539 GEG917539 GOC917539 GXY917539 HHU917539 HRQ917539 IBM917539 ILI917539 IVE917539 JFA917539 JOW917539 JYS917539 KIO917539 KSK917539 LCG917539 LMC917539 LVY917539 MFU917539 MPQ917539 MZM917539 NJI917539 NTE917539 ODA917539 OMW917539 OWS917539 PGO917539 PQK917539 QAG917539 QKC917539 QTY917539 RDU917539 RNQ917539 RXM917539 SHI917539 SRE917539 TBA917539 TKW917539 TUS917539 UEO917539 UOK917539 UYG917539 VIC917539 VRY917539 WBU917539 WLQ917539 WVM917539 E983075 JA983075 SW983075 ACS983075 AMO983075 AWK983075 BGG983075 BQC983075 BZY983075 CJU983075 CTQ983075 DDM983075 DNI983075 DXE983075 EHA983075 EQW983075 FAS983075 FKO983075 FUK983075 GEG983075 GOC983075 GXY983075 HHU983075 HRQ983075 IBM983075 ILI983075 IVE983075 JFA983075 JOW983075 JYS983075 KIO983075 KSK983075 LCG983075 LMC983075 LVY983075 MFU983075 MPQ983075 MZM983075 NJI983075 NTE983075 ODA983075 OMW983075 OWS983075 PGO983075 PQK983075 QAG983075 QKC983075 QTY983075 RDU983075 RNQ983075 RXM983075 SHI983075 SRE983075 TBA983075 TKW983075 TUS983075 UEO983075 UOK983075 UYG983075 VIC983075 VRY983075 WBU983075 WLQ983075 WVM983075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1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7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3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79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5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1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7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3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59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5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1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7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3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39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5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I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I65571 JE65571 TA65571 ACW65571 AMS65571 AWO65571 BGK65571 BQG65571 CAC65571 CJY65571 CTU65571 DDQ65571 DNM65571 DXI65571 EHE65571 ERA65571 FAW65571 FKS65571 FUO65571 GEK65571 GOG65571 GYC65571 HHY65571 HRU65571 IBQ65571 ILM65571 IVI65571 JFE65571 JPA65571 JYW65571 KIS65571 KSO65571 LCK65571 LMG65571 LWC65571 MFY65571 MPU65571 MZQ65571 NJM65571 NTI65571 ODE65571 ONA65571 OWW65571 PGS65571 PQO65571 QAK65571 QKG65571 QUC65571 RDY65571 RNU65571 RXQ65571 SHM65571 SRI65571 TBE65571 TLA65571 TUW65571 UES65571 UOO65571 UYK65571 VIG65571 VSC65571 WBY65571 WLU65571 WVQ65571 I131107 JE131107 TA131107 ACW131107 AMS131107 AWO131107 BGK131107 BQG131107 CAC131107 CJY131107 CTU131107 DDQ131107 DNM131107 DXI131107 EHE131107 ERA131107 FAW131107 FKS131107 FUO131107 GEK131107 GOG131107 GYC131107 HHY131107 HRU131107 IBQ131107 ILM131107 IVI131107 JFE131107 JPA131107 JYW131107 KIS131107 KSO131107 LCK131107 LMG131107 LWC131107 MFY131107 MPU131107 MZQ131107 NJM131107 NTI131107 ODE131107 ONA131107 OWW131107 PGS131107 PQO131107 QAK131107 QKG131107 QUC131107 RDY131107 RNU131107 RXQ131107 SHM131107 SRI131107 TBE131107 TLA131107 TUW131107 UES131107 UOO131107 UYK131107 VIG131107 VSC131107 WBY131107 WLU131107 WVQ131107 I196643 JE196643 TA196643 ACW196643 AMS196643 AWO196643 BGK196643 BQG196643 CAC196643 CJY196643 CTU196643 DDQ196643 DNM196643 DXI196643 EHE196643 ERA196643 FAW196643 FKS196643 FUO196643 GEK196643 GOG196643 GYC196643 HHY196643 HRU196643 IBQ196643 ILM196643 IVI196643 JFE196643 JPA196643 JYW196643 KIS196643 KSO196643 LCK196643 LMG196643 LWC196643 MFY196643 MPU196643 MZQ196643 NJM196643 NTI196643 ODE196643 ONA196643 OWW196643 PGS196643 PQO196643 QAK196643 QKG196643 QUC196643 RDY196643 RNU196643 RXQ196643 SHM196643 SRI196643 TBE196643 TLA196643 TUW196643 UES196643 UOO196643 UYK196643 VIG196643 VSC196643 WBY196643 WLU196643 WVQ196643 I262179 JE262179 TA262179 ACW262179 AMS262179 AWO262179 BGK262179 BQG262179 CAC262179 CJY262179 CTU262179 DDQ262179 DNM262179 DXI262179 EHE262179 ERA262179 FAW262179 FKS262179 FUO262179 GEK262179 GOG262179 GYC262179 HHY262179 HRU262179 IBQ262179 ILM262179 IVI262179 JFE262179 JPA262179 JYW262179 KIS262179 KSO262179 LCK262179 LMG262179 LWC262179 MFY262179 MPU262179 MZQ262179 NJM262179 NTI262179 ODE262179 ONA262179 OWW262179 PGS262179 PQO262179 QAK262179 QKG262179 QUC262179 RDY262179 RNU262179 RXQ262179 SHM262179 SRI262179 TBE262179 TLA262179 TUW262179 UES262179 UOO262179 UYK262179 VIG262179 VSC262179 WBY262179 WLU262179 WVQ262179 I327715 JE327715 TA327715 ACW327715 AMS327715 AWO327715 BGK327715 BQG327715 CAC327715 CJY327715 CTU327715 DDQ327715 DNM327715 DXI327715 EHE327715 ERA327715 FAW327715 FKS327715 FUO327715 GEK327715 GOG327715 GYC327715 HHY327715 HRU327715 IBQ327715 ILM327715 IVI327715 JFE327715 JPA327715 JYW327715 KIS327715 KSO327715 LCK327715 LMG327715 LWC327715 MFY327715 MPU327715 MZQ327715 NJM327715 NTI327715 ODE327715 ONA327715 OWW327715 PGS327715 PQO327715 QAK327715 QKG327715 QUC327715 RDY327715 RNU327715 RXQ327715 SHM327715 SRI327715 TBE327715 TLA327715 TUW327715 UES327715 UOO327715 UYK327715 VIG327715 VSC327715 WBY327715 WLU327715 WVQ327715 I393251 JE393251 TA393251 ACW393251 AMS393251 AWO393251 BGK393251 BQG393251 CAC393251 CJY393251 CTU393251 DDQ393251 DNM393251 DXI393251 EHE393251 ERA393251 FAW393251 FKS393251 FUO393251 GEK393251 GOG393251 GYC393251 HHY393251 HRU393251 IBQ393251 ILM393251 IVI393251 JFE393251 JPA393251 JYW393251 KIS393251 KSO393251 LCK393251 LMG393251 LWC393251 MFY393251 MPU393251 MZQ393251 NJM393251 NTI393251 ODE393251 ONA393251 OWW393251 PGS393251 PQO393251 QAK393251 QKG393251 QUC393251 RDY393251 RNU393251 RXQ393251 SHM393251 SRI393251 TBE393251 TLA393251 TUW393251 UES393251 UOO393251 UYK393251 VIG393251 VSC393251 WBY393251 WLU393251 WVQ393251 I458787 JE458787 TA458787 ACW458787 AMS458787 AWO458787 BGK458787 BQG458787 CAC458787 CJY458787 CTU458787 DDQ458787 DNM458787 DXI458787 EHE458787 ERA458787 FAW458787 FKS458787 FUO458787 GEK458787 GOG458787 GYC458787 HHY458787 HRU458787 IBQ458787 ILM458787 IVI458787 JFE458787 JPA458787 JYW458787 KIS458787 KSO458787 LCK458787 LMG458787 LWC458787 MFY458787 MPU458787 MZQ458787 NJM458787 NTI458787 ODE458787 ONA458787 OWW458787 PGS458787 PQO458787 QAK458787 QKG458787 QUC458787 RDY458787 RNU458787 RXQ458787 SHM458787 SRI458787 TBE458787 TLA458787 TUW458787 UES458787 UOO458787 UYK458787 VIG458787 VSC458787 WBY458787 WLU458787 WVQ458787 I524323 JE524323 TA524323 ACW524323 AMS524323 AWO524323 BGK524323 BQG524323 CAC524323 CJY524323 CTU524323 DDQ524323 DNM524323 DXI524323 EHE524323 ERA524323 FAW524323 FKS524323 FUO524323 GEK524323 GOG524323 GYC524323 HHY524323 HRU524323 IBQ524323 ILM524323 IVI524323 JFE524323 JPA524323 JYW524323 KIS524323 KSO524323 LCK524323 LMG524323 LWC524323 MFY524323 MPU524323 MZQ524323 NJM524323 NTI524323 ODE524323 ONA524323 OWW524323 PGS524323 PQO524323 QAK524323 QKG524323 QUC524323 RDY524323 RNU524323 RXQ524323 SHM524323 SRI524323 TBE524323 TLA524323 TUW524323 UES524323 UOO524323 UYK524323 VIG524323 VSC524323 WBY524323 WLU524323 WVQ524323 I589859 JE589859 TA589859 ACW589859 AMS589859 AWO589859 BGK589859 BQG589859 CAC589859 CJY589859 CTU589859 DDQ589859 DNM589859 DXI589859 EHE589859 ERA589859 FAW589859 FKS589859 FUO589859 GEK589859 GOG589859 GYC589859 HHY589859 HRU589859 IBQ589859 ILM589859 IVI589859 JFE589859 JPA589859 JYW589859 KIS589859 KSO589859 LCK589859 LMG589859 LWC589859 MFY589859 MPU589859 MZQ589859 NJM589859 NTI589859 ODE589859 ONA589859 OWW589859 PGS589859 PQO589859 QAK589859 QKG589859 QUC589859 RDY589859 RNU589859 RXQ589859 SHM589859 SRI589859 TBE589859 TLA589859 TUW589859 UES589859 UOO589859 UYK589859 VIG589859 VSC589859 WBY589859 WLU589859 WVQ589859 I655395 JE655395 TA655395 ACW655395 AMS655395 AWO655395 BGK655395 BQG655395 CAC655395 CJY655395 CTU655395 DDQ655395 DNM655395 DXI655395 EHE655395 ERA655395 FAW655395 FKS655395 FUO655395 GEK655395 GOG655395 GYC655395 HHY655395 HRU655395 IBQ655395 ILM655395 IVI655395 JFE655395 JPA655395 JYW655395 KIS655395 KSO655395 LCK655395 LMG655395 LWC655395 MFY655395 MPU655395 MZQ655395 NJM655395 NTI655395 ODE655395 ONA655395 OWW655395 PGS655395 PQO655395 QAK655395 QKG655395 QUC655395 RDY655395 RNU655395 RXQ655395 SHM655395 SRI655395 TBE655395 TLA655395 TUW655395 UES655395 UOO655395 UYK655395 VIG655395 VSC655395 WBY655395 WLU655395 WVQ655395 I720931 JE720931 TA720931 ACW720931 AMS720931 AWO720931 BGK720931 BQG720931 CAC720931 CJY720931 CTU720931 DDQ720931 DNM720931 DXI720931 EHE720931 ERA720931 FAW720931 FKS720931 FUO720931 GEK720931 GOG720931 GYC720931 HHY720931 HRU720931 IBQ720931 ILM720931 IVI720931 JFE720931 JPA720931 JYW720931 KIS720931 KSO720931 LCK720931 LMG720931 LWC720931 MFY720931 MPU720931 MZQ720931 NJM720931 NTI720931 ODE720931 ONA720931 OWW720931 PGS720931 PQO720931 QAK720931 QKG720931 QUC720931 RDY720931 RNU720931 RXQ720931 SHM720931 SRI720931 TBE720931 TLA720931 TUW720931 UES720931 UOO720931 UYK720931 VIG720931 VSC720931 WBY720931 WLU720931 WVQ720931 I786467 JE786467 TA786467 ACW786467 AMS786467 AWO786467 BGK786467 BQG786467 CAC786467 CJY786467 CTU786467 DDQ786467 DNM786467 DXI786467 EHE786467 ERA786467 FAW786467 FKS786467 FUO786467 GEK786467 GOG786467 GYC786467 HHY786467 HRU786467 IBQ786467 ILM786467 IVI786467 JFE786467 JPA786467 JYW786467 KIS786467 KSO786467 LCK786467 LMG786467 LWC786467 MFY786467 MPU786467 MZQ786467 NJM786467 NTI786467 ODE786467 ONA786467 OWW786467 PGS786467 PQO786467 QAK786467 QKG786467 QUC786467 RDY786467 RNU786467 RXQ786467 SHM786467 SRI786467 TBE786467 TLA786467 TUW786467 UES786467 UOO786467 UYK786467 VIG786467 VSC786467 WBY786467 WLU786467 WVQ786467 I852003 JE852003 TA852003 ACW852003 AMS852003 AWO852003 BGK852003 BQG852003 CAC852003 CJY852003 CTU852003 DDQ852003 DNM852003 DXI852003 EHE852003 ERA852003 FAW852003 FKS852003 FUO852003 GEK852003 GOG852003 GYC852003 HHY852003 HRU852003 IBQ852003 ILM852003 IVI852003 JFE852003 JPA852003 JYW852003 KIS852003 KSO852003 LCK852003 LMG852003 LWC852003 MFY852003 MPU852003 MZQ852003 NJM852003 NTI852003 ODE852003 ONA852003 OWW852003 PGS852003 PQO852003 QAK852003 QKG852003 QUC852003 RDY852003 RNU852003 RXQ852003 SHM852003 SRI852003 TBE852003 TLA852003 TUW852003 UES852003 UOO852003 UYK852003 VIG852003 VSC852003 WBY852003 WLU852003 WVQ852003 I917539 JE917539 TA917539 ACW917539 AMS917539 AWO917539 BGK917539 BQG917539 CAC917539 CJY917539 CTU917539 DDQ917539 DNM917539 DXI917539 EHE917539 ERA917539 FAW917539 FKS917539 FUO917539 GEK917539 GOG917539 GYC917539 HHY917539 HRU917539 IBQ917539 ILM917539 IVI917539 JFE917539 JPA917539 JYW917539 KIS917539 KSO917539 LCK917539 LMG917539 LWC917539 MFY917539 MPU917539 MZQ917539 NJM917539 NTI917539 ODE917539 ONA917539 OWW917539 PGS917539 PQO917539 QAK917539 QKG917539 QUC917539 RDY917539 RNU917539 RXQ917539 SHM917539 SRI917539 TBE917539 TLA917539 TUW917539 UES917539 UOO917539 UYK917539 VIG917539 VSC917539 WBY917539 WLU917539 WVQ917539 I983075 JE983075 TA983075 ACW983075 AMS983075 AWO983075 BGK983075 BQG983075 CAC983075 CJY983075 CTU983075 DDQ983075 DNM983075 DXI983075 EHE983075 ERA983075 FAW983075 FKS983075 FUO983075 GEK983075 GOG983075 GYC983075 HHY983075 HRU983075 IBQ983075 ILM983075 IVI983075 JFE983075 JPA983075 JYW983075 KIS983075 KSO983075 LCK983075 LMG983075 LWC983075 MFY983075 MPU983075 MZQ983075 NJM983075 NTI983075 ODE983075 ONA983075 OWW983075 PGS983075 PQO983075 QAK983075 QKG983075 QUC983075 RDY983075 RNU983075 RXQ983075 SHM983075 SRI983075 TBE983075 TLA983075 TUW983075 UES983075 UOO983075 UYK983075 VIG983075 VSC983075 WBY983075 WLU983075 WVQ983075">
      <formula1>商业公共部分装修</formula1>
    </dataValidation>
    <dataValidation type="list" allowBlank="1" showInputMessage="1" showErrorMessage="1" sqref="C34 IY34 SU34 ACQ34 AMM34 AWI34 BGE34 BQA34 BZW34 CJS34 CTO34 DDK34 DNG34 DXC34 EGY34 EQU34 FAQ34 FKM34 FUI34 GEE34 GOA34 GXW34 HHS34 HRO34 IBK34 ILG34 IVC34 JEY34 JOU34 JYQ34 KIM34 KSI34 LCE34 LMA34 LVW34 MFS34 MPO34 MZK34 NJG34 NTC34 OCY34 OMU34 OWQ34 PGM34 PQI34 QAE34 QKA34 QTW34 RDS34 RNO34 RXK34 SHG34 SRC34 TAY34 TKU34 TUQ34 UEM34 UOI34 UYE34 VIA34 VRW34 WBS34 WLO34 WVK34 C65570 IY65570 SU65570 ACQ65570 AMM65570 AWI65570 BGE65570 BQA65570 BZW65570 CJS65570 CTO65570 DDK65570 DNG65570 DXC65570 EGY65570 EQU65570 FAQ65570 FKM65570 FUI65570 GEE65570 GOA65570 GXW65570 HHS65570 HRO65570 IBK65570 ILG65570 IVC65570 JEY65570 JOU65570 JYQ65570 KIM65570 KSI65570 LCE65570 LMA65570 LVW65570 MFS65570 MPO65570 MZK65570 NJG65570 NTC65570 OCY65570 OMU65570 OWQ65570 PGM65570 PQI65570 QAE65570 QKA65570 QTW65570 RDS65570 RNO65570 RXK65570 SHG65570 SRC65570 TAY65570 TKU65570 TUQ65570 UEM65570 UOI65570 UYE65570 VIA65570 VRW65570 WBS65570 WLO65570 WVK65570 C131106 IY131106 SU131106 ACQ131106 AMM131106 AWI131106 BGE131106 BQA131106 BZW131106 CJS131106 CTO131106 DDK131106 DNG131106 DXC131106 EGY131106 EQU131106 FAQ131106 FKM131106 FUI131106 GEE131106 GOA131106 GXW131106 HHS131106 HRO131106 IBK131106 ILG131106 IVC131106 JEY131106 JOU131106 JYQ131106 KIM131106 KSI131106 LCE131106 LMA131106 LVW131106 MFS131106 MPO131106 MZK131106 NJG131106 NTC131106 OCY131106 OMU131106 OWQ131106 PGM131106 PQI131106 QAE131106 QKA131106 QTW131106 RDS131106 RNO131106 RXK131106 SHG131106 SRC131106 TAY131106 TKU131106 TUQ131106 UEM131106 UOI131106 UYE131106 VIA131106 VRW131106 WBS131106 WLO131106 WVK131106 C196642 IY196642 SU196642 ACQ196642 AMM196642 AWI196642 BGE196642 BQA196642 BZW196642 CJS196642 CTO196642 DDK196642 DNG196642 DXC196642 EGY196642 EQU196642 FAQ196642 FKM196642 FUI196642 GEE196642 GOA196642 GXW196642 HHS196642 HRO196642 IBK196642 ILG196642 IVC196642 JEY196642 JOU196642 JYQ196642 KIM196642 KSI196642 LCE196642 LMA196642 LVW196642 MFS196642 MPO196642 MZK196642 NJG196642 NTC196642 OCY196642 OMU196642 OWQ196642 PGM196642 PQI196642 QAE196642 QKA196642 QTW196642 RDS196642 RNO196642 RXK196642 SHG196642 SRC196642 TAY196642 TKU196642 TUQ196642 UEM196642 UOI196642 UYE196642 VIA196642 VRW196642 WBS196642 WLO196642 WVK196642 C262178 IY262178 SU262178 ACQ262178 AMM262178 AWI262178 BGE262178 BQA262178 BZW262178 CJS262178 CTO262178 DDK262178 DNG262178 DXC262178 EGY262178 EQU262178 FAQ262178 FKM262178 FUI262178 GEE262178 GOA262178 GXW262178 HHS262178 HRO262178 IBK262178 ILG262178 IVC262178 JEY262178 JOU262178 JYQ262178 KIM262178 KSI262178 LCE262178 LMA262178 LVW262178 MFS262178 MPO262178 MZK262178 NJG262178 NTC262178 OCY262178 OMU262178 OWQ262178 PGM262178 PQI262178 QAE262178 QKA262178 QTW262178 RDS262178 RNO262178 RXK262178 SHG262178 SRC262178 TAY262178 TKU262178 TUQ262178 UEM262178 UOI262178 UYE262178 VIA262178 VRW262178 WBS262178 WLO262178 WVK262178 C327714 IY327714 SU327714 ACQ327714 AMM327714 AWI327714 BGE327714 BQA327714 BZW327714 CJS327714 CTO327714 DDK327714 DNG327714 DXC327714 EGY327714 EQU327714 FAQ327714 FKM327714 FUI327714 GEE327714 GOA327714 GXW327714 HHS327714 HRO327714 IBK327714 ILG327714 IVC327714 JEY327714 JOU327714 JYQ327714 KIM327714 KSI327714 LCE327714 LMA327714 LVW327714 MFS327714 MPO327714 MZK327714 NJG327714 NTC327714 OCY327714 OMU327714 OWQ327714 PGM327714 PQI327714 QAE327714 QKA327714 QTW327714 RDS327714 RNO327714 RXK327714 SHG327714 SRC327714 TAY327714 TKU327714 TUQ327714 UEM327714 UOI327714 UYE327714 VIA327714 VRW327714 WBS327714 WLO327714 WVK327714 C393250 IY393250 SU393250 ACQ393250 AMM393250 AWI393250 BGE393250 BQA393250 BZW393250 CJS393250 CTO393250 DDK393250 DNG393250 DXC393250 EGY393250 EQU393250 FAQ393250 FKM393250 FUI393250 GEE393250 GOA393250 GXW393250 HHS393250 HRO393250 IBK393250 ILG393250 IVC393250 JEY393250 JOU393250 JYQ393250 KIM393250 KSI393250 LCE393250 LMA393250 LVW393250 MFS393250 MPO393250 MZK393250 NJG393250 NTC393250 OCY393250 OMU393250 OWQ393250 PGM393250 PQI393250 QAE393250 QKA393250 QTW393250 RDS393250 RNO393250 RXK393250 SHG393250 SRC393250 TAY393250 TKU393250 TUQ393250 UEM393250 UOI393250 UYE393250 VIA393250 VRW393250 WBS393250 WLO393250 WVK393250 C458786 IY458786 SU458786 ACQ458786 AMM458786 AWI458786 BGE458786 BQA458786 BZW458786 CJS458786 CTO458786 DDK458786 DNG458786 DXC458786 EGY458786 EQU458786 FAQ458786 FKM458786 FUI458786 GEE458786 GOA458786 GXW458786 HHS458786 HRO458786 IBK458786 ILG458786 IVC458786 JEY458786 JOU458786 JYQ458786 KIM458786 KSI458786 LCE458786 LMA458786 LVW458786 MFS458786 MPO458786 MZK458786 NJG458786 NTC458786 OCY458786 OMU458786 OWQ458786 PGM458786 PQI458786 QAE458786 QKA458786 QTW458786 RDS458786 RNO458786 RXK458786 SHG458786 SRC458786 TAY458786 TKU458786 TUQ458786 UEM458786 UOI458786 UYE458786 VIA458786 VRW458786 WBS458786 WLO458786 WVK458786 C524322 IY524322 SU524322 ACQ524322 AMM524322 AWI524322 BGE524322 BQA524322 BZW524322 CJS524322 CTO524322 DDK524322 DNG524322 DXC524322 EGY524322 EQU524322 FAQ524322 FKM524322 FUI524322 GEE524322 GOA524322 GXW524322 HHS524322 HRO524322 IBK524322 ILG524322 IVC524322 JEY524322 JOU524322 JYQ524322 KIM524322 KSI524322 LCE524322 LMA524322 LVW524322 MFS524322 MPO524322 MZK524322 NJG524322 NTC524322 OCY524322 OMU524322 OWQ524322 PGM524322 PQI524322 QAE524322 QKA524322 QTW524322 RDS524322 RNO524322 RXK524322 SHG524322 SRC524322 TAY524322 TKU524322 TUQ524322 UEM524322 UOI524322 UYE524322 VIA524322 VRW524322 WBS524322 WLO524322 WVK524322 C589858 IY589858 SU589858 ACQ589858 AMM589858 AWI589858 BGE589858 BQA589858 BZW589858 CJS589858 CTO589858 DDK589858 DNG589858 DXC589858 EGY589858 EQU589858 FAQ589858 FKM589858 FUI589858 GEE589858 GOA589858 GXW589858 HHS589858 HRO589858 IBK589858 ILG589858 IVC589858 JEY589858 JOU589858 JYQ589858 KIM589858 KSI589858 LCE589858 LMA589858 LVW589858 MFS589858 MPO589858 MZK589858 NJG589858 NTC589858 OCY589858 OMU589858 OWQ589858 PGM589858 PQI589858 QAE589858 QKA589858 QTW589858 RDS589858 RNO589858 RXK589858 SHG589858 SRC589858 TAY589858 TKU589858 TUQ589858 UEM589858 UOI589858 UYE589858 VIA589858 VRW589858 WBS589858 WLO589858 WVK589858 C655394 IY655394 SU655394 ACQ655394 AMM655394 AWI655394 BGE655394 BQA655394 BZW655394 CJS655394 CTO655394 DDK655394 DNG655394 DXC655394 EGY655394 EQU655394 FAQ655394 FKM655394 FUI655394 GEE655394 GOA655394 GXW655394 HHS655394 HRO655394 IBK655394 ILG655394 IVC655394 JEY655394 JOU655394 JYQ655394 KIM655394 KSI655394 LCE655394 LMA655394 LVW655394 MFS655394 MPO655394 MZK655394 NJG655394 NTC655394 OCY655394 OMU655394 OWQ655394 PGM655394 PQI655394 QAE655394 QKA655394 QTW655394 RDS655394 RNO655394 RXK655394 SHG655394 SRC655394 TAY655394 TKU655394 TUQ655394 UEM655394 UOI655394 UYE655394 VIA655394 VRW655394 WBS655394 WLO655394 WVK655394 C720930 IY720930 SU720930 ACQ720930 AMM720930 AWI720930 BGE720930 BQA720930 BZW720930 CJS720930 CTO720930 DDK720930 DNG720930 DXC720930 EGY720930 EQU720930 FAQ720930 FKM720930 FUI720930 GEE720930 GOA720930 GXW720930 HHS720930 HRO720930 IBK720930 ILG720930 IVC720930 JEY720930 JOU720930 JYQ720930 KIM720930 KSI720930 LCE720930 LMA720930 LVW720930 MFS720930 MPO720930 MZK720930 NJG720930 NTC720930 OCY720930 OMU720930 OWQ720930 PGM720930 PQI720930 QAE720930 QKA720930 QTW720930 RDS720930 RNO720930 RXK720930 SHG720930 SRC720930 TAY720930 TKU720930 TUQ720930 UEM720930 UOI720930 UYE720930 VIA720930 VRW720930 WBS720930 WLO720930 WVK720930 C786466 IY786466 SU786466 ACQ786466 AMM786466 AWI786466 BGE786466 BQA786466 BZW786466 CJS786466 CTO786466 DDK786466 DNG786466 DXC786466 EGY786466 EQU786466 FAQ786466 FKM786466 FUI786466 GEE786466 GOA786466 GXW786466 HHS786466 HRO786466 IBK786466 ILG786466 IVC786466 JEY786466 JOU786466 JYQ786466 KIM786466 KSI786466 LCE786466 LMA786466 LVW786466 MFS786466 MPO786466 MZK786466 NJG786466 NTC786466 OCY786466 OMU786466 OWQ786466 PGM786466 PQI786466 QAE786466 QKA786466 QTW786466 RDS786466 RNO786466 RXK786466 SHG786466 SRC786466 TAY786466 TKU786466 TUQ786466 UEM786466 UOI786466 UYE786466 VIA786466 VRW786466 WBS786466 WLO786466 WVK786466 C852002 IY852002 SU852002 ACQ852002 AMM852002 AWI852002 BGE852002 BQA852002 BZW852002 CJS852002 CTO852002 DDK852002 DNG852002 DXC852002 EGY852002 EQU852002 FAQ852002 FKM852002 FUI852002 GEE852002 GOA852002 GXW852002 HHS852002 HRO852002 IBK852002 ILG852002 IVC852002 JEY852002 JOU852002 JYQ852002 KIM852002 KSI852002 LCE852002 LMA852002 LVW852002 MFS852002 MPO852002 MZK852002 NJG852002 NTC852002 OCY852002 OMU852002 OWQ852002 PGM852002 PQI852002 QAE852002 QKA852002 QTW852002 RDS852002 RNO852002 RXK852002 SHG852002 SRC852002 TAY852002 TKU852002 TUQ852002 UEM852002 UOI852002 UYE852002 VIA852002 VRW852002 WBS852002 WLO852002 WVK852002 C917538 IY917538 SU917538 ACQ917538 AMM917538 AWI917538 BGE917538 BQA917538 BZW917538 CJS917538 CTO917538 DDK917538 DNG917538 DXC917538 EGY917538 EQU917538 FAQ917538 FKM917538 FUI917538 GEE917538 GOA917538 GXW917538 HHS917538 HRO917538 IBK917538 ILG917538 IVC917538 JEY917538 JOU917538 JYQ917538 KIM917538 KSI917538 LCE917538 LMA917538 LVW917538 MFS917538 MPO917538 MZK917538 NJG917538 NTC917538 OCY917538 OMU917538 OWQ917538 PGM917538 PQI917538 QAE917538 QKA917538 QTW917538 RDS917538 RNO917538 RXK917538 SHG917538 SRC917538 TAY917538 TKU917538 TUQ917538 UEM917538 UOI917538 UYE917538 VIA917538 VRW917538 WBS917538 WLO917538 WVK917538 C983074 IY983074 SU983074 ACQ983074 AMM983074 AWI983074 BGE983074 BQA983074 BZW983074 CJS983074 CTO983074 DDK983074 DNG983074 DXC983074 EGY983074 EQU983074 FAQ983074 FKM983074 FUI983074 GEE983074 GOA983074 GXW983074 HHS983074 HRO983074 IBK983074 ILG983074 IVC983074 JEY983074 JOU983074 JYQ983074 KIM983074 KSI983074 LCE983074 LMA983074 LVW983074 MFS983074 MPO983074 MZK983074 NJG983074 NTC983074 OCY983074 OMU983074 OWQ983074 PGM983074 PQI983074 QAE983074 QKA983074 QTW983074 RDS983074 RNO983074 RXK983074 SHG983074 SRC983074 TAY983074 TKU983074 TUQ983074 UEM983074 UOI983074 UYE983074 VIA983074 VRW983074 WBS983074 WLO983074 WVK983074">
      <formula1>商业建筑结构</formula1>
    </dataValidation>
    <dataValidation type="list" allowBlank="1" showInputMessage="1" showErrorMessage="1" sqref="C32 IY32 SU32 ACQ32 AMM32 AWI32 BGE32 BQA32 BZW32 CJS32 CTO32 DDK32 DNG32 DXC32 EGY32 EQU32 FAQ32 FKM32 FUI32 GEE32 GOA32 GXW32 HHS32 HRO32 IBK32 ILG32 IVC32 JEY32 JOU32 JYQ32 KIM32 KSI32 LCE32 LMA32 LVW32 MFS32 MPO32 MZK32 NJG32 NTC32 OCY32 OMU32 OWQ32 PGM32 PQI32 QAE32 QKA32 QTW32 RDS32 RNO32 RXK32 SHG32 SRC32 TAY32 TKU32 TUQ32 UEM32 UOI32 UYE32 VIA32 VRW32 WBS32 WLO32 WVK32 C65568 IY65568 SU65568 ACQ65568 AMM65568 AWI65568 BGE65568 BQA65568 BZW65568 CJS65568 CTO65568 DDK65568 DNG65568 DXC65568 EGY65568 EQU65568 FAQ65568 FKM65568 FUI65568 GEE65568 GOA65568 GXW65568 HHS65568 HRO65568 IBK65568 ILG65568 IVC65568 JEY65568 JOU65568 JYQ65568 KIM65568 KSI65568 LCE65568 LMA65568 LVW65568 MFS65568 MPO65568 MZK65568 NJG65568 NTC65568 OCY65568 OMU65568 OWQ65568 PGM65568 PQI65568 QAE65568 QKA65568 QTW65568 RDS65568 RNO65568 RXK65568 SHG65568 SRC65568 TAY65568 TKU65568 TUQ65568 UEM65568 UOI65568 UYE65568 VIA65568 VRW65568 WBS65568 WLO65568 WVK65568 C131104 IY131104 SU131104 ACQ131104 AMM131104 AWI131104 BGE131104 BQA131104 BZW131104 CJS131104 CTO131104 DDK131104 DNG131104 DXC131104 EGY131104 EQU131104 FAQ131104 FKM131104 FUI131104 GEE131104 GOA131104 GXW131104 HHS131104 HRO131104 IBK131104 ILG131104 IVC131104 JEY131104 JOU131104 JYQ131104 KIM131104 KSI131104 LCE131104 LMA131104 LVW131104 MFS131104 MPO131104 MZK131104 NJG131104 NTC131104 OCY131104 OMU131104 OWQ131104 PGM131104 PQI131104 QAE131104 QKA131104 QTW131104 RDS131104 RNO131104 RXK131104 SHG131104 SRC131104 TAY131104 TKU131104 TUQ131104 UEM131104 UOI131104 UYE131104 VIA131104 VRW131104 WBS131104 WLO131104 WVK131104 C196640 IY196640 SU196640 ACQ196640 AMM196640 AWI196640 BGE196640 BQA196640 BZW196640 CJS196640 CTO196640 DDK196640 DNG196640 DXC196640 EGY196640 EQU196640 FAQ196640 FKM196640 FUI196640 GEE196640 GOA196640 GXW196640 HHS196640 HRO196640 IBK196640 ILG196640 IVC196640 JEY196640 JOU196640 JYQ196640 KIM196640 KSI196640 LCE196640 LMA196640 LVW196640 MFS196640 MPO196640 MZK196640 NJG196640 NTC196640 OCY196640 OMU196640 OWQ196640 PGM196640 PQI196640 QAE196640 QKA196640 QTW196640 RDS196640 RNO196640 RXK196640 SHG196640 SRC196640 TAY196640 TKU196640 TUQ196640 UEM196640 UOI196640 UYE196640 VIA196640 VRW196640 WBS196640 WLO196640 WVK196640 C262176 IY262176 SU262176 ACQ262176 AMM262176 AWI262176 BGE262176 BQA262176 BZW262176 CJS262176 CTO262176 DDK262176 DNG262176 DXC262176 EGY262176 EQU262176 FAQ262176 FKM262176 FUI262176 GEE262176 GOA262176 GXW262176 HHS262176 HRO262176 IBK262176 ILG262176 IVC262176 JEY262176 JOU262176 JYQ262176 KIM262176 KSI262176 LCE262176 LMA262176 LVW262176 MFS262176 MPO262176 MZK262176 NJG262176 NTC262176 OCY262176 OMU262176 OWQ262176 PGM262176 PQI262176 QAE262176 QKA262176 QTW262176 RDS262176 RNO262176 RXK262176 SHG262176 SRC262176 TAY262176 TKU262176 TUQ262176 UEM262176 UOI262176 UYE262176 VIA262176 VRW262176 WBS262176 WLO262176 WVK262176 C327712 IY327712 SU327712 ACQ327712 AMM327712 AWI327712 BGE327712 BQA327712 BZW327712 CJS327712 CTO327712 DDK327712 DNG327712 DXC327712 EGY327712 EQU327712 FAQ327712 FKM327712 FUI327712 GEE327712 GOA327712 GXW327712 HHS327712 HRO327712 IBK327712 ILG327712 IVC327712 JEY327712 JOU327712 JYQ327712 KIM327712 KSI327712 LCE327712 LMA327712 LVW327712 MFS327712 MPO327712 MZK327712 NJG327712 NTC327712 OCY327712 OMU327712 OWQ327712 PGM327712 PQI327712 QAE327712 QKA327712 QTW327712 RDS327712 RNO327712 RXK327712 SHG327712 SRC327712 TAY327712 TKU327712 TUQ327712 UEM327712 UOI327712 UYE327712 VIA327712 VRW327712 WBS327712 WLO327712 WVK327712 C393248 IY393248 SU393248 ACQ393248 AMM393248 AWI393248 BGE393248 BQA393248 BZW393248 CJS393248 CTO393248 DDK393248 DNG393248 DXC393248 EGY393248 EQU393248 FAQ393248 FKM393248 FUI393248 GEE393248 GOA393248 GXW393248 HHS393248 HRO393248 IBK393248 ILG393248 IVC393248 JEY393248 JOU393248 JYQ393248 KIM393248 KSI393248 LCE393248 LMA393248 LVW393248 MFS393248 MPO393248 MZK393248 NJG393248 NTC393248 OCY393248 OMU393248 OWQ393248 PGM393248 PQI393248 QAE393248 QKA393248 QTW393248 RDS393248 RNO393248 RXK393248 SHG393248 SRC393248 TAY393248 TKU393248 TUQ393248 UEM393248 UOI393248 UYE393248 VIA393248 VRW393248 WBS393248 WLO393248 WVK393248 C458784 IY458784 SU458784 ACQ458784 AMM458784 AWI458784 BGE458784 BQA458784 BZW458784 CJS458784 CTO458784 DDK458784 DNG458784 DXC458784 EGY458784 EQU458784 FAQ458784 FKM458784 FUI458784 GEE458784 GOA458784 GXW458784 HHS458784 HRO458784 IBK458784 ILG458784 IVC458784 JEY458784 JOU458784 JYQ458784 KIM458784 KSI458784 LCE458784 LMA458784 LVW458784 MFS458784 MPO458784 MZK458784 NJG458784 NTC458784 OCY458784 OMU458784 OWQ458784 PGM458784 PQI458784 QAE458784 QKA458784 QTW458784 RDS458784 RNO458784 RXK458784 SHG458784 SRC458784 TAY458784 TKU458784 TUQ458784 UEM458784 UOI458784 UYE458784 VIA458784 VRW458784 WBS458784 WLO458784 WVK458784 C524320 IY524320 SU524320 ACQ524320 AMM524320 AWI524320 BGE524320 BQA524320 BZW524320 CJS524320 CTO524320 DDK524320 DNG524320 DXC524320 EGY524320 EQU524320 FAQ524320 FKM524320 FUI524320 GEE524320 GOA524320 GXW524320 HHS524320 HRO524320 IBK524320 ILG524320 IVC524320 JEY524320 JOU524320 JYQ524320 KIM524320 KSI524320 LCE524320 LMA524320 LVW524320 MFS524320 MPO524320 MZK524320 NJG524320 NTC524320 OCY524320 OMU524320 OWQ524320 PGM524320 PQI524320 QAE524320 QKA524320 QTW524320 RDS524320 RNO524320 RXK524320 SHG524320 SRC524320 TAY524320 TKU524320 TUQ524320 UEM524320 UOI524320 UYE524320 VIA524320 VRW524320 WBS524320 WLO524320 WVK524320 C589856 IY589856 SU589856 ACQ589856 AMM589856 AWI589856 BGE589856 BQA589856 BZW589856 CJS589856 CTO589856 DDK589856 DNG589856 DXC589856 EGY589856 EQU589856 FAQ589856 FKM589856 FUI589856 GEE589856 GOA589856 GXW589856 HHS589856 HRO589856 IBK589856 ILG589856 IVC589856 JEY589856 JOU589856 JYQ589856 KIM589856 KSI589856 LCE589856 LMA589856 LVW589856 MFS589856 MPO589856 MZK589856 NJG589856 NTC589856 OCY589856 OMU589856 OWQ589856 PGM589856 PQI589856 QAE589856 QKA589856 QTW589856 RDS589856 RNO589856 RXK589856 SHG589856 SRC589856 TAY589856 TKU589856 TUQ589856 UEM589856 UOI589856 UYE589856 VIA589856 VRW589856 WBS589856 WLO589856 WVK589856 C655392 IY655392 SU655392 ACQ655392 AMM655392 AWI655392 BGE655392 BQA655392 BZW655392 CJS655392 CTO655392 DDK655392 DNG655392 DXC655392 EGY655392 EQU655392 FAQ655392 FKM655392 FUI655392 GEE655392 GOA655392 GXW655392 HHS655392 HRO655392 IBK655392 ILG655392 IVC655392 JEY655392 JOU655392 JYQ655392 KIM655392 KSI655392 LCE655392 LMA655392 LVW655392 MFS655392 MPO655392 MZK655392 NJG655392 NTC655392 OCY655392 OMU655392 OWQ655392 PGM655392 PQI655392 QAE655392 QKA655392 QTW655392 RDS655392 RNO655392 RXK655392 SHG655392 SRC655392 TAY655392 TKU655392 TUQ655392 UEM655392 UOI655392 UYE655392 VIA655392 VRW655392 WBS655392 WLO655392 WVK655392 C720928 IY720928 SU720928 ACQ720928 AMM720928 AWI720928 BGE720928 BQA720928 BZW720928 CJS720928 CTO720928 DDK720928 DNG720928 DXC720928 EGY720928 EQU720928 FAQ720928 FKM720928 FUI720928 GEE720928 GOA720928 GXW720928 HHS720928 HRO720928 IBK720928 ILG720928 IVC720928 JEY720928 JOU720928 JYQ720928 KIM720928 KSI720928 LCE720928 LMA720928 LVW720928 MFS720928 MPO720928 MZK720928 NJG720928 NTC720928 OCY720928 OMU720928 OWQ720928 PGM720928 PQI720928 QAE720928 QKA720928 QTW720928 RDS720928 RNO720928 RXK720928 SHG720928 SRC720928 TAY720928 TKU720928 TUQ720928 UEM720928 UOI720928 UYE720928 VIA720928 VRW720928 WBS720928 WLO720928 WVK720928 C786464 IY786464 SU786464 ACQ786464 AMM786464 AWI786464 BGE786464 BQA786464 BZW786464 CJS786464 CTO786464 DDK786464 DNG786464 DXC786464 EGY786464 EQU786464 FAQ786464 FKM786464 FUI786464 GEE786464 GOA786464 GXW786464 HHS786464 HRO786464 IBK786464 ILG786464 IVC786464 JEY786464 JOU786464 JYQ786464 KIM786464 KSI786464 LCE786464 LMA786464 LVW786464 MFS786464 MPO786464 MZK786464 NJG786464 NTC786464 OCY786464 OMU786464 OWQ786464 PGM786464 PQI786464 QAE786464 QKA786464 QTW786464 RDS786464 RNO786464 RXK786464 SHG786464 SRC786464 TAY786464 TKU786464 TUQ786464 UEM786464 UOI786464 UYE786464 VIA786464 VRW786464 WBS786464 WLO786464 WVK786464 C852000 IY852000 SU852000 ACQ852000 AMM852000 AWI852000 BGE852000 BQA852000 BZW852000 CJS852000 CTO852000 DDK852000 DNG852000 DXC852000 EGY852000 EQU852000 FAQ852000 FKM852000 FUI852000 GEE852000 GOA852000 GXW852000 HHS852000 HRO852000 IBK852000 ILG852000 IVC852000 JEY852000 JOU852000 JYQ852000 KIM852000 KSI852000 LCE852000 LMA852000 LVW852000 MFS852000 MPO852000 MZK852000 NJG852000 NTC852000 OCY852000 OMU852000 OWQ852000 PGM852000 PQI852000 QAE852000 QKA852000 QTW852000 RDS852000 RNO852000 RXK852000 SHG852000 SRC852000 TAY852000 TKU852000 TUQ852000 UEM852000 UOI852000 UYE852000 VIA852000 VRW852000 WBS852000 WLO852000 WVK852000 C917536 IY917536 SU917536 ACQ917536 AMM917536 AWI917536 BGE917536 BQA917536 BZW917536 CJS917536 CTO917536 DDK917536 DNG917536 DXC917536 EGY917536 EQU917536 FAQ917536 FKM917536 FUI917536 GEE917536 GOA917536 GXW917536 HHS917536 HRO917536 IBK917536 ILG917536 IVC917536 JEY917536 JOU917536 JYQ917536 KIM917536 KSI917536 LCE917536 LMA917536 LVW917536 MFS917536 MPO917536 MZK917536 NJG917536 NTC917536 OCY917536 OMU917536 OWQ917536 PGM917536 PQI917536 QAE917536 QKA917536 QTW917536 RDS917536 RNO917536 RXK917536 SHG917536 SRC917536 TAY917536 TKU917536 TUQ917536 UEM917536 UOI917536 UYE917536 VIA917536 VRW917536 WBS917536 WLO917536 WVK917536 C983072 IY983072 SU983072 ACQ983072 AMM983072 AWI983072 BGE983072 BQA983072 BZW983072 CJS983072 CTO983072 DDK983072 DNG983072 DXC983072 EGY983072 EQU983072 FAQ983072 FKM983072 FUI983072 GEE983072 GOA983072 GXW983072 HHS983072 HRO983072 IBK983072 ILG983072 IVC983072 JEY983072 JOU983072 JYQ983072 KIM983072 KSI983072 LCE983072 LMA983072 LVW983072 MFS983072 MPO983072 MZK983072 NJG983072 NTC983072 OCY983072 OMU983072 OWQ983072 PGM983072 PQI983072 QAE983072 QKA983072 QTW983072 RDS983072 RNO983072 RXK983072 SHG983072 SRC983072 TAY983072 TKU983072 TUQ983072 UEM983072 UOI983072 UYE983072 VIA983072 VRW983072 WBS983072 WLO983072 WVK983072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G32 JC32 SY32 ACU32 AMQ32 AWM32 BGI32 BQE32 CAA32 CJW32 CTS32 DDO32 DNK32 DXG32 EHC32 EQY32 FAU32 FKQ32 FUM32 GEI32 GOE32 GYA32 HHW32 HRS32 IBO32 ILK32 IVG32 JFC32 JOY32 JYU32 KIQ32 KSM32 LCI32 LME32 LWA32 MFW32 MPS32 MZO32 NJK32 NTG32 ODC32 OMY32 OWU32 PGQ32 PQM32 QAI32 QKE32 QUA32 RDW32 RNS32 RXO32 SHK32 SRG32 TBC32 TKY32 TUU32 UEQ32 UOM32 UYI32 VIE32 VSA32 WBW32 WLS32 WVO32 G65568 JC65568 SY65568 ACU65568 AMQ65568 AWM65568 BGI65568 BQE65568 CAA65568 CJW65568 CTS65568 DDO65568 DNK65568 DXG65568 EHC65568 EQY65568 FAU65568 FKQ65568 FUM65568 GEI65568 GOE65568 GYA65568 HHW65568 HRS65568 IBO65568 ILK65568 IVG65568 JFC65568 JOY65568 JYU65568 KIQ65568 KSM65568 LCI65568 LME65568 LWA65568 MFW65568 MPS65568 MZO65568 NJK65568 NTG65568 ODC65568 OMY65568 OWU65568 PGQ65568 PQM65568 QAI65568 QKE65568 QUA65568 RDW65568 RNS65568 RXO65568 SHK65568 SRG65568 TBC65568 TKY65568 TUU65568 UEQ65568 UOM65568 UYI65568 VIE65568 VSA65568 WBW65568 WLS65568 WVO65568 G131104 JC131104 SY131104 ACU131104 AMQ131104 AWM131104 BGI131104 BQE131104 CAA131104 CJW131104 CTS131104 DDO131104 DNK131104 DXG131104 EHC131104 EQY131104 FAU131104 FKQ131104 FUM131104 GEI131104 GOE131104 GYA131104 HHW131104 HRS131104 IBO131104 ILK131104 IVG131104 JFC131104 JOY131104 JYU131104 KIQ131104 KSM131104 LCI131104 LME131104 LWA131104 MFW131104 MPS131104 MZO131104 NJK131104 NTG131104 ODC131104 OMY131104 OWU131104 PGQ131104 PQM131104 QAI131104 QKE131104 QUA131104 RDW131104 RNS131104 RXO131104 SHK131104 SRG131104 TBC131104 TKY131104 TUU131104 UEQ131104 UOM131104 UYI131104 VIE131104 VSA131104 WBW131104 WLS131104 WVO131104 G196640 JC196640 SY196640 ACU196640 AMQ196640 AWM196640 BGI196640 BQE196640 CAA196640 CJW196640 CTS196640 DDO196640 DNK196640 DXG196640 EHC196640 EQY196640 FAU196640 FKQ196640 FUM196640 GEI196640 GOE196640 GYA196640 HHW196640 HRS196640 IBO196640 ILK196640 IVG196640 JFC196640 JOY196640 JYU196640 KIQ196640 KSM196640 LCI196640 LME196640 LWA196640 MFW196640 MPS196640 MZO196640 NJK196640 NTG196640 ODC196640 OMY196640 OWU196640 PGQ196640 PQM196640 QAI196640 QKE196640 QUA196640 RDW196640 RNS196640 RXO196640 SHK196640 SRG196640 TBC196640 TKY196640 TUU196640 UEQ196640 UOM196640 UYI196640 VIE196640 VSA196640 WBW196640 WLS196640 WVO196640 G262176 JC262176 SY262176 ACU262176 AMQ262176 AWM262176 BGI262176 BQE262176 CAA262176 CJW262176 CTS262176 DDO262176 DNK262176 DXG262176 EHC262176 EQY262176 FAU262176 FKQ262176 FUM262176 GEI262176 GOE262176 GYA262176 HHW262176 HRS262176 IBO262176 ILK262176 IVG262176 JFC262176 JOY262176 JYU262176 KIQ262176 KSM262176 LCI262176 LME262176 LWA262176 MFW262176 MPS262176 MZO262176 NJK262176 NTG262176 ODC262176 OMY262176 OWU262176 PGQ262176 PQM262176 QAI262176 QKE262176 QUA262176 RDW262176 RNS262176 RXO262176 SHK262176 SRG262176 TBC262176 TKY262176 TUU262176 UEQ262176 UOM262176 UYI262176 VIE262176 VSA262176 WBW262176 WLS262176 WVO262176 G327712 JC327712 SY327712 ACU327712 AMQ327712 AWM327712 BGI327712 BQE327712 CAA327712 CJW327712 CTS327712 DDO327712 DNK327712 DXG327712 EHC327712 EQY327712 FAU327712 FKQ327712 FUM327712 GEI327712 GOE327712 GYA327712 HHW327712 HRS327712 IBO327712 ILK327712 IVG327712 JFC327712 JOY327712 JYU327712 KIQ327712 KSM327712 LCI327712 LME327712 LWA327712 MFW327712 MPS327712 MZO327712 NJK327712 NTG327712 ODC327712 OMY327712 OWU327712 PGQ327712 PQM327712 QAI327712 QKE327712 QUA327712 RDW327712 RNS327712 RXO327712 SHK327712 SRG327712 TBC327712 TKY327712 TUU327712 UEQ327712 UOM327712 UYI327712 VIE327712 VSA327712 WBW327712 WLS327712 WVO327712 G393248 JC393248 SY393248 ACU393248 AMQ393248 AWM393248 BGI393248 BQE393248 CAA393248 CJW393248 CTS393248 DDO393248 DNK393248 DXG393248 EHC393248 EQY393248 FAU393248 FKQ393248 FUM393248 GEI393248 GOE393248 GYA393248 HHW393248 HRS393248 IBO393248 ILK393248 IVG393248 JFC393248 JOY393248 JYU393248 KIQ393248 KSM393248 LCI393248 LME393248 LWA393248 MFW393248 MPS393248 MZO393248 NJK393248 NTG393248 ODC393248 OMY393248 OWU393248 PGQ393248 PQM393248 QAI393248 QKE393248 QUA393248 RDW393248 RNS393248 RXO393248 SHK393248 SRG393248 TBC393248 TKY393248 TUU393248 UEQ393248 UOM393248 UYI393248 VIE393248 VSA393248 WBW393248 WLS393248 WVO393248 G458784 JC458784 SY458784 ACU458784 AMQ458784 AWM458784 BGI458784 BQE458784 CAA458784 CJW458784 CTS458784 DDO458784 DNK458784 DXG458784 EHC458784 EQY458784 FAU458784 FKQ458784 FUM458784 GEI458784 GOE458784 GYA458784 HHW458784 HRS458784 IBO458784 ILK458784 IVG458784 JFC458784 JOY458784 JYU458784 KIQ458784 KSM458784 LCI458784 LME458784 LWA458784 MFW458784 MPS458784 MZO458784 NJK458784 NTG458784 ODC458784 OMY458784 OWU458784 PGQ458784 PQM458784 QAI458784 QKE458784 QUA458784 RDW458784 RNS458784 RXO458784 SHK458784 SRG458784 TBC458784 TKY458784 TUU458784 UEQ458784 UOM458784 UYI458784 VIE458784 VSA458784 WBW458784 WLS458784 WVO458784 G524320 JC524320 SY524320 ACU524320 AMQ524320 AWM524320 BGI524320 BQE524320 CAA524320 CJW524320 CTS524320 DDO524320 DNK524320 DXG524320 EHC524320 EQY524320 FAU524320 FKQ524320 FUM524320 GEI524320 GOE524320 GYA524320 HHW524320 HRS524320 IBO524320 ILK524320 IVG524320 JFC524320 JOY524320 JYU524320 KIQ524320 KSM524320 LCI524320 LME524320 LWA524320 MFW524320 MPS524320 MZO524320 NJK524320 NTG524320 ODC524320 OMY524320 OWU524320 PGQ524320 PQM524320 QAI524320 QKE524320 QUA524320 RDW524320 RNS524320 RXO524320 SHK524320 SRG524320 TBC524320 TKY524320 TUU524320 UEQ524320 UOM524320 UYI524320 VIE524320 VSA524320 WBW524320 WLS524320 WVO524320 G589856 JC589856 SY589856 ACU589856 AMQ589856 AWM589856 BGI589856 BQE589856 CAA589856 CJW589856 CTS589856 DDO589856 DNK589856 DXG589856 EHC589856 EQY589856 FAU589856 FKQ589856 FUM589856 GEI589856 GOE589856 GYA589856 HHW589856 HRS589856 IBO589856 ILK589856 IVG589856 JFC589856 JOY589856 JYU589856 KIQ589856 KSM589856 LCI589856 LME589856 LWA589856 MFW589856 MPS589856 MZO589856 NJK589856 NTG589856 ODC589856 OMY589856 OWU589856 PGQ589856 PQM589856 QAI589856 QKE589856 QUA589856 RDW589856 RNS589856 RXO589856 SHK589856 SRG589856 TBC589856 TKY589856 TUU589856 UEQ589856 UOM589856 UYI589856 VIE589856 VSA589856 WBW589856 WLS589856 WVO589856 G655392 JC655392 SY655392 ACU655392 AMQ655392 AWM655392 BGI655392 BQE655392 CAA655392 CJW655392 CTS655392 DDO655392 DNK655392 DXG655392 EHC655392 EQY655392 FAU655392 FKQ655392 FUM655392 GEI655392 GOE655392 GYA655392 HHW655392 HRS655392 IBO655392 ILK655392 IVG655392 JFC655392 JOY655392 JYU655392 KIQ655392 KSM655392 LCI655392 LME655392 LWA655392 MFW655392 MPS655392 MZO655392 NJK655392 NTG655392 ODC655392 OMY655392 OWU655392 PGQ655392 PQM655392 QAI655392 QKE655392 QUA655392 RDW655392 RNS655392 RXO655392 SHK655392 SRG655392 TBC655392 TKY655392 TUU655392 UEQ655392 UOM655392 UYI655392 VIE655392 VSA655392 WBW655392 WLS655392 WVO655392 G720928 JC720928 SY720928 ACU720928 AMQ720928 AWM720928 BGI720928 BQE720928 CAA720928 CJW720928 CTS720928 DDO720928 DNK720928 DXG720928 EHC720928 EQY720928 FAU720928 FKQ720928 FUM720928 GEI720928 GOE720928 GYA720928 HHW720928 HRS720928 IBO720928 ILK720928 IVG720928 JFC720928 JOY720928 JYU720928 KIQ720928 KSM720928 LCI720928 LME720928 LWA720928 MFW720928 MPS720928 MZO720928 NJK720928 NTG720928 ODC720928 OMY720928 OWU720928 PGQ720928 PQM720928 QAI720928 QKE720928 QUA720928 RDW720928 RNS720928 RXO720928 SHK720928 SRG720928 TBC720928 TKY720928 TUU720928 UEQ720928 UOM720928 UYI720928 VIE720928 VSA720928 WBW720928 WLS720928 WVO720928 G786464 JC786464 SY786464 ACU786464 AMQ786464 AWM786464 BGI786464 BQE786464 CAA786464 CJW786464 CTS786464 DDO786464 DNK786464 DXG786464 EHC786464 EQY786464 FAU786464 FKQ786464 FUM786464 GEI786464 GOE786464 GYA786464 HHW786464 HRS786464 IBO786464 ILK786464 IVG786464 JFC786464 JOY786464 JYU786464 KIQ786464 KSM786464 LCI786464 LME786464 LWA786464 MFW786464 MPS786464 MZO786464 NJK786464 NTG786464 ODC786464 OMY786464 OWU786464 PGQ786464 PQM786464 QAI786464 QKE786464 QUA786464 RDW786464 RNS786464 RXO786464 SHK786464 SRG786464 TBC786464 TKY786464 TUU786464 UEQ786464 UOM786464 UYI786464 VIE786464 VSA786464 WBW786464 WLS786464 WVO786464 G852000 JC852000 SY852000 ACU852000 AMQ852000 AWM852000 BGI852000 BQE852000 CAA852000 CJW852000 CTS852000 DDO852000 DNK852000 DXG852000 EHC852000 EQY852000 FAU852000 FKQ852000 FUM852000 GEI852000 GOE852000 GYA852000 HHW852000 HRS852000 IBO852000 ILK852000 IVG852000 JFC852000 JOY852000 JYU852000 KIQ852000 KSM852000 LCI852000 LME852000 LWA852000 MFW852000 MPS852000 MZO852000 NJK852000 NTG852000 ODC852000 OMY852000 OWU852000 PGQ852000 PQM852000 QAI852000 QKE852000 QUA852000 RDW852000 RNS852000 RXO852000 SHK852000 SRG852000 TBC852000 TKY852000 TUU852000 UEQ852000 UOM852000 UYI852000 VIE852000 VSA852000 WBW852000 WLS852000 WVO852000 G917536 JC917536 SY917536 ACU917536 AMQ917536 AWM917536 BGI917536 BQE917536 CAA917536 CJW917536 CTS917536 DDO917536 DNK917536 DXG917536 EHC917536 EQY917536 FAU917536 FKQ917536 FUM917536 GEI917536 GOE917536 GYA917536 HHW917536 HRS917536 IBO917536 ILK917536 IVG917536 JFC917536 JOY917536 JYU917536 KIQ917536 KSM917536 LCI917536 LME917536 LWA917536 MFW917536 MPS917536 MZO917536 NJK917536 NTG917536 ODC917536 OMY917536 OWU917536 PGQ917536 PQM917536 QAI917536 QKE917536 QUA917536 RDW917536 RNS917536 RXO917536 SHK917536 SRG917536 TBC917536 TKY917536 TUU917536 UEQ917536 UOM917536 UYI917536 VIE917536 VSA917536 WBW917536 WLS917536 WVO917536 G983072 JC983072 SY983072 ACU983072 AMQ983072 AWM983072 BGI983072 BQE983072 CAA983072 CJW983072 CTS983072 DDO983072 DNK983072 DXG983072 EHC983072 EQY983072 FAU983072 FKQ983072 FUM983072 GEI983072 GOE983072 GYA983072 HHW983072 HRS983072 IBO983072 ILK983072 IVG983072 JFC983072 JOY983072 JYU983072 KIQ983072 KSM983072 LCI983072 LME983072 LWA983072 MFW983072 MPS983072 MZO983072 NJK983072 NTG983072 ODC983072 OMY983072 OWU983072 PGQ983072 PQM983072 QAI983072 QKE983072 QUA983072 RDW983072 RNS983072 RXO983072 SHK983072 SRG983072 TBC983072 TKY983072 TUU983072 UEQ983072 UOM983072 UYI983072 VIE983072 VSA983072 WBW983072 WLS983072 WVO983072 I32 JE32 TA32 ACW32 AMS32 AWO32 BGK32 BQG32 CAC32 CJY32 CTU32 DDQ32 DNM32 DXI32 EHE32 ERA32 FAW32 FKS32 FUO32 GEK32 GOG32 GYC32 HHY32 HRU32 IBQ32 ILM32 IVI32 JFE32 JPA32 JYW32 KIS32 KSO32 LCK32 LMG32 LWC32 MFY32 MPU32 MZQ32 NJM32 NTI32 ODE32 ONA32 OWW32 PGS32 PQO32 QAK32 QKG32 QUC32 RDY32 RNU32 RXQ32 SHM32 SRI32 TBE32 TLA32 TUW32 UES32 UOO32 UYK32 VIG32 VSC32 WBY32 WLU32 WVQ32 I65568 JE65568 TA65568 ACW65568 AMS65568 AWO65568 BGK65568 BQG65568 CAC65568 CJY65568 CTU65568 DDQ65568 DNM65568 DXI65568 EHE65568 ERA65568 FAW65568 FKS65568 FUO65568 GEK65568 GOG65568 GYC65568 HHY65568 HRU65568 IBQ65568 ILM65568 IVI65568 JFE65568 JPA65568 JYW65568 KIS65568 KSO65568 LCK65568 LMG65568 LWC65568 MFY65568 MPU65568 MZQ65568 NJM65568 NTI65568 ODE65568 ONA65568 OWW65568 PGS65568 PQO65568 QAK65568 QKG65568 QUC65568 RDY65568 RNU65568 RXQ65568 SHM65568 SRI65568 TBE65568 TLA65568 TUW65568 UES65568 UOO65568 UYK65568 VIG65568 VSC65568 WBY65568 WLU65568 WVQ65568 I131104 JE131104 TA131104 ACW131104 AMS131104 AWO131104 BGK131104 BQG131104 CAC131104 CJY131104 CTU131104 DDQ131104 DNM131104 DXI131104 EHE131104 ERA131104 FAW131104 FKS131104 FUO131104 GEK131104 GOG131104 GYC131104 HHY131104 HRU131104 IBQ131104 ILM131104 IVI131104 JFE131104 JPA131104 JYW131104 KIS131104 KSO131104 LCK131104 LMG131104 LWC131104 MFY131104 MPU131104 MZQ131104 NJM131104 NTI131104 ODE131104 ONA131104 OWW131104 PGS131104 PQO131104 QAK131104 QKG131104 QUC131104 RDY131104 RNU131104 RXQ131104 SHM131104 SRI131104 TBE131104 TLA131104 TUW131104 UES131104 UOO131104 UYK131104 VIG131104 VSC131104 WBY131104 WLU131104 WVQ131104 I196640 JE196640 TA196640 ACW196640 AMS196640 AWO196640 BGK196640 BQG196640 CAC196640 CJY196640 CTU196640 DDQ196640 DNM196640 DXI196640 EHE196640 ERA196640 FAW196640 FKS196640 FUO196640 GEK196640 GOG196640 GYC196640 HHY196640 HRU196640 IBQ196640 ILM196640 IVI196640 JFE196640 JPA196640 JYW196640 KIS196640 KSO196640 LCK196640 LMG196640 LWC196640 MFY196640 MPU196640 MZQ196640 NJM196640 NTI196640 ODE196640 ONA196640 OWW196640 PGS196640 PQO196640 QAK196640 QKG196640 QUC196640 RDY196640 RNU196640 RXQ196640 SHM196640 SRI196640 TBE196640 TLA196640 TUW196640 UES196640 UOO196640 UYK196640 VIG196640 VSC196640 WBY196640 WLU196640 WVQ196640 I262176 JE262176 TA262176 ACW262176 AMS262176 AWO262176 BGK262176 BQG262176 CAC262176 CJY262176 CTU262176 DDQ262176 DNM262176 DXI262176 EHE262176 ERA262176 FAW262176 FKS262176 FUO262176 GEK262176 GOG262176 GYC262176 HHY262176 HRU262176 IBQ262176 ILM262176 IVI262176 JFE262176 JPA262176 JYW262176 KIS262176 KSO262176 LCK262176 LMG262176 LWC262176 MFY262176 MPU262176 MZQ262176 NJM262176 NTI262176 ODE262176 ONA262176 OWW262176 PGS262176 PQO262176 QAK262176 QKG262176 QUC262176 RDY262176 RNU262176 RXQ262176 SHM262176 SRI262176 TBE262176 TLA262176 TUW262176 UES262176 UOO262176 UYK262176 VIG262176 VSC262176 WBY262176 WLU262176 WVQ262176 I327712 JE327712 TA327712 ACW327712 AMS327712 AWO327712 BGK327712 BQG327712 CAC327712 CJY327712 CTU327712 DDQ327712 DNM327712 DXI327712 EHE327712 ERA327712 FAW327712 FKS327712 FUO327712 GEK327712 GOG327712 GYC327712 HHY327712 HRU327712 IBQ327712 ILM327712 IVI327712 JFE327712 JPA327712 JYW327712 KIS327712 KSO327712 LCK327712 LMG327712 LWC327712 MFY327712 MPU327712 MZQ327712 NJM327712 NTI327712 ODE327712 ONA327712 OWW327712 PGS327712 PQO327712 QAK327712 QKG327712 QUC327712 RDY327712 RNU327712 RXQ327712 SHM327712 SRI327712 TBE327712 TLA327712 TUW327712 UES327712 UOO327712 UYK327712 VIG327712 VSC327712 WBY327712 WLU327712 WVQ327712 I393248 JE393248 TA393248 ACW393248 AMS393248 AWO393248 BGK393248 BQG393248 CAC393248 CJY393248 CTU393248 DDQ393248 DNM393248 DXI393248 EHE393248 ERA393248 FAW393248 FKS393248 FUO393248 GEK393248 GOG393248 GYC393248 HHY393248 HRU393248 IBQ393248 ILM393248 IVI393248 JFE393248 JPA393248 JYW393248 KIS393248 KSO393248 LCK393248 LMG393248 LWC393248 MFY393248 MPU393248 MZQ393248 NJM393248 NTI393248 ODE393248 ONA393248 OWW393248 PGS393248 PQO393248 QAK393248 QKG393248 QUC393248 RDY393248 RNU393248 RXQ393248 SHM393248 SRI393248 TBE393248 TLA393248 TUW393248 UES393248 UOO393248 UYK393248 VIG393248 VSC393248 WBY393248 WLU393248 WVQ393248 I458784 JE458784 TA458784 ACW458784 AMS458784 AWO458784 BGK458784 BQG458784 CAC458784 CJY458784 CTU458784 DDQ458784 DNM458784 DXI458784 EHE458784 ERA458784 FAW458784 FKS458784 FUO458784 GEK458784 GOG458784 GYC458784 HHY458784 HRU458784 IBQ458784 ILM458784 IVI458784 JFE458784 JPA458784 JYW458784 KIS458784 KSO458784 LCK458784 LMG458784 LWC458784 MFY458784 MPU458784 MZQ458784 NJM458784 NTI458784 ODE458784 ONA458784 OWW458784 PGS458784 PQO458784 QAK458784 QKG458784 QUC458784 RDY458784 RNU458784 RXQ458784 SHM458784 SRI458784 TBE458784 TLA458784 TUW458784 UES458784 UOO458784 UYK458784 VIG458784 VSC458784 WBY458784 WLU458784 WVQ458784 I524320 JE524320 TA524320 ACW524320 AMS524320 AWO524320 BGK524320 BQG524320 CAC524320 CJY524320 CTU524320 DDQ524320 DNM524320 DXI524320 EHE524320 ERA524320 FAW524320 FKS524320 FUO524320 GEK524320 GOG524320 GYC524320 HHY524320 HRU524320 IBQ524320 ILM524320 IVI524320 JFE524320 JPA524320 JYW524320 KIS524320 KSO524320 LCK524320 LMG524320 LWC524320 MFY524320 MPU524320 MZQ524320 NJM524320 NTI524320 ODE524320 ONA524320 OWW524320 PGS524320 PQO524320 QAK524320 QKG524320 QUC524320 RDY524320 RNU524320 RXQ524320 SHM524320 SRI524320 TBE524320 TLA524320 TUW524320 UES524320 UOO524320 UYK524320 VIG524320 VSC524320 WBY524320 WLU524320 WVQ524320 I589856 JE589856 TA589856 ACW589856 AMS589856 AWO589856 BGK589856 BQG589856 CAC589856 CJY589856 CTU589856 DDQ589856 DNM589856 DXI589856 EHE589856 ERA589856 FAW589856 FKS589856 FUO589856 GEK589856 GOG589856 GYC589856 HHY589856 HRU589856 IBQ589856 ILM589856 IVI589856 JFE589856 JPA589856 JYW589856 KIS589856 KSO589856 LCK589856 LMG589856 LWC589856 MFY589856 MPU589856 MZQ589856 NJM589856 NTI589856 ODE589856 ONA589856 OWW589856 PGS589856 PQO589856 QAK589856 QKG589856 QUC589856 RDY589856 RNU589856 RXQ589856 SHM589856 SRI589856 TBE589856 TLA589856 TUW589856 UES589856 UOO589856 UYK589856 VIG589856 VSC589856 WBY589856 WLU589856 WVQ589856 I655392 JE655392 TA655392 ACW655392 AMS655392 AWO655392 BGK655392 BQG655392 CAC655392 CJY655392 CTU655392 DDQ655392 DNM655392 DXI655392 EHE655392 ERA655392 FAW655392 FKS655392 FUO655392 GEK655392 GOG655392 GYC655392 HHY655392 HRU655392 IBQ655392 ILM655392 IVI655392 JFE655392 JPA655392 JYW655392 KIS655392 KSO655392 LCK655392 LMG655392 LWC655392 MFY655392 MPU655392 MZQ655392 NJM655392 NTI655392 ODE655392 ONA655392 OWW655392 PGS655392 PQO655392 QAK655392 QKG655392 QUC655392 RDY655392 RNU655392 RXQ655392 SHM655392 SRI655392 TBE655392 TLA655392 TUW655392 UES655392 UOO655392 UYK655392 VIG655392 VSC655392 WBY655392 WLU655392 WVQ655392 I720928 JE720928 TA720928 ACW720928 AMS720928 AWO720928 BGK720928 BQG720928 CAC720928 CJY720928 CTU720928 DDQ720928 DNM720928 DXI720928 EHE720928 ERA720928 FAW720928 FKS720928 FUO720928 GEK720928 GOG720928 GYC720928 HHY720928 HRU720928 IBQ720928 ILM720928 IVI720928 JFE720928 JPA720928 JYW720928 KIS720928 KSO720928 LCK720928 LMG720928 LWC720928 MFY720928 MPU720928 MZQ720928 NJM720928 NTI720928 ODE720928 ONA720928 OWW720928 PGS720928 PQO720928 QAK720928 QKG720928 QUC720928 RDY720928 RNU720928 RXQ720928 SHM720928 SRI720928 TBE720928 TLA720928 TUW720928 UES720928 UOO720928 UYK720928 VIG720928 VSC720928 WBY720928 WLU720928 WVQ720928 I786464 JE786464 TA786464 ACW786464 AMS786464 AWO786464 BGK786464 BQG786464 CAC786464 CJY786464 CTU786464 DDQ786464 DNM786464 DXI786464 EHE786464 ERA786464 FAW786464 FKS786464 FUO786464 GEK786464 GOG786464 GYC786464 HHY786464 HRU786464 IBQ786464 ILM786464 IVI786464 JFE786464 JPA786464 JYW786464 KIS786464 KSO786464 LCK786464 LMG786464 LWC786464 MFY786464 MPU786464 MZQ786464 NJM786464 NTI786464 ODE786464 ONA786464 OWW786464 PGS786464 PQO786464 QAK786464 QKG786464 QUC786464 RDY786464 RNU786464 RXQ786464 SHM786464 SRI786464 TBE786464 TLA786464 TUW786464 UES786464 UOO786464 UYK786464 VIG786464 VSC786464 WBY786464 WLU786464 WVQ786464 I852000 JE852000 TA852000 ACW852000 AMS852000 AWO852000 BGK852000 BQG852000 CAC852000 CJY852000 CTU852000 DDQ852000 DNM852000 DXI852000 EHE852000 ERA852000 FAW852000 FKS852000 FUO852000 GEK852000 GOG852000 GYC852000 HHY852000 HRU852000 IBQ852000 ILM852000 IVI852000 JFE852000 JPA852000 JYW852000 KIS852000 KSO852000 LCK852000 LMG852000 LWC852000 MFY852000 MPU852000 MZQ852000 NJM852000 NTI852000 ODE852000 ONA852000 OWW852000 PGS852000 PQO852000 QAK852000 QKG852000 QUC852000 RDY852000 RNU852000 RXQ852000 SHM852000 SRI852000 TBE852000 TLA852000 TUW852000 UES852000 UOO852000 UYK852000 VIG852000 VSC852000 WBY852000 WLU852000 WVQ852000 I917536 JE917536 TA917536 ACW917536 AMS917536 AWO917536 BGK917536 BQG917536 CAC917536 CJY917536 CTU917536 DDQ917536 DNM917536 DXI917536 EHE917536 ERA917536 FAW917536 FKS917536 FUO917536 GEK917536 GOG917536 GYC917536 HHY917536 HRU917536 IBQ917536 ILM917536 IVI917536 JFE917536 JPA917536 JYW917536 KIS917536 KSO917536 LCK917536 LMG917536 LWC917536 MFY917536 MPU917536 MZQ917536 NJM917536 NTI917536 ODE917536 ONA917536 OWW917536 PGS917536 PQO917536 QAK917536 QKG917536 QUC917536 RDY917536 RNU917536 RXQ917536 SHM917536 SRI917536 TBE917536 TLA917536 TUW917536 UES917536 UOO917536 UYK917536 VIG917536 VSC917536 WBY917536 WLU917536 WVQ917536 I983072 JE983072 TA983072 ACW983072 AMS983072 AWO983072 BGK983072 BQG983072 CAC983072 CJY983072 CTU983072 DDQ983072 DNM983072 DXI983072 EHE983072 ERA983072 FAW983072 FKS983072 FUO983072 GEK983072 GOG983072 GYC983072 HHY983072 HRU983072 IBQ983072 ILM983072 IVI983072 JFE983072 JPA983072 JYW983072 KIS983072 KSO983072 LCK983072 LMG983072 LWC983072 MFY983072 MPU983072 MZQ983072 NJM983072 NTI983072 ODE983072 ONA983072 OWW983072 PGS983072 PQO983072 QAK983072 QKG983072 QUC983072 RDY983072 RNU983072 RXQ983072 SHM983072 SRI983072 TBE983072 TLA983072 TUW983072 UES983072 UOO983072 UYK983072 VIG983072 VSC983072 WBY983072 WLU983072 WVQ983072">
      <formula1>商业类型</formula1>
    </dataValidation>
    <dataValidation type="list" allowBlank="1" showInputMessage="1" showErrorMessage="1" sqref="C28 IY28 SU28 ACQ28 AMM28 AWI28 BGE28 BQA28 BZW28 CJS28 CTO28 DDK28 DNG28 DXC28 EGY28 EQU28 FAQ28 FKM28 FUI28 GEE28 GOA28 GXW28 HHS28 HRO28 IBK28 ILG28 IVC28 JEY28 JOU28 JYQ28 KIM28 KSI28 LCE28 LMA28 LVW28 MFS28 MPO28 MZK28 NJG28 NTC28 OCY28 OMU28 OWQ28 PGM28 PQI28 QAE28 QKA28 QTW28 RDS28 RNO28 RXK28 SHG28 SRC28 TAY28 TKU28 TUQ28 UEM28 UOI28 UYE28 VIA28 VRW28 WBS28 WLO28 WVK28 C65564 IY65564 SU65564 ACQ65564 AMM65564 AWI65564 BGE65564 BQA65564 BZW65564 CJS65564 CTO65564 DDK65564 DNG65564 DXC65564 EGY65564 EQU65564 FAQ65564 FKM65564 FUI65564 GEE65564 GOA65564 GXW65564 HHS65564 HRO65564 IBK65564 ILG65564 IVC65564 JEY65564 JOU65564 JYQ65564 KIM65564 KSI65564 LCE65564 LMA65564 LVW65564 MFS65564 MPO65564 MZK65564 NJG65564 NTC65564 OCY65564 OMU65564 OWQ65564 PGM65564 PQI65564 QAE65564 QKA65564 QTW65564 RDS65564 RNO65564 RXK65564 SHG65564 SRC65564 TAY65564 TKU65564 TUQ65564 UEM65564 UOI65564 UYE65564 VIA65564 VRW65564 WBS65564 WLO65564 WVK65564 C131100 IY131100 SU131100 ACQ131100 AMM131100 AWI131100 BGE131100 BQA131100 BZW131100 CJS131100 CTO131100 DDK131100 DNG131100 DXC131100 EGY131100 EQU131100 FAQ131100 FKM131100 FUI131100 GEE131100 GOA131100 GXW131100 HHS131100 HRO131100 IBK131100 ILG131100 IVC131100 JEY131100 JOU131100 JYQ131100 KIM131100 KSI131100 LCE131100 LMA131100 LVW131100 MFS131100 MPO131100 MZK131100 NJG131100 NTC131100 OCY131100 OMU131100 OWQ131100 PGM131100 PQI131100 QAE131100 QKA131100 QTW131100 RDS131100 RNO131100 RXK131100 SHG131100 SRC131100 TAY131100 TKU131100 TUQ131100 UEM131100 UOI131100 UYE131100 VIA131100 VRW131100 WBS131100 WLO131100 WVK131100 C196636 IY196636 SU196636 ACQ196636 AMM196636 AWI196636 BGE196636 BQA196636 BZW196636 CJS196636 CTO196636 DDK196636 DNG196636 DXC196636 EGY196636 EQU196636 FAQ196636 FKM196636 FUI196636 GEE196636 GOA196636 GXW196636 HHS196636 HRO196636 IBK196636 ILG196636 IVC196636 JEY196636 JOU196636 JYQ196636 KIM196636 KSI196636 LCE196636 LMA196636 LVW196636 MFS196636 MPO196636 MZK196636 NJG196636 NTC196636 OCY196636 OMU196636 OWQ196636 PGM196636 PQI196636 QAE196636 QKA196636 QTW196636 RDS196636 RNO196636 RXK196636 SHG196636 SRC196636 TAY196636 TKU196636 TUQ196636 UEM196636 UOI196636 UYE196636 VIA196636 VRW196636 WBS196636 WLO196636 WVK196636 C262172 IY262172 SU262172 ACQ262172 AMM262172 AWI262172 BGE262172 BQA262172 BZW262172 CJS262172 CTO262172 DDK262172 DNG262172 DXC262172 EGY262172 EQU262172 FAQ262172 FKM262172 FUI262172 GEE262172 GOA262172 GXW262172 HHS262172 HRO262172 IBK262172 ILG262172 IVC262172 JEY262172 JOU262172 JYQ262172 KIM262172 KSI262172 LCE262172 LMA262172 LVW262172 MFS262172 MPO262172 MZK262172 NJG262172 NTC262172 OCY262172 OMU262172 OWQ262172 PGM262172 PQI262172 QAE262172 QKA262172 QTW262172 RDS262172 RNO262172 RXK262172 SHG262172 SRC262172 TAY262172 TKU262172 TUQ262172 UEM262172 UOI262172 UYE262172 VIA262172 VRW262172 WBS262172 WLO262172 WVK262172 C327708 IY327708 SU327708 ACQ327708 AMM327708 AWI327708 BGE327708 BQA327708 BZW327708 CJS327708 CTO327708 DDK327708 DNG327708 DXC327708 EGY327708 EQU327708 FAQ327708 FKM327708 FUI327708 GEE327708 GOA327708 GXW327708 HHS327708 HRO327708 IBK327708 ILG327708 IVC327708 JEY327708 JOU327708 JYQ327708 KIM327708 KSI327708 LCE327708 LMA327708 LVW327708 MFS327708 MPO327708 MZK327708 NJG327708 NTC327708 OCY327708 OMU327708 OWQ327708 PGM327708 PQI327708 QAE327708 QKA327708 QTW327708 RDS327708 RNO327708 RXK327708 SHG327708 SRC327708 TAY327708 TKU327708 TUQ327708 UEM327708 UOI327708 UYE327708 VIA327708 VRW327708 WBS327708 WLO327708 WVK327708 C393244 IY393244 SU393244 ACQ393244 AMM393244 AWI393244 BGE393244 BQA393244 BZW393244 CJS393244 CTO393244 DDK393244 DNG393244 DXC393244 EGY393244 EQU393244 FAQ393244 FKM393244 FUI393244 GEE393244 GOA393244 GXW393244 HHS393244 HRO393244 IBK393244 ILG393244 IVC393244 JEY393244 JOU393244 JYQ393244 KIM393244 KSI393244 LCE393244 LMA393244 LVW393244 MFS393244 MPO393244 MZK393244 NJG393244 NTC393244 OCY393244 OMU393244 OWQ393244 PGM393244 PQI393244 QAE393244 QKA393244 QTW393244 RDS393244 RNO393244 RXK393244 SHG393244 SRC393244 TAY393244 TKU393244 TUQ393244 UEM393244 UOI393244 UYE393244 VIA393244 VRW393244 WBS393244 WLO393244 WVK393244 C458780 IY458780 SU458780 ACQ458780 AMM458780 AWI458780 BGE458780 BQA458780 BZW458780 CJS458780 CTO458780 DDK458780 DNG458780 DXC458780 EGY458780 EQU458780 FAQ458780 FKM458780 FUI458780 GEE458780 GOA458780 GXW458780 HHS458780 HRO458780 IBK458780 ILG458780 IVC458780 JEY458780 JOU458780 JYQ458780 KIM458780 KSI458780 LCE458780 LMA458780 LVW458780 MFS458780 MPO458780 MZK458780 NJG458780 NTC458780 OCY458780 OMU458780 OWQ458780 PGM458780 PQI458780 QAE458780 QKA458780 QTW458780 RDS458780 RNO458780 RXK458780 SHG458780 SRC458780 TAY458780 TKU458780 TUQ458780 UEM458780 UOI458780 UYE458780 VIA458780 VRW458780 WBS458780 WLO458780 WVK458780 C524316 IY524316 SU524316 ACQ524316 AMM524316 AWI524316 BGE524316 BQA524316 BZW524316 CJS524316 CTO524316 DDK524316 DNG524316 DXC524316 EGY524316 EQU524316 FAQ524316 FKM524316 FUI524316 GEE524316 GOA524316 GXW524316 HHS524316 HRO524316 IBK524316 ILG524316 IVC524316 JEY524316 JOU524316 JYQ524316 KIM524316 KSI524316 LCE524316 LMA524316 LVW524316 MFS524316 MPO524316 MZK524316 NJG524316 NTC524316 OCY524316 OMU524316 OWQ524316 PGM524316 PQI524316 QAE524316 QKA524316 QTW524316 RDS524316 RNO524316 RXK524316 SHG524316 SRC524316 TAY524316 TKU524316 TUQ524316 UEM524316 UOI524316 UYE524316 VIA524316 VRW524316 WBS524316 WLO524316 WVK524316 C589852 IY589852 SU589852 ACQ589852 AMM589852 AWI589852 BGE589852 BQA589852 BZW589852 CJS589852 CTO589852 DDK589852 DNG589852 DXC589852 EGY589852 EQU589852 FAQ589852 FKM589852 FUI589852 GEE589852 GOA589852 GXW589852 HHS589852 HRO589852 IBK589852 ILG589852 IVC589852 JEY589852 JOU589852 JYQ589852 KIM589852 KSI589852 LCE589852 LMA589852 LVW589852 MFS589852 MPO589852 MZK589852 NJG589852 NTC589852 OCY589852 OMU589852 OWQ589852 PGM589852 PQI589852 QAE589852 QKA589852 QTW589852 RDS589852 RNO589852 RXK589852 SHG589852 SRC589852 TAY589852 TKU589852 TUQ589852 UEM589852 UOI589852 UYE589852 VIA589852 VRW589852 WBS589852 WLO589852 WVK589852 C655388 IY655388 SU655388 ACQ655388 AMM655388 AWI655388 BGE655388 BQA655388 BZW655388 CJS655388 CTO655388 DDK655388 DNG655388 DXC655388 EGY655388 EQU655388 FAQ655388 FKM655388 FUI655388 GEE655388 GOA655388 GXW655388 HHS655388 HRO655388 IBK655388 ILG655388 IVC655388 JEY655388 JOU655388 JYQ655388 KIM655388 KSI655388 LCE655388 LMA655388 LVW655388 MFS655388 MPO655388 MZK655388 NJG655388 NTC655388 OCY655388 OMU655388 OWQ655388 PGM655388 PQI655388 QAE655388 QKA655388 QTW655388 RDS655388 RNO655388 RXK655388 SHG655388 SRC655388 TAY655388 TKU655388 TUQ655388 UEM655388 UOI655388 UYE655388 VIA655388 VRW655388 WBS655388 WLO655388 WVK655388 C720924 IY720924 SU720924 ACQ720924 AMM720924 AWI720924 BGE720924 BQA720924 BZW720924 CJS720924 CTO720924 DDK720924 DNG720924 DXC720924 EGY720924 EQU720924 FAQ720924 FKM720924 FUI720924 GEE720924 GOA720924 GXW720924 HHS720924 HRO720924 IBK720924 ILG720924 IVC720924 JEY720924 JOU720924 JYQ720924 KIM720924 KSI720924 LCE720924 LMA720924 LVW720924 MFS720924 MPO720924 MZK720924 NJG720924 NTC720924 OCY720924 OMU720924 OWQ720924 PGM720924 PQI720924 QAE720924 QKA720924 QTW720924 RDS720924 RNO720924 RXK720924 SHG720924 SRC720924 TAY720924 TKU720924 TUQ720924 UEM720924 UOI720924 UYE720924 VIA720924 VRW720924 WBS720924 WLO720924 WVK720924 C786460 IY786460 SU786460 ACQ786460 AMM786460 AWI786460 BGE786460 BQA786460 BZW786460 CJS786460 CTO786460 DDK786460 DNG786460 DXC786460 EGY786460 EQU786460 FAQ786460 FKM786460 FUI786460 GEE786460 GOA786460 GXW786460 HHS786460 HRO786460 IBK786460 ILG786460 IVC786460 JEY786460 JOU786460 JYQ786460 KIM786460 KSI786460 LCE786460 LMA786460 LVW786460 MFS786460 MPO786460 MZK786460 NJG786460 NTC786460 OCY786460 OMU786460 OWQ786460 PGM786460 PQI786460 QAE786460 QKA786460 QTW786460 RDS786460 RNO786460 RXK786460 SHG786460 SRC786460 TAY786460 TKU786460 TUQ786460 UEM786460 UOI786460 UYE786460 VIA786460 VRW786460 WBS786460 WLO786460 WVK786460 C851996 IY851996 SU851996 ACQ851996 AMM851996 AWI851996 BGE851996 BQA851996 BZW851996 CJS851996 CTO851996 DDK851996 DNG851996 DXC851996 EGY851996 EQU851996 FAQ851996 FKM851996 FUI851996 GEE851996 GOA851996 GXW851996 HHS851996 HRO851996 IBK851996 ILG851996 IVC851996 JEY851996 JOU851996 JYQ851996 KIM851996 KSI851996 LCE851996 LMA851996 LVW851996 MFS851996 MPO851996 MZK851996 NJG851996 NTC851996 OCY851996 OMU851996 OWQ851996 PGM851996 PQI851996 QAE851996 QKA851996 QTW851996 RDS851996 RNO851996 RXK851996 SHG851996 SRC851996 TAY851996 TKU851996 TUQ851996 UEM851996 UOI851996 UYE851996 VIA851996 VRW851996 WBS851996 WLO851996 WVK851996 C917532 IY917532 SU917532 ACQ917532 AMM917532 AWI917532 BGE917532 BQA917532 BZW917532 CJS917532 CTO917532 DDK917532 DNG917532 DXC917532 EGY917532 EQU917532 FAQ917532 FKM917532 FUI917532 GEE917532 GOA917532 GXW917532 HHS917532 HRO917532 IBK917532 ILG917532 IVC917532 JEY917532 JOU917532 JYQ917532 KIM917532 KSI917532 LCE917532 LMA917532 LVW917532 MFS917532 MPO917532 MZK917532 NJG917532 NTC917532 OCY917532 OMU917532 OWQ917532 PGM917532 PQI917532 QAE917532 QKA917532 QTW917532 RDS917532 RNO917532 RXK917532 SHG917532 SRC917532 TAY917532 TKU917532 TUQ917532 UEM917532 UOI917532 UYE917532 VIA917532 VRW917532 WBS917532 WLO917532 WVK917532 C983068 IY983068 SU983068 ACQ983068 AMM983068 AWI983068 BGE983068 BQA983068 BZW983068 CJS983068 CTO983068 DDK983068 DNG983068 DXC983068 EGY983068 EQU983068 FAQ983068 FKM983068 FUI983068 GEE983068 GOA983068 GXW983068 HHS983068 HRO983068 IBK983068 ILG983068 IVC983068 JEY983068 JOU983068 JYQ983068 KIM983068 KSI983068 LCE983068 LMA983068 LVW983068 MFS983068 MPO983068 MZK983068 NJG983068 NTC983068 OCY983068 OMU983068 OWQ983068 PGM983068 PQI983068 QAE983068 QKA983068 QTW983068 RDS983068 RNO983068 RXK983068 SHG983068 SRC983068 TAY983068 TKU983068 TUQ983068 UEM983068 UOI983068 UYE983068 VIA983068 VRW983068 WBS983068 WLO983068 WVK983068 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formula1>商业楼层</formula1>
    </dataValidation>
    <dataValidation type="list" allowBlank="1" showInputMessage="1" showErrorMessage="1" sqref="C27 IY27 SU27 ACQ27 AMM27 AWI27 BGE27 BQA27 BZW27 CJS27 CTO27 DDK27 DNG27 DXC27 EGY27 EQU27 FAQ27 FKM27 FUI27 GEE27 GOA27 GXW27 HHS27 HRO27 IBK27 ILG27 IVC27 JEY27 JOU27 JYQ27 KIM27 KSI27 LCE27 LMA27 LVW27 MFS27 MPO27 MZK27 NJG27 NTC27 OCY27 OMU27 OWQ27 PGM27 PQI27 QAE27 QKA27 QTW27 RDS27 RNO27 RXK27 SHG27 SRC27 TAY27 TKU27 TUQ27 UEM27 UOI27 UYE27 VIA27 VRW27 WBS27 WLO27 WVK27 C65563 IY65563 SU65563 ACQ65563 AMM65563 AWI65563 BGE65563 BQA65563 BZW65563 CJS65563 CTO65563 DDK65563 DNG65563 DXC65563 EGY65563 EQU65563 FAQ65563 FKM65563 FUI65563 GEE65563 GOA65563 GXW65563 HHS65563 HRO65563 IBK65563 ILG65563 IVC65563 JEY65563 JOU65563 JYQ65563 KIM65563 KSI65563 LCE65563 LMA65563 LVW65563 MFS65563 MPO65563 MZK65563 NJG65563 NTC65563 OCY65563 OMU65563 OWQ65563 PGM65563 PQI65563 QAE65563 QKA65563 QTW65563 RDS65563 RNO65563 RXK65563 SHG65563 SRC65563 TAY65563 TKU65563 TUQ65563 UEM65563 UOI65563 UYE65563 VIA65563 VRW65563 WBS65563 WLO65563 WVK65563 C131099 IY131099 SU131099 ACQ131099 AMM131099 AWI131099 BGE131099 BQA131099 BZW131099 CJS131099 CTO131099 DDK131099 DNG131099 DXC131099 EGY131099 EQU131099 FAQ131099 FKM131099 FUI131099 GEE131099 GOA131099 GXW131099 HHS131099 HRO131099 IBK131099 ILG131099 IVC131099 JEY131099 JOU131099 JYQ131099 KIM131099 KSI131099 LCE131099 LMA131099 LVW131099 MFS131099 MPO131099 MZK131099 NJG131099 NTC131099 OCY131099 OMU131099 OWQ131099 PGM131099 PQI131099 QAE131099 QKA131099 QTW131099 RDS131099 RNO131099 RXK131099 SHG131099 SRC131099 TAY131099 TKU131099 TUQ131099 UEM131099 UOI131099 UYE131099 VIA131099 VRW131099 WBS131099 WLO131099 WVK131099 C196635 IY196635 SU196635 ACQ196635 AMM196635 AWI196635 BGE196635 BQA196635 BZW196635 CJS196635 CTO196635 DDK196635 DNG196635 DXC196635 EGY196635 EQU196635 FAQ196635 FKM196635 FUI196635 GEE196635 GOA196635 GXW196635 HHS196635 HRO196635 IBK196635 ILG196635 IVC196635 JEY196635 JOU196635 JYQ196635 KIM196635 KSI196635 LCE196635 LMA196635 LVW196635 MFS196635 MPO196635 MZK196635 NJG196635 NTC196635 OCY196635 OMU196635 OWQ196635 PGM196635 PQI196635 QAE196635 QKA196635 QTW196635 RDS196635 RNO196635 RXK196635 SHG196635 SRC196635 TAY196635 TKU196635 TUQ196635 UEM196635 UOI196635 UYE196635 VIA196635 VRW196635 WBS196635 WLO196635 WVK196635 C262171 IY262171 SU262171 ACQ262171 AMM262171 AWI262171 BGE262171 BQA262171 BZW262171 CJS262171 CTO262171 DDK262171 DNG262171 DXC262171 EGY262171 EQU262171 FAQ262171 FKM262171 FUI262171 GEE262171 GOA262171 GXW262171 HHS262171 HRO262171 IBK262171 ILG262171 IVC262171 JEY262171 JOU262171 JYQ262171 KIM262171 KSI262171 LCE262171 LMA262171 LVW262171 MFS262171 MPO262171 MZK262171 NJG262171 NTC262171 OCY262171 OMU262171 OWQ262171 PGM262171 PQI262171 QAE262171 QKA262171 QTW262171 RDS262171 RNO262171 RXK262171 SHG262171 SRC262171 TAY262171 TKU262171 TUQ262171 UEM262171 UOI262171 UYE262171 VIA262171 VRW262171 WBS262171 WLO262171 WVK262171 C327707 IY327707 SU327707 ACQ327707 AMM327707 AWI327707 BGE327707 BQA327707 BZW327707 CJS327707 CTO327707 DDK327707 DNG327707 DXC327707 EGY327707 EQU327707 FAQ327707 FKM327707 FUI327707 GEE327707 GOA327707 GXW327707 HHS327707 HRO327707 IBK327707 ILG327707 IVC327707 JEY327707 JOU327707 JYQ327707 KIM327707 KSI327707 LCE327707 LMA327707 LVW327707 MFS327707 MPO327707 MZK327707 NJG327707 NTC327707 OCY327707 OMU327707 OWQ327707 PGM327707 PQI327707 QAE327707 QKA327707 QTW327707 RDS327707 RNO327707 RXK327707 SHG327707 SRC327707 TAY327707 TKU327707 TUQ327707 UEM327707 UOI327707 UYE327707 VIA327707 VRW327707 WBS327707 WLO327707 WVK327707 C393243 IY393243 SU393243 ACQ393243 AMM393243 AWI393243 BGE393243 BQA393243 BZW393243 CJS393243 CTO393243 DDK393243 DNG393243 DXC393243 EGY393243 EQU393243 FAQ393243 FKM393243 FUI393243 GEE393243 GOA393243 GXW393243 HHS393243 HRO393243 IBK393243 ILG393243 IVC393243 JEY393243 JOU393243 JYQ393243 KIM393243 KSI393243 LCE393243 LMA393243 LVW393243 MFS393243 MPO393243 MZK393243 NJG393243 NTC393243 OCY393243 OMU393243 OWQ393243 PGM393243 PQI393243 QAE393243 QKA393243 QTW393243 RDS393243 RNO393243 RXK393243 SHG393243 SRC393243 TAY393243 TKU393243 TUQ393243 UEM393243 UOI393243 UYE393243 VIA393243 VRW393243 WBS393243 WLO393243 WVK393243 C458779 IY458779 SU458779 ACQ458779 AMM458779 AWI458779 BGE458779 BQA458779 BZW458779 CJS458779 CTO458779 DDK458779 DNG458779 DXC458779 EGY458779 EQU458779 FAQ458779 FKM458779 FUI458779 GEE458779 GOA458779 GXW458779 HHS458779 HRO458779 IBK458779 ILG458779 IVC458779 JEY458779 JOU458779 JYQ458779 KIM458779 KSI458779 LCE458779 LMA458779 LVW458779 MFS458779 MPO458779 MZK458779 NJG458779 NTC458779 OCY458779 OMU458779 OWQ458779 PGM458779 PQI458779 QAE458779 QKA458779 QTW458779 RDS458779 RNO458779 RXK458779 SHG458779 SRC458779 TAY458779 TKU458779 TUQ458779 UEM458779 UOI458779 UYE458779 VIA458779 VRW458779 WBS458779 WLO458779 WVK458779 C524315 IY524315 SU524315 ACQ524315 AMM524315 AWI524315 BGE524315 BQA524315 BZW524315 CJS524315 CTO524315 DDK524315 DNG524315 DXC524315 EGY524315 EQU524315 FAQ524315 FKM524315 FUI524315 GEE524315 GOA524315 GXW524315 HHS524315 HRO524315 IBK524315 ILG524315 IVC524315 JEY524315 JOU524315 JYQ524315 KIM524315 KSI524315 LCE524315 LMA524315 LVW524315 MFS524315 MPO524315 MZK524315 NJG524315 NTC524315 OCY524315 OMU524315 OWQ524315 PGM524315 PQI524315 QAE524315 QKA524315 QTW524315 RDS524315 RNO524315 RXK524315 SHG524315 SRC524315 TAY524315 TKU524315 TUQ524315 UEM524315 UOI524315 UYE524315 VIA524315 VRW524315 WBS524315 WLO524315 WVK524315 C589851 IY589851 SU589851 ACQ589851 AMM589851 AWI589851 BGE589851 BQA589851 BZW589851 CJS589851 CTO589851 DDK589851 DNG589851 DXC589851 EGY589851 EQU589851 FAQ589851 FKM589851 FUI589851 GEE589851 GOA589851 GXW589851 HHS589851 HRO589851 IBK589851 ILG589851 IVC589851 JEY589851 JOU589851 JYQ589851 KIM589851 KSI589851 LCE589851 LMA589851 LVW589851 MFS589851 MPO589851 MZK589851 NJG589851 NTC589851 OCY589851 OMU589851 OWQ589851 PGM589851 PQI589851 QAE589851 QKA589851 QTW589851 RDS589851 RNO589851 RXK589851 SHG589851 SRC589851 TAY589851 TKU589851 TUQ589851 UEM589851 UOI589851 UYE589851 VIA589851 VRW589851 WBS589851 WLO589851 WVK589851 C655387 IY655387 SU655387 ACQ655387 AMM655387 AWI655387 BGE655387 BQA655387 BZW655387 CJS655387 CTO655387 DDK655387 DNG655387 DXC655387 EGY655387 EQU655387 FAQ655387 FKM655387 FUI655387 GEE655387 GOA655387 GXW655387 HHS655387 HRO655387 IBK655387 ILG655387 IVC655387 JEY655387 JOU655387 JYQ655387 KIM655387 KSI655387 LCE655387 LMA655387 LVW655387 MFS655387 MPO655387 MZK655387 NJG655387 NTC655387 OCY655387 OMU655387 OWQ655387 PGM655387 PQI655387 QAE655387 QKA655387 QTW655387 RDS655387 RNO655387 RXK655387 SHG655387 SRC655387 TAY655387 TKU655387 TUQ655387 UEM655387 UOI655387 UYE655387 VIA655387 VRW655387 WBS655387 WLO655387 WVK655387 C720923 IY720923 SU720923 ACQ720923 AMM720923 AWI720923 BGE720923 BQA720923 BZW720923 CJS720923 CTO720923 DDK720923 DNG720923 DXC720923 EGY720923 EQU720923 FAQ720923 FKM720923 FUI720923 GEE720923 GOA720923 GXW720923 HHS720923 HRO720923 IBK720923 ILG720923 IVC720923 JEY720923 JOU720923 JYQ720923 KIM720923 KSI720923 LCE720923 LMA720923 LVW720923 MFS720923 MPO720923 MZK720923 NJG720923 NTC720923 OCY720923 OMU720923 OWQ720923 PGM720923 PQI720923 QAE720923 QKA720923 QTW720923 RDS720923 RNO720923 RXK720923 SHG720923 SRC720923 TAY720923 TKU720923 TUQ720923 UEM720923 UOI720923 UYE720923 VIA720923 VRW720923 WBS720923 WLO720923 WVK720923 C786459 IY786459 SU786459 ACQ786459 AMM786459 AWI786459 BGE786459 BQA786459 BZW786459 CJS786459 CTO786459 DDK786459 DNG786459 DXC786459 EGY786459 EQU786459 FAQ786459 FKM786459 FUI786459 GEE786459 GOA786459 GXW786459 HHS786459 HRO786459 IBK786459 ILG786459 IVC786459 JEY786459 JOU786459 JYQ786459 KIM786459 KSI786459 LCE786459 LMA786459 LVW786459 MFS786459 MPO786459 MZK786459 NJG786459 NTC786459 OCY786459 OMU786459 OWQ786459 PGM786459 PQI786459 QAE786459 QKA786459 QTW786459 RDS786459 RNO786459 RXK786459 SHG786459 SRC786459 TAY786459 TKU786459 TUQ786459 UEM786459 UOI786459 UYE786459 VIA786459 VRW786459 WBS786459 WLO786459 WVK786459 C851995 IY851995 SU851995 ACQ851995 AMM851995 AWI851995 BGE851995 BQA851995 BZW851995 CJS851995 CTO851995 DDK851995 DNG851995 DXC851995 EGY851995 EQU851995 FAQ851995 FKM851995 FUI851995 GEE851995 GOA851995 GXW851995 HHS851995 HRO851995 IBK851995 ILG851995 IVC851995 JEY851995 JOU851995 JYQ851995 KIM851995 KSI851995 LCE851995 LMA851995 LVW851995 MFS851995 MPO851995 MZK851995 NJG851995 NTC851995 OCY851995 OMU851995 OWQ851995 PGM851995 PQI851995 QAE851995 QKA851995 QTW851995 RDS851995 RNO851995 RXK851995 SHG851995 SRC851995 TAY851995 TKU851995 TUQ851995 UEM851995 UOI851995 UYE851995 VIA851995 VRW851995 WBS851995 WLO851995 WVK851995 C917531 IY917531 SU917531 ACQ917531 AMM917531 AWI917531 BGE917531 BQA917531 BZW917531 CJS917531 CTO917531 DDK917531 DNG917531 DXC917531 EGY917531 EQU917531 FAQ917531 FKM917531 FUI917531 GEE917531 GOA917531 GXW917531 HHS917531 HRO917531 IBK917531 ILG917531 IVC917531 JEY917531 JOU917531 JYQ917531 KIM917531 KSI917531 LCE917531 LMA917531 LVW917531 MFS917531 MPO917531 MZK917531 NJG917531 NTC917531 OCY917531 OMU917531 OWQ917531 PGM917531 PQI917531 QAE917531 QKA917531 QTW917531 RDS917531 RNO917531 RXK917531 SHG917531 SRC917531 TAY917531 TKU917531 TUQ917531 UEM917531 UOI917531 UYE917531 VIA917531 VRW917531 WBS917531 WLO917531 WVK917531 C983067 IY983067 SU983067 ACQ983067 AMM983067 AWI983067 BGE983067 BQA983067 BZW983067 CJS983067 CTO983067 DDK983067 DNG983067 DXC983067 EGY983067 EQU983067 FAQ983067 FKM983067 FUI983067 GEE983067 GOA983067 GXW983067 HHS983067 HRO983067 IBK983067 ILG983067 IVC983067 JEY983067 JOU983067 JYQ983067 KIM983067 KSI983067 LCE983067 LMA983067 LVW983067 MFS983067 MPO983067 MZK983067 NJG983067 NTC983067 OCY983067 OMU983067 OWQ983067 PGM983067 PQI983067 QAE983067 QKA983067 QTW983067 RDS983067 RNO983067 RXK983067 SHG983067 SRC983067 TAY983067 TKU983067 TUQ983067 UEM983067 UOI983067 UYE983067 VIA983067 VRW983067 WBS983067 WLO983067 WVK983067 E27 JA27 SW27 ACS27 AMO27 AWK27 BGG27 BQC27 BZY27 CJU27 CTQ27 DDM27 DNI27 DXE27 EHA27 EQW27 FAS27 FKO27 FUK27 GEG27 GOC27 GXY27 HHU27 HRQ27 IBM27 ILI27 IVE27 JFA27 JOW27 JYS27 KIO27 KSK27 LCG27 LMC27 LVY27 MFU27 MPQ27 MZM27 NJI27 NTE27 ODA27 OMW27 OWS27 PGO27 PQK27 QAG27 QKC27 QTY27 RDU27 RNQ27 RXM27 SHI27 SRE27 TBA27 TKW27 TUS27 UEO27 UOK27 UYG27 VIC27 VRY27 WBU27 WLQ27 WVM27 E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E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E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E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E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E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E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E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E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E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E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E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E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E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E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WVM983067 G27 JC27 SY27 ACU27 AMQ27 AWM27 BGI27 BQE27 CAA27 CJW27 CTS27 DDO27 DNK27 DXG27 EHC27 EQY27 FAU27 FKQ27 FUM27 GEI27 GOE27 GYA27 HHW27 HRS27 IBO27 ILK27 IVG27 JFC27 JOY27 JYU27 KIQ27 KSM27 LCI27 LME27 LWA27 MFW27 MPS27 MZO27 NJK27 NTG27 ODC27 OMY27 OWU27 PGQ27 PQM27 QAI27 QKE27 QUA27 RDW27 RNS27 RXO27 SHK27 SRG27 TBC27 TKY27 TUU27 UEQ27 UOM27 UYI27 VIE27 VSA27 WBW27 WLS27 WVO27 G65563 JC65563 SY65563 ACU65563 AMQ65563 AWM65563 BGI65563 BQE65563 CAA65563 CJW65563 CTS65563 DDO65563 DNK65563 DXG65563 EHC65563 EQY65563 FAU65563 FKQ65563 FUM65563 GEI65563 GOE65563 GYA65563 HHW65563 HRS65563 IBO65563 ILK65563 IVG65563 JFC65563 JOY65563 JYU65563 KIQ65563 KSM65563 LCI65563 LME65563 LWA65563 MFW65563 MPS65563 MZO65563 NJK65563 NTG65563 ODC65563 OMY65563 OWU65563 PGQ65563 PQM65563 QAI65563 QKE65563 QUA65563 RDW65563 RNS65563 RXO65563 SHK65563 SRG65563 TBC65563 TKY65563 TUU65563 UEQ65563 UOM65563 UYI65563 VIE65563 VSA65563 WBW65563 WLS65563 WVO65563 G131099 JC131099 SY131099 ACU131099 AMQ131099 AWM131099 BGI131099 BQE131099 CAA131099 CJW131099 CTS131099 DDO131099 DNK131099 DXG131099 EHC131099 EQY131099 FAU131099 FKQ131099 FUM131099 GEI131099 GOE131099 GYA131099 HHW131099 HRS131099 IBO131099 ILK131099 IVG131099 JFC131099 JOY131099 JYU131099 KIQ131099 KSM131099 LCI131099 LME131099 LWA131099 MFW131099 MPS131099 MZO131099 NJK131099 NTG131099 ODC131099 OMY131099 OWU131099 PGQ131099 PQM131099 QAI131099 QKE131099 QUA131099 RDW131099 RNS131099 RXO131099 SHK131099 SRG131099 TBC131099 TKY131099 TUU131099 UEQ131099 UOM131099 UYI131099 VIE131099 VSA131099 WBW131099 WLS131099 WVO131099 G196635 JC196635 SY196635 ACU196635 AMQ196635 AWM196635 BGI196635 BQE196635 CAA196635 CJW196635 CTS196635 DDO196635 DNK196635 DXG196635 EHC196635 EQY196635 FAU196635 FKQ196635 FUM196635 GEI196635 GOE196635 GYA196635 HHW196635 HRS196635 IBO196635 ILK196635 IVG196635 JFC196635 JOY196635 JYU196635 KIQ196635 KSM196635 LCI196635 LME196635 LWA196635 MFW196635 MPS196635 MZO196635 NJK196635 NTG196635 ODC196635 OMY196635 OWU196635 PGQ196635 PQM196635 QAI196635 QKE196635 QUA196635 RDW196635 RNS196635 RXO196635 SHK196635 SRG196635 TBC196635 TKY196635 TUU196635 UEQ196635 UOM196635 UYI196635 VIE196635 VSA196635 WBW196635 WLS196635 WVO196635 G262171 JC262171 SY262171 ACU262171 AMQ262171 AWM262171 BGI262171 BQE262171 CAA262171 CJW262171 CTS262171 DDO262171 DNK262171 DXG262171 EHC262171 EQY262171 FAU262171 FKQ262171 FUM262171 GEI262171 GOE262171 GYA262171 HHW262171 HRS262171 IBO262171 ILK262171 IVG262171 JFC262171 JOY262171 JYU262171 KIQ262171 KSM262171 LCI262171 LME262171 LWA262171 MFW262171 MPS262171 MZO262171 NJK262171 NTG262171 ODC262171 OMY262171 OWU262171 PGQ262171 PQM262171 QAI262171 QKE262171 QUA262171 RDW262171 RNS262171 RXO262171 SHK262171 SRG262171 TBC262171 TKY262171 TUU262171 UEQ262171 UOM262171 UYI262171 VIE262171 VSA262171 WBW262171 WLS262171 WVO262171 G327707 JC327707 SY327707 ACU327707 AMQ327707 AWM327707 BGI327707 BQE327707 CAA327707 CJW327707 CTS327707 DDO327707 DNK327707 DXG327707 EHC327707 EQY327707 FAU327707 FKQ327707 FUM327707 GEI327707 GOE327707 GYA327707 HHW327707 HRS327707 IBO327707 ILK327707 IVG327707 JFC327707 JOY327707 JYU327707 KIQ327707 KSM327707 LCI327707 LME327707 LWA327707 MFW327707 MPS327707 MZO327707 NJK327707 NTG327707 ODC327707 OMY327707 OWU327707 PGQ327707 PQM327707 QAI327707 QKE327707 QUA327707 RDW327707 RNS327707 RXO327707 SHK327707 SRG327707 TBC327707 TKY327707 TUU327707 UEQ327707 UOM327707 UYI327707 VIE327707 VSA327707 WBW327707 WLS327707 WVO327707 G393243 JC393243 SY393243 ACU393243 AMQ393243 AWM393243 BGI393243 BQE393243 CAA393243 CJW393243 CTS393243 DDO393243 DNK393243 DXG393243 EHC393243 EQY393243 FAU393243 FKQ393243 FUM393243 GEI393243 GOE393243 GYA393243 HHW393243 HRS393243 IBO393243 ILK393243 IVG393243 JFC393243 JOY393243 JYU393243 KIQ393243 KSM393243 LCI393243 LME393243 LWA393243 MFW393243 MPS393243 MZO393243 NJK393243 NTG393243 ODC393243 OMY393243 OWU393243 PGQ393243 PQM393243 QAI393243 QKE393243 QUA393243 RDW393243 RNS393243 RXO393243 SHK393243 SRG393243 TBC393243 TKY393243 TUU393243 UEQ393243 UOM393243 UYI393243 VIE393243 VSA393243 WBW393243 WLS393243 WVO393243 G458779 JC458779 SY458779 ACU458779 AMQ458779 AWM458779 BGI458779 BQE458779 CAA458779 CJW458779 CTS458779 DDO458779 DNK458779 DXG458779 EHC458779 EQY458779 FAU458779 FKQ458779 FUM458779 GEI458779 GOE458779 GYA458779 HHW458779 HRS458779 IBO458779 ILK458779 IVG458779 JFC458779 JOY458779 JYU458779 KIQ458779 KSM458779 LCI458779 LME458779 LWA458779 MFW458779 MPS458779 MZO458779 NJK458779 NTG458779 ODC458779 OMY458779 OWU458779 PGQ458779 PQM458779 QAI458779 QKE458779 QUA458779 RDW458779 RNS458779 RXO458779 SHK458779 SRG458779 TBC458779 TKY458779 TUU458779 UEQ458779 UOM458779 UYI458779 VIE458779 VSA458779 WBW458779 WLS458779 WVO458779 G524315 JC524315 SY524315 ACU524315 AMQ524315 AWM524315 BGI524315 BQE524315 CAA524315 CJW524315 CTS524315 DDO524315 DNK524315 DXG524315 EHC524315 EQY524315 FAU524315 FKQ524315 FUM524315 GEI524315 GOE524315 GYA524315 HHW524315 HRS524315 IBO524315 ILK524315 IVG524315 JFC524315 JOY524315 JYU524315 KIQ524315 KSM524315 LCI524315 LME524315 LWA524315 MFW524315 MPS524315 MZO524315 NJK524315 NTG524315 ODC524315 OMY524315 OWU524315 PGQ524315 PQM524315 QAI524315 QKE524315 QUA524315 RDW524315 RNS524315 RXO524315 SHK524315 SRG524315 TBC524315 TKY524315 TUU524315 UEQ524315 UOM524315 UYI524315 VIE524315 VSA524315 WBW524315 WLS524315 WVO524315 G589851 JC589851 SY589851 ACU589851 AMQ589851 AWM589851 BGI589851 BQE589851 CAA589851 CJW589851 CTS589851 DDO589851 DNK589851 DXG589851 EHC589851 EQY589851 FAU589851 FKQ589851 FUM589851 GEI589851 GOE589851 GYA589851 HHW589851 HRS589851 IBO589851 ILK589851 IVG589851 JFC589851 JOY589851 JYU589851 KIQ589851 KSM589851 LCI589851 LME589851 LWA589851 MFW589851 MPS589851 MZO589851 NJK589851 NTG589851 ODC589851 OMY589851 OWU589851 PGQ589851 PQM589851 QAI589851 QKE589851 QUA589851 RDW589851 RNS589851 RXO589851 SHK589851 SRG589851 TBC589851 TKY589851 TUU589851 UEQ589851 UOM589851 UYI589851 VIE589851 VSA589851 WBW589851 WLS589851 WVO589851 G655387 JC655387 SY655387 ACU655387 AMQ655387 AWM655387 BGI655387 BQE655387 CAA655387 CJW655387 CTS655387 DDO655387 DNK655387 DXG655387 EHC655387 EQY655387 FAU655387 FKQ655387 FUM655387 GEI655387 GOE655387 GYA655387 HHW655387 HRS655387 IBO655387 ILK655387 IVG655387 JFC655387 JOY655387 JYU655387 KIQ655387 KSM655387 LCI655387 LME655387 LWA655387 MFW655387 MPS655387 MZO655387 NJK655387 NTG655387 ODC655387 OMY655387 OWU655387 PGQ655387 PQM655387 QAI655387 QKE655387 QUA655387 RDW655387 RNS655387 RXO655387 SHK655387 SRG655387 TBC655387 TKY655387 TUU655387 UEQ655387 UOM655387 UYI655387 VIE655387 VSA655387 WBW655387 WLS655387 WVO655387 G720923 JC720923 SY720923 ACU720923 AMQ720923 AWM720923 BGI720923 BQE720923 CAA720923 CJW720923 CTS720923 DDO720923 DNK720923 DXG720923 EHC720923 EQY720923 FAU720923 FKQ720923 FUM720923 GEI720923 GOE720923 GYA720923 HHW720923 HRS720923 IBO720923 ILK720923 IVG720923 JFC720923 JOY720923 JYU720923 KIQ720923 KSM720923 LCI720923 LME720923 LWA720923 MFW720923 MPS720923 MZO720923 NJK720923 NTG720923 ODC720923 OMY720923 OWU720923 PGQ720923 PQM720923 QAI720923 QKE720923 QUA720923 RDW720923 RNS720923 RXO720923 SHK720923 SRG720923 TBC720923 TKY720923 TUU720923 UEQ720923 UOM720923 UYI720923 VIE720923 VSA720923 WBW720923 WLS720923 WVO720923 G786459 JC786459 SY786459 ACU786459 AMQ786459 AWM786459 BGI786459 BQE786459 CAA786459 CJW786459 CTS786459 DDO786459 DNK786459 DXG786459 EHC786459 EQY786459 FAU786459 FKQ786459 FUM786459 GEI786459 GOE786459 GYA786459 HHW786459 HRS786459 IBO786459 ILK786459 IVG786459 JFC786459 JOY786459 JYU786459 KIQ786459 KSM786459 LCI786459 LME786459 LWA786459 MFW786459 MPS786459 MZO786459 NJK786459 NTG786459 ODC786459 OMY786459 OWU786459 PGQ786459 PQM786459 QAI786459 QKE786459 QUA786459 RDW786459 RNS786459 RXO786459 SHK786459 SRG786459 TBC786459 TKY786459 TUU786459 UEQ786459 UOM786459 UYI786459 VIE786459 VSA786459 WBW786459 WLS786459 WVO786459 G851995 JC851995 SY851995 ACU851995 AMQ851995 AWM851995 BGI851995 BQE851995 CAA851995 CJW851995 CTS851995 DDO851995 DNK851995 DXG851995 EHC851995 EQY851995 FAU851995 FKQ851995 FUM851995 GEI851995 GOE851995 GYA851995 HHW851995 HRS851995 IBO851995 ILK851995 IVG851995 JFC851995 JOY851995 JYU851995 KIQ851995 KSM851995 LCI851995 LME851995 LWA851995 MFW851995 MPS851995 MZO851995 NJK851995 NTG851995 ODC851995 OMY851995 OWU851995 PGQ851995 PQM851995 QAI851995 QKE851995 QUA851995 RDW851995 RNS851995 RXO851995 SHK851995 SRG851995 TBC851995 TKY851995 TUU851995 UEQ851995 UOM851995 UYI851995 VIE851995 VSA851995 WBW851995 WLS851995 WVO851995 G917531 JC917531 SY917531 ACU917531 AMQ917531 AWM917531 BGI917531 BQE917531 CAA917531 CJW917531 CTS917531 DDO917531 DNK917531 DXG917531 EHC917531 EQY917531 FAU917531 FKQ917531 FUM917531 GEI917531 GOE917531 GYA917531 HHW917531 HRS917531 IBO917531 ILK917531 IVG917531 JFC917531 JOY917531 JYU917531 KIQ917531 KSM917531 LCI917531 LME917531 LWA917531 MFW917531 MPS917531 MZO917531 NJK917531 NTG917531 ODC917531 OMY917531 OWU917531 PGQ917531 PQM917531 QAI917531 QKE917531 QUA917531 RDW917531 RNS917531 RXO917531 SHK917531 SRG917531 TBC917531 TKY917531 TUU917531 UEQ917531 UOM917531 UYI917531 VIE917531 VSA917531 WBW917531 WLS917531 WVO917531 G983067 JC983067 SY983067 ACU983067 AMQ983067 AWM983067 BGI983067 BQE983067 CAA983067 CJW983067 CTS983067 DDO983067 DNK983067 DXG983067 EHC983067 EQY983067 FAU983067 FKQ983067 FUM983067 GEI983067 GOE983067 GYA983067 HHW983067 HRS983067 IBO983067 ILK983067 IVG983067 JFC983067 JOY983067 JYU983067 KIQ983067 KSM983067 LCI983067 LME983067 LWA983067 MFW983067 MPS983067 MZO983067 NJK983067 NTG983067 ODC983067 OMY983067 OWU983067 PGQ983067 PQM983067 QAI983067 QKE983067 QUA983067 RDW983067 RNS983067 RXO983067 SHK983067 SRG983067 TBC983067 TKY983067 TUU983067 UEQ983067 UOM983067 UYI983067 VIE983067 VSA983067 WBW983067 WLS983067 WVO983067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formula1>商业人流量</formula1>
    </dataValidation>
    <dataValidation type="list" allowBlank="1" showInputMessage="1" showErrorMessage="1" sqref="C25 IY25 SU25 ACQ25 AMM25 AWI25 BGE25 BQA25 BZW25 CJS25 CTO25 DDK25 DNG25 DXC25 EGY25 EQU25 FAQ25 FKM25 FUI25 GEE25 GOA25 GXW25 HHS25 HRO25 IBK25 ILG25 IVC25 JEY25 JOU25 JYQ25 KIM25 KSI25 LCE25 LMA25 LVW25 MFS25 MPO25 MZK25 NJG25 NTC25 OCY25 OMU25 OWQ25 PGM25 PQI25 QAE25 QKA25 QTW25 RDS25 RNO25 RXK25 SHG25 SRC25 TAY25 TKU25 TUQ25 UEM25 UOI25 UYE25 VIA25 VRW25 WBS25 WLO25 WVK25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E25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E655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E131097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E196633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E262169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E327705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E393241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E458777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E524313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E589849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E655385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E720921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E786457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E851993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E917529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E983065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1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7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3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69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5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1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7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3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49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5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1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7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3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29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5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formula1>商业临街状况</formula1>
    </dataValidation>
    <dataValidation type="list" allowBlank="1" showInputMessage="1" showErrorMessage="1" sqref="E24 JA24 SW24 ACS24 AMO24 AWK24 BGG24 BQC24 BZY24 CJU24 CTQ24 DDM24 DNI24 DXE24 EHA24 EQW24 FAS24 FKO24 FUK24 GEG24 GOC24 GXY24 HHU24 HRQ24 IBM24 ILI24 IVE24 JFA24 JOW24 JYS24 KIO24 KSK24 LCG24 LMC24 LVY24 MFU24 MPQ24 MZM24 NJI24 NTE24 ODA24 OMW24 OWS24 PGO24 PQK24 QAG24 QKC24 QTY24 RDU24 RNQ24 RXM24 SHI24 SRE24 TBA24 TKW24 TUS24 UEO24 UOK24 UYG24 VIC24 VRY24 WBU24 WLQ24 WVM24 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G24 JC24 SY24 ACU24 AMQ24 AWM24 BGI24 BQE24 CAA24 CJW24 CTS24 DDO24 DNK24 DXG24 EHC24 EQY24 FAU24 FKQ24 FUM24 GEI24 GOE24 GYA24 HHW24 HRS24 IBO24 ILK24 IVG24 JFC24 JOY24 JYU24 KIQ24 KSM24 LCI24 LME24 LWA24 MFW24 MPS24 MZO24 NJK24 NTG24 ODC24 OMY24 OWU24 PGQ24 PQM24 QAI24 QKE24 QUA24 RDW24 RNS24 RXO24 SHK24 SRG24 TBC24 TKY24 TUU24 UEQ24 UOM24 UYI24 VIE24 VSA24 WBW24 WLS24 WVO24 G65560 JC65560 SY65560 ACU65560 AMQ65560 AWM65560 BGI65560 BQE65560 CAA65560 CJW65560 CTS65560 DDO65560 DNK65560 DXG65560 EHC65560 EQY65560 FAU65560 FKQ65560 FUM65560 GEI65560 GOE65560 GYA65560 HHW65560 HRS65560 IBO65560 ILK65560 IVG65560 JFC65560 JOY65560 JYU65560 KIQ65560 KSM65560 LCI65560 LME65560 LWA65560 MFW65560 MPS65560 MZO65560 NJK65560 NTG65560 ODC65560 OMY65560 OWU65560 PGQ65560 PQM65560 QAI65560 QKE65560 QUA65560 RDW65560 RNS65560 RXO65560 SHK65560 SRG65560 TBC65560 TKY65560 TUU65560 UEQ65560 UOM65560 UYI65560 VIE65560 VSA65560 WBW65560 WLS65560 WVO65560 G131096 JC131096 SY131096 ACU131096 AMQ131096 AWM131096 BGI131096 BQE131096 CAA131096 CJW131096 CTS131096 DDO131096 DNK131096 DXG131096 EHC131096 EQY131096 FAU131096 FKQ131096 FUM131096 GEI131096 GOE131096 GYA131096 HHW131096 HRS131096 IBO131096 ILK131096 IVG131096 JFC131096 JOY131096 JYU131096 KIQ131096 KSM131096 LCI131096 LME131096 LWA131096 MFW131096 MPS131096 MZO131096 NJK131096 NTG131096 ODC131096 OMY131096 OWU131096 PGQ131096 PQM131096 QAI131096 QKE131096 QUA131096 RDW131096 RNS131096 RXO131096 SHK131096 SRG131096 TBC131096 TKY131096 TUU131096 UEQ131096 UOM131096 UYI131096 VIE131096 VSA131096 WBW131096 WLS131096 WVO131096 G196632 JC196632 SY196632 ACU196632 AMQ196632 AWM196632 BGI196632 BQE196632 CAA196632 CJW196632 CTS196632 DDO196632 DNK196632 DXG196632 EHC196632 EQY196632 FAU196632 FKQ196632 FUM196632 GEI196632 GOE196632 GYA196632 HHW196632 HRS196632 IBO196632 ILK196632 IVG196632 JFC196632 JOY196632 JYU196632 KIQ196632 KSM196632 LCI196632 LME196632 LWA196632 MFW196632 MPS196632 MZO196632 NJK196632 NTG196632 ODC196632 OMY196632 OWU196632 PGQ196632 PQM196632 QAI196632 QKE196632 QUA196632 RDW196632 RNS196632 RXO196632 SHK196632 SRG196632 TBC196632 TKY196632 TUU196632 UEQ196632 UOM196632 UYI196632 VIE196632 VSA196632 WBW196632 WLS196632 WVO196632 G262168 JC262168 SY262168 ACU262168 AMQ262168 AWM262168 BGI262168 BQE262168 CAA262168 CJW262168 CTS262168 DDO262168 DNK262168 DXG262168 EHC262168 EQY262168 FAU262168 FKQ262168 FUM262168 GEI262168 GOE262168 GYA262168 HHW262168 HRS262168 IBO262168 ILK262168 IVG262168 JFC262168 JOY262168 JYU262168 KIQ262168 KSM262168 LCI262168 LME262168 LWA262168 MFW262168 MPS262168 MZO262168 NJK262168 NTG262168 ODC262168 OMY262168 OWU262168 PGQ262168 PQM262168 QAI262168 QKE262168 QUA262168 RDW262168 RNS262168 RXO262168 SHK262168 SRG262168 TBC262168 TKY262168 TUU262168 UEQ262168 UOM262168 UYI262168 VIE262168 VSA262168 WBW262168 WLS262168 WVO262168 G327704 JC327704 SY327704 ACU327704 AMQ327704 AWM327704 BGI327704 BQE327704 CAA327704 CJW327704 CTS327704 DDO327704 DNK327704 DXG327704 EHC327704 EQY327704 FAU327704 FKQ327704 FUM327704 GEI327704 GOE327704 GYA327704 HHW327704 HRS327704 IBO327704 ILK327704 IVG327704 JFC327704 JOY327704 JYU327704 KIQ327704 KSM327704 LCI327704 LME327704 LWA327704 MFW327704 MPS327704 MZO327704 NJK327704 NTG327704 ODC327704 OMY327704 OWU327704 PGQ327704 PQM327704 QAI327704 QKE327704 QUA327704 RDW327704 RNS327704 RXO327704 SHK327704 SRG327704 TBC327704 TKY327704 TUU327704 UEQ327704 UOM327704 UYI327704 VIE327704 VSA327704 WBW327704 WLS327704 WVO327704 G393240 JC393240 SY393240 ACU393240 AMQ393240 AWM393240 BGI393240 BQE393240 CAA393240 CJW393240 CTS393240 DDO393240 DNK393240 DXG393240 EHC393240 EQY393240 FAU393240 FKQ393240 FUM393240 GEI393240 GOE393240 GYA393240 HHW393240 HRS393240 IBO393240 ILK393240 IVG393240 JFC393240 JOY393240 JYU393240 KIQ393240 KSM393240 LCI393240 LME393240 LWA393240 MFW393240 MPS393240 MZO393240 NJK393240 NTG393240 ODC393240 OMY393240 OWU393240 PGQ393240 PQM393240 QAI393240 QKE393240 QUA393240 RDW393240 RNS393240 RXO393240 SHK393240 SRG393240 TBC393240 TKY393240 TUU393240 UEQ393240 UOM393240 UYI393240 VIE393240 VSA393240 WBW393240 WLS393240 WVO393240 G458776 JC458776 SY458776 ACU458776 AMQ458776 AWM458776 BGI458776 BQE458776 CAA458776 CJW458776 CTS458776 DDO458776 DNK458776 DXG458776 EHC458776 EQY458776 FAU458776 FKQ458776 FUM458776 GEI458776 GOE458776 GYA458776 HHW458776 HRS458776 IBO458776 ILK458776 IVG458776 JFC458776 JOY458776 JYU458776 KIQ458776 KSM458776 LCI458776 LME458776 LWA458776 MFW458776 MPS458776 MZO458776 NJK458776 NTG458776 ODC458776 OMY458776 OWU458776 PGQ458776 PQM458776 QAI458776 QKE458776 QUA458776 RDW458776 RNS458776 RXO458776 SHK458776 SRG458776 TBC458776 TKY458776 TUU458776 UEQ458776 UOM458776 UYI458776 VIE458776 VSA458776 WBW458776 WLS458776 WVO458776 G524312 JC524312 SY524312 ACU524312 AMQ524312 AWM524312 BGI524312 BQE524312 CAA524312 CJW524312 CTS524312 DDO524312 DNK524312 DXG524312 EHC524312 EQY524312 FAU524312 FKQ524312 FUM524312 GEI524312 GOE524312 GYA524312 HHW524312 HRS524312 IBO524312 ILK524312 IVG524312 JFC524312 JOY524312 JYU524312 KIQ524312 KSM524312 LCI524312 LME524312 LWA524312 MFW524312 MPS524312 MZO524312 NJK524312 NTG524312 ODC524312 OMY524312 OWU524312 PGQ524312 PQM524312 QAI524312 QKE524312 QUA524312 RDW524312 RNS524312 RXO524312 SHK524312 SRG524312 TBC524312 TKY524312 TUU524312 UEQ524312 UOM524312 UYI524312 VIE524312 VSA524312 WBW524312 WLS524312 WVO524312 G589848 JC589848 SY589848 ACU589848 AMQ589848 AWM589848 BGI589848 BQE589848 CAA589848 CJW589848 CTS589848 DDO589848 DNK589848 DXG589848 EHC589848 EQY589848 FAU589848 FKQ589848 FUM589848 GEI589848 GOE589848 GYA589848 HHW589848 HRS589848 IBO589848 ILK589848 IVG589848 JFC589848 JOY589848 JYU589848 KIQ589848 KSM589848 LCI589848 LME589848 LWA589848 MFW589848 MPS589848 MZO589848 NJK589848 NTG589848 ODC589848 OMY589848 OWU589848 PGQ589848 PQM589848 QAI589848 QKE589848 QUA589848 RDW589848 RNS589848 RXO589848 SHK589848 SRG589848 TBC589848 TKY589848 TUU589848 UEQ589848 UOM589848 UYI589848 VIE589848 VSA589848 WBW589848 WLS589848 WVO589848 G655384 JC655384 SY655384 ACU655384 AMQ655384 AWM655384 BGI655384 BQE655384 CAA655384 CJW655384 CTS655384 DDO655384 DNK655384 DXG655384 EHC655384 EQY655384 FAU655384 FKQ655384 FUM655384 GEI655384 GOE655384 GYA655384 HHW655384 HRS655384 IBO655384 ILK655384 IVG655384 JFC655384 JOY655384 JYU655384 KIQ655384 KSM655384 LCI655384 LME655384 LWA655384 MFW655384 MPS655384 MZO655384 NJK655384 NTG655384 ODC655384 OMY655384 OWU655384 PGQ655384 PQM655384 QAI655384 QKE655384 QUA655384 RDW655384 RNS655384 RXO655384 SHK655384 SRG655384 TBC655384 TKY655384 TUU655384 UEQ655384 UOM655384 UYI655384 VIE655384 VSA655384 WBW655384 WLS655384 WVO655384 G720920 JC720920 SY720920 ACU720920 AMQ720920 AWM720920 BGI720920 BQE720920 CAA720920 CJW720920 CTS720920 DDO720920 DNK720920 DXG720920 EHC720920 EQY720920 FAU720920 FKQ720920 FUM720920 GEI720920 GOE720920 GYA720920 HHW720920 HRS720920 IBO720920 ILK720920 IVG720920 JFC720920 JOY720920 JYU720920 KIQ720920 KSM720920 LCI720920 LME720920 LWA720920 MFW720920 MPS720920 MZO720920 NJK720920 NTG720920 ODC720920 OMY720920 OWU720920 PGQ720920 PQM720920 QAI720920 QKE720920 QUA720920 RDW720920 RNS720920 RXO720920 SHK720920 SRG720920 TBC720920 TKY720920 TUU720920 UEQ720920 UOM720920 UYI720920 VIE720920 VSA720920 WBW720920 WLS720920 WVO720920 G786456 JC786456 SY786456 ACU786456 AMQ786456 AWM786456 BGI786456 BQE786456 CAA786456 CJW786456 CTS786456 DDO786456 DNK786456 DXG786456 EHC786456 EQY786456 FAU786456 FKQ786456 FUM786456 GEI786456 GOE786456 GYA786456 HHW786456 HRS786456 IBO786456 ILK786456 IVG786456 JFC786456 JOY786456 JYU786456 KIQ786456 KSM786456 LCI786456 LME786456 LWA786456 MFW786456 MPS786456 MZO786456 NJK786456 NTG786456 ODC786456 OMY786456 OWU786456 PGQ786456 PQM786456 QAI786456 QKE786456 QUA786456 RDW786456 RNS786456 RXO786456 SHK786456 SRG786456 TBC786456 TKY786456 TUU786456 UEQ786456 UOM786456 UYI786456 VIE786456 VSA786456 WBW786456 WLS786456 WVO786456 G851992 JC851992 SY851992 ACU851992 AMQ851992 AWM851992 BGI851992 BQE851992 CAA851992 CJW851992 CTS851992 DDO851992 DNK851992 DXG851992 EHC851992 EQY851992 FAU851992 FKQ851992 FUM851992 GEI851992 GOE851992 GYA851992 HHW851992 HRS851992 IBO851992 ILK851992 IVG851992 JFC851992 JOY851992 JYU851992 KIQ851992 KSM851992 LCI851992 LME851992 LWA851992 MFW851992 MPS851992 MZO851992 NJK851992 NTG851992 ODC851992 OMY851992 OWU851992 PGQ851992 PQM851992 QAI851992 QKE851992 QUA851992 RDW851992 RNS851992 RXO851992 SHK851992 SRG851992 TBC851992 TKY851992 TUU851992 UEQ851992 UOM851992 UYI851992 VIE851992 VSA851992 WBW851992 WLS851992 WVO851992 G917528 JC917528 SY917528 ACU917528 AMQ917528 AWM917528 BGI917528 BQE917528 CAA917528 CJW917528 CTS917528 DDO917528 DNK917528 DXG917528 EHC917528 EQY917528 FAU917528 FKQ917528 FUM917528 GEI917528 GOE917528 GYA917528 HHW917528 HRS917528 IBO917528 ILK917528 IVG917528 JFC917528 JOY917528 JYU917528 KIQ917528 KSM917528 LCI917528 LME917528 LWA917528 MFW917528 MPS917528 MZO917528 NJK917528 NTG917528 ODC917528 OMY917528 OWU917528 PGQ917528 PQM917528 QAI917528 QKE917528 QUA917528 RDW917528 RNS917528 RXO917528 SHK917528 SRG917528 TBC917528 TKY917528 TUU917528 UEQ917528 UOM917528 UYI917528 VIE917528 VSA917528 WBW917528 WLS917528 WVO917528 G983064 JC983064 SY983064 ACU983064 AMQ983064 AWM983064 BGI983064 BQE983064 CAA983064 CJW983064 CTS983064 DDO983064 DNK983064 DXG983064 EHC983064 EQY983064 FAU983064 FKQ983064 FUM983064 GEI983064 GOE983064 GYA983064 HHW983064 HRS983064 IBO983064 ILK983064 IVG983064 JFC983064 JOY983064 JYU983064 KIQ983064 KSM983064 LCI983064 LME983064 LWA983064 MFW983064 MPS983064 MZO983064 NJK983064 NTG983064 ODC983064 OMY983064 OWU983064 PGQ983064 PQM983064 QAI983064 QKE983064 QUA983064 RDW983064 RNS983064 RXO983064 SHK983064 SRG983064 TBC983064 TKY983064 TUU983064 UEQ983064 UOM983064 UYI983064 VIE983064 VSA983064 WBW983064 WLS983064 WVO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formula1>环境</formula1>
    </dataValidation>
    <dataValidation type="list" allowBlank="1" showInputMessage="1" showErrorMessage="1" sqref="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I18 JE18 TA18 ACW18 AMS18 AWO18 BGK18 BQG18 CAC18 CJY18 CTU18 DDQ18 DNM18 DXI18 EHE18 ERA18 FAW18 FKS18 FUO18 GEK18 GOG18 GYC18 HHY18 HRU18 IBQ18 ILM18 IVI18 JFE18 JPA18 JYW18 KIS18 KSO18 LCK18 LMG18 LWC18 MFY18 MPU18 MZQ18 NJM18 NTI18 ODE18 ONA18 OWW18 PGS18 PQO18 QAK18 QKG18 QUC18 RDY18 RNU18 RXQ18 SHM18 SRI18 TBE18 TLA18 TUW18 UES18 UOO18 UYK18 VIG18 VSC18 WBY18 WLU18 WVQ18 I65554 JE65554 TA65554 ACW65554 AMS65554 AWO65554 BGK65554 BQG65554 CAC65554 CJY65554 CTU65554 DDQ65554 DNM65554 DXI65554 EHE65554 ERA65554 FAW65554 FKS65554 FUO65554 GEK65554 GOG65554 GYC65554 HHY65554 HRU65554 IBQ65554 ILM65554 IVI65554 JFE65554 JPA65554 JYW65554 KIS65554 KSO65554 LCK65554 LMG65554 LWC65554 MFY65554 MPU65554 MZQ65554 NJM65554 NTI65554 ODE65554 ONA65554 OWW65554 PGS65554 PQO65554 QAK65554 QKG65554 QUC65554 RDY65554 RNU65554 RXQ65554 SHM65554 SRI65554 TBE65554 TLA65554 TUW65554 UES65554 UOO65554 UYK65554 VIG65554 VSC65554 WBY65554 WLU65554 WVQ65554 I131090 JE131090 TA131090 ACW131090 AMS131090 AWO131090 BGK131090 BQG131090 CAC131090 CJY131090 CTU131090 DDQ131090 DNM131090 DXI131090 EHE131090 ERA131090 FAW131090 FKS131090 FUO131090 GEK131090 GOG131090 GYC131090 HHY131090 HRU131090 IBQ131090 ILM131090 IVI131090 JFE131090 JPA131090 JYW131090 KIS131090 KSO131090 LCK131090 LMG131090 LWC131090 MFY131090 MPU131090 MZQ131090 NJM131090 NTI131090 ODE131090 ONA131090 OWW131090 PGS131090 PQO131090 QAK131090 QKG131090 QUC131090 RDY131090 RNU131090 RXQ131090 SHM131090 SRI131090 TBE131090 TLA131090 TUW131090 UES131090 UOO131090 UYK131090 VIG131090 VSC131090 WBY131090 WLU131090 WVQ131090 I196626 JE196626 TA196626 ACW196626 AMS196626 AWO196626 BGK196626 BQG196626 CAC196626 CJY196626 CTU196626 DDQ196626 DNM196626 DXI196626 EHE196626 ERA196626 FAW196626 FKS196626 FUO196626 GEK196626 GOG196626 GYC196626 HHY196626 HRU196626 IBQ196626 ILM196626 IVI196626 JFE196626 JPA196626 JYW196626 KIS196626 KSO196626 LCK196626 LMG196626 LWC196626 MFY196626 MPU196626 MZQ196626 NJM196626 NTI196626 ODE196626 ONA196626 OWW196626 PGS196626 PQO196626 QAK196626 QKG196626 QUC196626 RDY196626 RNU196626 RXQ196626 SHM196626 SRI196626 TBE196626 TLA196626 TUW196626 UES196626 UOO196626 UYK196626 VIG196626 VSC196626 WBY196626 WLU196626 WVQ196626 I262162 JE262162 TA262162 ACW262162 AMS262162 AWO262162 BGK262162 BQG262162 CAC262162 CJY262162 CTU262162 DDQ262162 DNM262162 DXI262162 EHE262162 ERA262162 FAW262162 FKS262162 FUO262162 GEK262162 GOG262162 GYC262162 HHY262162 HRU262162 IBQ262162 ILM262162 IVI262162 JFE262162 JPA262162 JYW262162 KIS262162 KSO262162 LCK262162 LMG262162 LWC262162 MFY262162 MPU262162 MZQ262162 NJM262162 NTI262162 ODE262162 ONA262162 OWW262162 PGS262162 PQO262162 QAK262162 QKG262162 QUC262162 RDY262162 RNU262162 RXQ262162 SHM262162 SRI262162 TBE262162 TLA262162 TUW262162 UES262162 UOO262162 UYK262162 VIG262162 VSC262162 WBY262162 WLU262162 WVQ262162 I327698 JE327698 TA327698 ACW327698 AMS327698 AWO327698 BGK327698 BQG327698 CAC327698 CJY327698 CTU327698 DDQ327698 DNM327698 DXI327698 EHE327698 ERA327698 FAW327698 FKS327698 FUO327698 GEK327698 GOG327698 GYC327698 HHY327698 HRU327698 IBQ327698 ILM327698 IVI327698 JFE327698 JPA327698 JYW327698 KIS327698 KSO327698 LCK327698 LMG327698 LWC327698 MFY327698 MPU327698 MZQ327698 NJM327698 NTI327698 ODE327698 ONA327698 OWW327698 PGS327698 PQO327698 QAK327698 QKG327698 QUC327698 RDY327698 RNU327698 RXQ327698 SHM327698 SRI327698 TBE327698 TLA327698 TUW327698 UES327698 UOO327698 UYK327698 VIG327698 VSC327698 WBY327698 WLU327698 WVQ327698 I393234 JE393234 TA393234 ACW393234 AMS393234 AWO393234 BGK393234 BQG393234 CAC393234 CJY393234 CTU393234 DDQ393234 DNM393234 DXI393234 EHE393234 ERA393234 FAW393234 FKS393234 FUO393234 GEK393234 GOG393234 GYC393234 HHY393234 HRU393234 IBQ393234 ILM393234 IVI393234 JFE393234 JPA393234 JYW393234 KIS393234 KSO393234 LCK393234 LMG393234 LWC393234 MFY393234 MPU393234 MZQ393234 NJM393234 NTI393234 ODE393234 ONA393234 OWW393234 PGS393234 PQO393234 QAK393234 QKG393234 QUC393234 RDY393234 RNU393234 RXQ393234 SHM393234 SRI393234 TBE393234 TLA393234 TUW393234 UES393234 UOO393234 UYK393234 VIG393234 VSC393234 WBY393234 WLU393234 WVQ393234 I458770 JE458770 TA458770 ACW458770 AMS458770 AWO458770 BGK458770 BQG458770 CAC458770 CJY458770 CTU458770 DDQ458770 DNM458770 DXI458770 EHE458770 ERA458770 FAW458770 FKS458770 FUO458770 GEK458770 GOG458770 GYC458770 HHY458770 HRU458770 IBQ458770 ILM458770 IVI458770 JFE458770 JPA458770 JYW458770 KIS458770 KSO458770 LCK458770 LMG458770 LWC458770 MFY458770 MPU458770 MZQ458770 NJM458770 NTI458770 ODE458770 ONA458770 OWW458770 PGS458770 PQO458770 QAK458770 QKG458770 QUC458770 RDY458770 RNU458770 RXQ458770 SHM458770 SRI458770 TBE458770 TLA458770 TUW458770 UES458770 UOO458770 UYK458770 VIG458770 VSC458770 WBY458770 WLU458770 WVQ458770 I524306 JE524306 TA524306 ACW524306 AMS524306 AWO524306 BGK524306 BQG524306 CAC524306 CJY524306 CTU524306 DDQ524306 DNM524306 DXI524306 EHE524306 ERA524306 FAW524306 FKS524306 FUO524306 GEK524306 GOG524306 GYC524306 HHY524306 HRU524306 IBQ524306 ILM524306 IVI524306 JFE524306 JPA524306 JYW524306 KIS524306 KSO524306 LCK524306 LMG524306 LWC524306 MFY524306 MPU524306 MZQ524306 NJM524306 NTI524306 ODE524306 ONA524306 OWW524306 PGS524306 PQO524306 QAK524306 QKG524306 QUC524306 RDY524306 RNU524306 RXQ524306 SHM524306 SRI524306 TBE524306 TLA524306 TUW524306 UES524306 UOO524306 UYK524306 VIG524306 VSC524306 WBY524306 WLU524306 WVQ524306 I589842 JE589842 TA589842 ACW589842 AMS589842 AWO589842 BGK589842 BQG589842 CAC589842 CJY589842 CTU589842 DDQ589842 DNM589842 DXI589842 EHE589842 ERA589842 FAW589842 FKS589842 FUO589842 GEK589842 GOG589842 GYC589842 HHY589842 HRU589842 IBQ589842 ILM589842 IVI589842 JFE589842 JPA589842 JYW589842 KIS589842 KSO589842 LCK589842 LMG589842 LWC589842 MFY589842 MPU589842 MZQ589842 NJM589842 NTI589842 ODE589842 ONA589842 OWW589842 PGS589842 PQO589842 QAK589842 QKG589842 QUC589842 RDY589842 RNU589842 RXQ589842 SHM589842 SRI589842 TBE589842 TLA589842 TUW589842 UES589842 UOO589842 UYK589842 VIG589842 VSC589842 WBY589842 WLU589842 WVQ589842 I655378 JE655378 TA655378 ACW655378 AMS655378 AWO655378 BGK655378 BQG655378 CAC655378 CJY655378 CTU655378 DDQ655378 DNM655378 DXI655378 EHE655378 ERA655378 FAW655378 FKS655378 FUO655378 GEK655378 GOG655378 GYC655378 HHY655378 HRU655378 IBQ655378 ILM655378 IVI655378 JFE655378 JPA655378 JYW655378 KIS655378 KSO655378 LCK655378 LMG655378 LWC655378 MFY655378 MPU655378 MZQ655378 NJM655378 NTI655378 ODE655378 ONA655378 OWW655378 PGS655378 PQO655378 QAK655378 QKG655378 QUC655378 RDY655378 RNU655378 RXQ655378 SHM655378 SRI655378 TBE655378 TLA655378 TUW655378 UES655378 UOO655378 UYK655378 VIG655378 VSC655378 WBY655378 WLU655378 WVQ655378 I720914 JE720914 TA720914 ACW720914 AMS720914 AWO720914 BGK720914 BQG720914 CAC720914 CJY720914 CTU720914 DDQ720914 DNM720914 DXI720914 EHE720914 ERA720914 FAW720914 FKS720914 FUO720914 GEK720914 GOG720914 GYC720914 HHY720914 HRU720914 IBQ720914 ILM720914 IVI720914 JFE720914 JPA720914 JYW720914 KIS720914 KSO720914 LCK720914 LMG720914 LWC720914 MFY720914 MPU720914 MZQ720914 NJM720914 NTI720914 ODE720914 ONA720914 OWW720914 PGS720914 PQO720914 QAK720914 QKG720914 QUC720914 RDY720914 RNU720914 RXQ720914 SHM720914 SRI720914 TBE720914 TLA720914 TUW720914 UES720914 UOO720914 UYK720914 VIG720914 VSC720914 WBY720914 WLU720914 WVQ720914 I786450 JE786450 TA786450 ACW786450 AMS786450 AWO786450 BGK786450 BQG786450 CAC786450 CJY786450 CTU786450 DDQ786450 DNM786450 DXI786450 EHE786450 ERA786450 FAW786450 FKS786450 FUO786450 GEK786450 GOG786450 GYC786450 HHY786450 HRU786450 IBQ786450 ILM786450 IVI786450 JFE786450 JPA786450 JYW786450 KIS786450 KSO786450 LCK786450 LMG786450 LWC786450 MFY786450 MPU786450 MZQ786450 NJM786450 NTI786450 ODE786450 ONA786450 OWW786450 PGS786450 PQO786450 QAK786450 QKG786450 QUC786450 RDY786450 RNU786450 RXQ786450 SHM786450 SRI786450 TBE786450 TLA786450 TUW786450 UES786450 UOO786450 UYK786450 VIG786450 VSC786450 WBY786450 WLU786450 WVQ786450 I851986 JE851986 TA851986 ACW851986 AMS851986 AWO851986 BGK851986 BQG851986 CAC851986 CJY851986 CTU851986 DDQ851986 DNM851986 DXI851986 EHE851986 ERA851986 FAW851986 FKS851986 FUO851986 GEK851986 GOG851986 GYC851986 HHY851986 HRU851986 IBQ851986 ILM851986 IVI851986 JFE851986 JPA851986 JYW851986 KIS851986 KSO851986 LCK851986 LMG851986 LWC851986 MFY851986 MPU851986 MZQ851986 NJM851986 NTI851986 ODE851986 ONA851986 OWW851986 PGS851986 PQO851986 QAK851986 QKG851986 QUC851986 RDY851986 RNU851986 RXQ851986 SHM851986 SRI851986 TBE851986 TLA851986 TUW851986 UES851986 UOO851986 UYK851986 VIG851986 VSC851986 WBY851986 WLU851986 WVQ851986 I917522 JE917522 TA917522 ACW917522 AMS917522 AWO917522 BGK917522 BQG917522 CAC917522 CJY917522 CTU917522 DDQ917522 DNM917522 DXI917522 EHE917522 ERA917522 FAW917522 FKS917522 FUO917522 GEK917522 GOG917522 GYC917522 HHY917522 HRU917522 IBQ917522 ILM917522 IVI917522 JFE917522 JPA917522 JYW917522 KIS917522 KSO917522 LCK917522 LMG917522 LWC917522 MFY917522 MPU917522 MZQ917522 NJM917522 NTI917522 ODE917522 ONA917522 OWW917522 PGS917522 PQO917522 QAK917522 QKG917522 QUC917522 RDY917522 RNU917522 RXQ917522 SHM917522 SRI917522 TBE917522 TLA917522 TUW917522 UES917522 UOO917522 UYK917522 VIG917522 VSC917522 WBY917522 WLU917522 WVQ917522 I983058 JE983058 TA983058 ACW983058 AMS983058 AWO983058 BGK983058 BQG983058 CAC983058 CJY983058 CTU983058 DDQ983058 DNM983058 DXI983058 EHE983058 ERA983058 FAW983058 FKS983058 FUO983058 GEK983058 GOG983058 GYC983058 HHY983058 HRU983058 IBQ983058 ILM983058 IVI983058 JFE983058 JPA983058 JYW983058 KIS983058 KSO983058 LCK983058 LMG983058 LWC983058 MFY983058 MPU983058 MZQ983058 NJM983058 NTI983058 ODE983058 ONA983058 OWW983058 PGS983058 PQO983058 QAK983058 QKG983058 QUC983058 RDY983058 RNU983058 RXQ983058 SHM983058 SRI983058 TBE983058 TLA983058 TUW983058 UES983058 UOO983058 UYK983058 VIG983058 VSC983058 WBY983058 WLU983058 WVQ983058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formula1>交通便捷度</formula1>
    </dataValidation>
    <dataValidation type="list" allowBlank="1" showInputMessage="1" showErrorMessage="1"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I20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I65556 JE65556 TA65556 ACW65556 AMS65556 AWO65556 BGK65556 BQG65556 CAC65556 CJY65556 CTU65556 DDQ65556 DNM65556 DXI65556 EHE65556 ERA65556 FAW65556 FKS65556 FUO65556 GEK65556 GOG65556 GYC65556 HHY65556 HRU65556 IBQ65556 ILM65556 IVI65556 JFE65556 JPA65556 JYW65556 KIS65556 KSO65556 LCK65556 LMG65556 LWC65556 MFY65556 MPU65556 MZQ65556 NJM65556 NTI65556 ODE65556 ONA65556 OWW65556 PGS65556 PQO65556 QAK65556 QKG65556 QUC65556 RDY65556 RNU65556 RXQ65556 SHM65556 SRI65556 TBE65556 TLA65556 TUW65556 UES65556 UOO65556 UYK65556 VIG65556 VSC65556 WBY65556 WLU65556 WVQ65556 I131092 JE131092 TA131092 ACW131092 AMS131092 AWO131092 BGK131092 BQG131092 CAC131092 CJY131092 CTU131092 DDQ131092 DNM131092 DXI131092 EHE131092 ERA131092 FAW131092 FKS131092 FUO131092 GEK131092 GOG131092 GYC131092 HHY131092 HRU131092 IBQ131092 ILM131092 IVI131092 JFE131092 JPA131092 JYW131092 KIS131092 KSO131092 LCK131092 LMG131092 LWC131092 MFY131092 MPU131092 MZQ131092 NJM131092 NTI131092 ODE131092 ONA131092 OWW131092 PGS131092 PQO131092 QAK131092 QKG131092 QUC131092 RDY131092 RNU131092 RXQ131092 SHM131092 SRI131092 TBE131092 TLA131092 TUW131092 UES131092 UOO131092 UYK131092 VIG131092 VSC131092 WBY131092 WLU131092 WVQ131092 I196628 JE196628 TA196628 ACW196628 AMS196628 AWO196628 BGK196628 BQG196628 CAC196628 CJY196628 CTU196628 DDQ196628 DNM196628 DXI196628 EHE196628 ERA196628 FAW196628 FKS196628 FUO196628 GEK196628 GOG196628 GYC196628 HHY196628 HRU196628 IBQ196628 ILM196628 IVI196628 JFE196628 JPA196628 JYW196628 KIS196628 KSO196628 LCK196628 LMG196628 LWC196628 MFY196628 MPU196628 MZQ196628 NJM196628 NTI196628 ODE196628 ONA196628 OWW196628 PGS196628 PQO196628 QAK196628 QKG196628 QUC196628 RDY196628 RNU196628 RXQ196628 SHM196628 SRI196628 TBE196628 TLA196628 TUW196628 UES196628 UOO196628 UYK196628 VIG196628 VSC196628 WBY196628 WLU196628 WVQ196628 I262164 JE262164 TA262164 ACW262164 AMS262164 AWO262164 BGK262164 BQG262164 CAC262164 CJY262164 CTU262164 DDQ262164 DNM262164 DXI262164 EHE262164 ERA262164 FAW262164 FKS262164 FUO262164 GEK262164 GOG262164 GYC262164 HHY262164 HRU262164 IBQ262164 ILM262164 IVI262164 JFE262164 JPA262164 JYW262164 KIS262164 KSO262164 LCK262164 LMG262164 LWC262164 MFY262164 MPU262164 MZQ262164 NJM262164 NTI262164 ODE262164 ONA262164 OWW262164 PGS262164 PQO262164 QAK262164 QKG262164 QUC262164 RDY262164 RNU262164 RXQ262164 SHM262164 SRI262164 TBE262164 TLA262164 TUW262164 UES262164 UOO262164 UYK262164 VIG262164 VSC262164 WBY262164 WLU262164 WVQ262164 I327700 JE327700 TA327700 ACW327700 AMS327700 AWO327700 BGK327700 BQG327700 CAC327700 CJY327700 CTU327700 DDQ327700 DNM327700 DXI327700 EHE327700 ERA327700 FAW327700 FKS327700 FUO327700 GEK327700 GOG327700 GYC327700 HHY327700 HRU327700 IBQ327700 ILM327700 IVI327700 JFE327700 JPA327700 JYW327700 KIS327700 KSO327700 LCK327700 LMG327700 LWC327700 MFY327700 MPU327700 MZQ327700 NJM327700 NTI327700 ODE327700 ONA327700 OWW327700 PGS327700 PQO327700 QAK327700 QKG327700 QUC327700 RDY327700 RNU327700 RXQ327700 SHM327700 SRI327700 TBE327700 TLA327700 TUW327700 UES327700 UOO327700 UYK327700 VIG327700 VSC327700 WBY327700 WLU327700 WVQ327700 I393236 JE393236 TA393236 ACW393236 AMS393236 AWO393236 BGK393236 BQG393236 CAC393236 CJY393236 CTU393236 DDQ393236 DNM393236 DXI393236 EHE393236 ERA393236 FAW393236 FKS393236 FUO393236 GEK393236 GOG393236 GYC393236 HHY393236 HRU393236 IBQ393236 ILM393236 IVI393236 JFE393236 JPA393236 JYW393236 KIS393236 KSO393236 LCK393236 LMG393236 LWC393236 MFY393236 MPU393236 MZQ393236 NJM393236 NTI393236 ODE393236 ONA393236 OWW393236 PGS393236 PQO393236 QAK393236 QKG393236 QUC393236 RDY393236 RNU393236 RXQ393236 SHM393236 SRI393236 TBE393236 TLA393236 TUW393236 UES393236 UOO393236 UYK393236 VIG393236 VSC393236 WBY393236 WLU393236 WVQ393236 I458772 JE458772 TA458772 ACW458772 AMS458772 AWO458772 BGK458772 BQG458772 CAC458772 CJY458772 CTU458772 DDQ458772 DNM458772 DXI458772 EHE458772 ERA458772 FAW458772 FKS458772 FUO458772 GEK458772 GOG458772 GYC458772 HHY458772 HRU458772 IBQ458772 ILM458772 IVI458772 JFE458772 JPA458772 JYW458772 KIS458772 KSO458772 LCK458772 LMG458772 LWC458772 MFY458772 MPU458772 MZQ458772 NJM458772 NTI458772 ODE458772 ONA458772 OWW458772 PGS458772 PQO458772 QAK458772 QKG458772 QUC458772 RDY458772 RNU458772 RXQ458772 SHM458772 SRI458772 TBE458772 TLA458772 TUW458772 UES458772 UOO458772 UYK458772 VIG458772 VSC458772 WBY458772 WLU458772 WVQ458772 I524308 JE524308 TA524308 ACW524308 AMS524308 AWO524308 BGK524308 BQG524308 CAC524308 CJY524308 CTU524308 DDQ524308 DNM524308 DXI524308 EHE524308 ERA524308 FAW524308 FKS524308 FUO524308 GEK524308 GOG524308 GYC524308 HHY524308 HRU524308 IBQ524308 ILM524308 IVI524308 JFE524308 JPA524308 JYW524308 KIS524308 KSO524308 LCK524308 LMG524308 LWC524308 MFY524308 MPU524308 MZQ524308 NJM524308 NTI524308 ODE524308 ONA524308 OWW524308 PGS524308 PQO524308 QAK524308 QKG524308 QUC524308 RDY524308 RNU524308 RXQ524308 SHM524308 SRI524308 TBE524308 TLA524308 TUW524308 UES524308 UOO524308 UYK524308 VIG524308 VSC524308 WBY524308 WLU524308 WVQ524308 I589844 JE589844 TA589844 ACW589844 AMS589844 AWO589844 BGK589844 BQG589844 CAC589844 CJY589844 CTU589844 DDQ589844 DNM589844 DXI589844 EHE589844 ERA589844 FAW589844 FKS589844 FUO589844 GEK589844 GOG589844 GYC589844 HHY589844 HRU589844 IBQ589844 ILM589844 IVI589844 JFE589844 JPA589844 JYW589844 KIS589844 KSO589844 LCK589844 LMG589844 LWC589844 MFY589844 MPU589844 MZQ589844 NJM589844 NTI589844 ODE589844 ONA589844 OWW589844 PGS589844 PQO589844 QAK589844 QKG589844 QUC589844 RDY589844 RNU589844 RXQ589844 SHM589844 SRI589844 TBE589844 TLA589844 TUW589844 UES589844 UOO589844 UYK589844 VIG589844 VSC589844 WBY589844 WLU589844 WVQ589844 I655380 JE655380 TA655380 ACW655380 AMS655380 AWO655380 BGK655380 BQG655380 CAC655380 CJY655380 CTU655380 DDQ655380 DNM655380 DXI655380 EHE655380 ERA655380 FAW655380 FKS655380 FUO655380 GEK655380 GOG655380 GYC655380 HHY655380 HRU655380 IBQ655380 ILM655380 IVI655380 JFE655380 JPA655380 JYW655380 KIS655380 KSO655380 LCK655380 LMG655380 LWC655380 MFY655380 MPU655380 MZQ655380 NJM655380 NTI655380 ODE655380 ONA655380 OWW655380 PGS655380 PQO655380 QAK655380 QKG655380 QUC655380 RDY655380 RNU655380 RXQ655380 SHM655380 SRI655380 TBE655380 TLA655380 TUW655380 UES655380 UOO655380 UYK655380 VIG655380 VSC655380 WBY655380 WLU655380 WVQ655380 I720916 JE720916 TA720916 ACW720916 AMS720916 AWO720916 BGK720916 BQG720916 CAC720916 CJY720916 CTU720916 DDQ720916 DNM720916 DXI720916 EHE720916 ERA720916 FAW720916 FKS720916 FUO720916 GEK720916 GOG720916 GYC720916 HHY720916 HRU720916 IBQ720916 ILM720916 IVI720916 JFE720916 JPA720916 JYW720916 KIS720916 KSO720916 LCK720916 LMG720916 LWC720916 MFY720916 MPU720916 MZQ720916 NJM720916 NTI720916 ODE720916 ONA720916 OWW720916 PGS720916 PQO720916 QAK720916 QKG720916 QUC720916 RDY720916 RNU720916 RXQ720916 SHM720916 SRI720916 TBE720916 TLA720916 TUW720916 UES720916 UOO720916 UYK720916 VIG720916 VSC720916 WBY720916 WLU720916 WVQ720916 I786452 JE786452 TA786452 ACW786452 AMS786452 AWO786452 BGK786452 BQG786452 CAC786452 CJY786452 CTU786452 DDQ786452 DNM786452 DXI786452 EHE786452 ERA786452 FAW786452 FKS786452 FUO786452 GEK786452 GOG786452 GYC786452 HHY786452 HRU786452 IBQ786452 ILM786452 IVI786452 JFE786452 JPA786452 JYW786452 KIS786452 KSO786452 LCK786452 LMG786452 LWC786452 MFY786452 MPU786452 MZQ786452 NJM786452 NTI786452 ODE786452 ONA786452 OWW786452 PGS786452 PQO786452 QAK786452 QKG786452 QUC786452 RDY786452 RNU786452 RXQ786452 SHM786452 SRI786452 TBE786452 TLA786452 TUW786452 UES786452 UOO786452 UYK786452 VIG786452 VSC786452 WBY786452 WLU786452 WVQ786452 I851988 JE851988 TA851988 ACW851988 AMS851988 AWO851988 BGK851988 BQG851988 CAC851988 CJY851988 CTU851988 DDQ851988 DNM851988 DXI851988 EHE851988 ERA851988 FAW851988 FKS851988 FUO851988 GEK851988 GOG851988 GYC851988 HHY851988 HRU851988 IBQ851988 ILM851988 IVI851988 JFE851988 JPA851988 JYW851988 KIS851988 KSO851988 LCK851988 LMG851988 LWC851988 MFY851988 MPU851988 MZQ851988 NJM851988 NTI851988 ODE851988 ONA851988 OWW851988 PGS851988 PQO851988 QAK851988 QKG851988 QUC851988 RDY851988 RNU851988 RXQ851988 SHM851988 SRI851988 TBE851988 TLA851988 TUW851988 UES851988 UOO851988 UYK851988 VIG851988 VSC851988 WBY851988 WLU851988 WVQ851988 I917524 JE917524 TA917524 ACW917524 AMS917524 AWO917524 BGK917524 BQG917524 CAC917524 CJY917524 CTU917524 DDQ917524 DNM917524 DXI917524 EHE917524 ERA917524 FAW917524 FKS917524 FUO917524 GEK917524 GOG917524 GYC917524 HHY917524 HRU917524 IBQ917524 ILM917524 IVI917524 JFE917524 JPA917524 JYW917524 KIS917524 KSO917524 LCK917524 LMG917524 LWC917524 MFY917524 MPU917524 MZQ917524 NJM917524 NTI917524 ODE917524 ONA917524 OWW917524 PGS917524 PQO917524 QAK917524 QKG917524 QUC917524 RDY917524 RNU917524 RXQ917524 SHM917524 SRI917524 TBE917524 TLA917524 TUW917524 UES917524 UOO917524 UYK917524 VIG917524 VSC917524 WBY917524 WLU917524 WVQ917524 I983060 JE983060 TA983060 ACW983060 AMS983060 AWO983060 BGK983060 BQG983060 CAC983060 CJY983060 CTU983060 DDQ983060 DNM983060 DXI983060 EHE983060 ERA983060 FAW983060 FKS983060 FUO983060 GEK983060 GOG983060 GYC983060 HHY983060 HRU983060 IBQ983060 ILM983060 IVI983060 JFE983060 JPA983060 JYW983060 KIS983060 KSO983060 LCK983060 LMG983060 LWC983060 MFY983060 MPU983060 MZQ983060 NJM983060 NTI983060 ODE983060 ONA983060 OWW983060 PGS983060 PQO983060 QAK983060 QKG983060 QUC983060 RDY983060 RNU983060 RXQ983060 SHM983060 SRI983060 TBE983060 TLA983060 TUW983060 UES983060 UOO983060 UYK983060 VIG983060 VSC983060 WBY983060 WLU983060 WVQ983060 E20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formula1>公共配套设施</formula1>
    </dataValidation>
    <dataValidation type="list" allowBlank="1" showInputMessage="1" showErrorMessage="1" sqref="E34 JA34 SW34 ACS34 AMO34 AWK34 BGG34 BQC34 BZY34 CJU34 CTQ34 DDM34 DNI34 DXE34 EHA34 EQW34 FAS34 FKO34 FUK34 GEG34 GOC34 GXY34 HHU34 HRQ34 IBM34 ILI34 IVE34 JFA34 JOW34 JYS34 KIO34 KSK34 LCG34 LMC34 LVY34 MFU34 MPQ34 MZM34 NJI34 NTE34 ODA34 OMW34 OWS34 PGO34 PQK34 QAG34 QKC34 QTY34 RDU34 RNQ34 RXM34 SHI34 SRE34 TBA34 TKW34 TUS34 UEO34 UOK34 UYG34 VIC34 VRY34 WBU34 WLQ34 WVM34 E65570 JA65570 SW65570 ACS65570 AMO65570 AWK65570 BGG65570 BQC65570 BZY65570 CJU65570 CTQ65570 DDM65570 DNI65570 DXE65570 EHA65570 EQW65570 FAS65570 FKO65570 FUK65570 GEG65570 GOC65570 GXY65570 HHU65570 HRQ65570 IBM65570 ILI65570 IVE65570 JFA65570 JOW65570 JYS65570 KIO65570 KSK65570 LCG65570 LMC65570 LVY65570 MFU65570 MPQ65570 MZM65570 NJI65570 NTE65570 ODA65570 OMW65570 OWS65570 PGO65570 PQK65570 QAG65570 QKC65570 QTY65570 RDU65570 RNQ65570 RXM65570 SHI65570 SRE65570 TBA65570 TKW65570 TUS65570 UEO65570 UOK65570 UYG65570 VIC65570 VRY65570 WBU65570 WLQ65570 WVM65570 E131106 JA131106 SW131106 ACS131106 AMO131106 AWK131106 BGG131106 BQC131106 BZY131106 CJU131106 CTQ131106 DDM131106 DNI131106 DXE131106 EHA131106 EQW131106 FAS131106 FKO131106 FUK131106 GEG131106 GOC131106 GXY131106 HHU131106 HRQ131106 IBM131106 ILI131106 IVE131106 JFA131106 JOW131106 JYS131106 KIO131106 KSK131106 LCG131106 LMC131106 LVY131106 MFU131106 MPQ131106 MZM131106 NJI131106 NTE131106 ODA131106 OMW131106 OWS131106 PGO131106 PQK131106 QAG131106 QKC131106 QTY131106 RDU131106 RNQ131106 RXM131106 SHI131106 SRE131106 TBA131106 TKW131106 TUS131106 UEO131106 UOK131106 UYG131106 VIC131106 VRY131106 WBU131106 WLQ131106 WVM131106 E196642 JA196642 SW196642 ACS196642 AMO196642 AWK196642 BGG196642 BQC196642 BZY196642 CJU196642 CTQ196642 DDM196642 DNI196642 DXE196642 EHA196642 EQW196642 FAS196642 FKO196642 FUK196642 GEG196642 GOC196642 GXY196642 HHU196642 HRQ196642 IBM196642 ILI196642 IVE196642 JFA196642 JOW196642 JYS196642 KIO196642 KSK196642 LCG196642 LMC196642 LVY196642 MFU196642 MPQ196642 MZM196642 NJI196642 NTE196642 ODA196642 OMW196642 OWS196642 PGO196642 PQK196642 QAG196642 QKC196642 QTY196642 RDU196642 RNQ196642 RXM196642 SHI196642 SRE196642 TBA196642 TKW196642 TUS196642 UEO196642 UOK196642 UYG196642 VIC196642 VRY196642 WBU196642 WLQ196642 WVM196642 E262178 JA262178 SW262178 ACS262178 AMO262178 AWK262178 BGG262178 BQC262178 BZY262178 CJU262178 CTQ262178 DDM262178 DNI262178 DXE262178 EHA262178 EQW262178 FAS262178 FKO262178 FUK262178 GEG262178 GOC262178 GXY262178 HHU262178 HRQ262178 IBM262178 ILI262178 IVE262178 JFA262178 JOW262178 JYS262178 KIO262178 KSK262178 LCG262178 LMC262178 LVY262178 MFU262178 MPQ262178 MZM262178 NJI262178 NTE262178 ODA262178 OMW262178 OWS262178 PGO262178 PQK262178 QAG262178 QKC262178 QTY262178 RDU262178 RNQ262178 RXM262178 SHI262178 SRE262178 TBA262178 TKW262178 TUS262178 UEO262178 UOK262178 UYG262178 VIC262178 VRY262178 WBU262178 WLQ262178 WVM262178 E327714 JA327714 SW327714 ACS327714 AMO327714 AWK327714 BGG327714 BQC327714 BZY327714 CJU327714 CTQ327714 DDM327714 DNI327714 DXE327714 EHA327714 EQW327714 FAS327714 FKO327714 FUK327714 GEG327714 GOC327714 GXY327714 HHU327714 HRQ327714 IBM327714 ILI327714 IVE327714 JFA327714 JOW327714 JYS327714 KIO327714 KSK327714 LCG327714 LMC327714 LVY327714 MFU327714 MPQ327714 MZM327714 NJI327714 NTE327714 ODA327714 OMW327714 OWS327714 PGO327714 PQK327714 QAG327714 QKC327714 QTY327714 RDU327714 RNQ327714 RXM327714 SHI327714 SRE327714 TBA327714 TKW327714 TUS327714 UEO327714 UOK327714 UYG327714 VIC327714 VRY327714 WBU327714 WLQ327714 WVM327714 E393250 JA393250 SW393250 ACS393250 AMO393250 AWK393250 BGG393250 BQC393250 BZY393250 CJU393250 CTQ393250 DDM393250 DNI393250 DXE393250 EHA393250 EQW393250 FAS393250 FKO393250 FUK393250 GEG393250 GOC393250 GXY393250 HHU393250 HRQ393250 IBM393250 ILI393250 IVE393250 JFA393250 JOW393250 JYS393250 KIO393250 KSK393250 LCG393250 LMC393250 LVY393250 MFU393250 MPQ393250 MZM393250 NJI393250 NTE393250 ODA393250 OMW393250 OWS393250 PGO393250 PQK393250 QAG393250 QKC393250 QTY393250 RDU393250 RNQ393250 RXM393250 SHI393250 SRE393250 TBA393250 TKW393250 TUS393250 UEO393250 UOK393250 UYG393250 VIC393250 VRY393250 WBU393250 WLQ393250 WVM393250 E458786 JA458786 SW458786 ACS458786 AMO458786 AWK458786 BGG458786 BQC458786 BZY458786 CJU458786 CTQ458786 DDM458786 DNI458786 DXE458786 EHA458786 EQW458786 FAS458786 FKO458786 FUK458786 GEG458786 GOC458786 GXY458786 HHU458786 HRQ458786 IBM458786 ILI458786 IVE458786 JFA458786 JOW458786 JYS458786 KIO458786 KSK458786 LCG458786 LMC458786 LVY458786 MFU458786 MPQ458786 MZM458786 NJI458786 NTE458786 ODA458786 OMW458786 OWS458786 PGO458786 PQK458786 QAG458786 QKC458786 QTY458786 RDU458786 RNQ458786 RXM458786 SHI458786 SRE458786 TBA458786 TKW458786 TUS458786 UEO458786 UOK458786 UYG458786 VIC458786 VRY458786 WBU458786 WLQ458786 WVM458786 E524322 JA524322 SW524322 ACS524322 AMO524322 AWK524322 BGG524322 BQC524322 BZY524322 CJU524322 CTQ524322 DDM524322 DNI524322 DXE524322 EHA524322 EQW524322 FAS524322 FKO524322 FUK524322 GEG524322 GOC524322 GXY524322 HHU524322 HRQ524322 IBM524322 ILI524322 IVE524322 JFA524322 JOW524322 JYS524322 KIO524322 KSK524322 LCG524322 LMC524322 LVY524322 MFU524322 MPQ524322 MZM524322 NJI524322 NTE524322 ODA524322 OMW524322 OWS524322 PGO524322 PQK524322 QAG524322 QKC524322 QTY524322 RDU524322 RNQ524322 RXM524322 SHI524322 SRE524322 TBA524322 TKW524322 TUS524322 UEO524322 UOK524322 UYG524322 VIC524322 VRY524322 WBU524322 WLQ524322 WVM524322 E589858 JA589858 SW589858 ACS589858 AMO589858 AWK589858 BGG589858 BQC589858 BZY589858 CJU589858 CTQ589858 DDM589858 DNI589858 DXE589858 EHA589858 EQW589858 FAS589858 FKO589858 FUK589858 GEG589858 GOC589858 GXY589858 HHU589858 HRQ589858 IBM589858 ILI589858 IVE589858 JFA589858 JOW589858 JYS589858 KIO589858 KSK589858 LCG589858 LMC589858 LVY589858 MFU589858 MPQ589858 MZM589858 NJI589858 NTE589858 ODA589858 OMW589858 OWS589858 PGO589858 PQK589858 QAG589858 QKC589858 QTY589858 RDU589858 RNQ589858 RXM589858 SHI589858 SRE589858 TBA589858 TKW589858 TUS589858 UEO589858 UOK589858 UYG589858 VIC589858 VRY589858 WBU589858 WLQ589858 WVM589858 E655394 JA655394 SW655394 ACS655394 AMO655394 AWK655394 BGG655394 BQC655394 BZY655394 CJU655394 CTQ655394 DDM655394 DNI655394 DXE655394 EHA655394 EQW655394 FAS655394 FKO655394 FUK655394 GEG655394 GOC655394 GXY655394 HHU655394 HRQ655394 IBM655394 ILI655394 IVE655394 JFA655394 JOW655394 JYS655394 KIO655394 KSK655394 LCG655394 LMC655394 LVY655394 MFU655394 MPQ655394 MZM655394 NJI655394 NTE655394 ODA655394 OMW655394 OWS655394 PGO655394 PQK655394 QAG655394 QKC655394 QTY655394 RDU655394 RNQ655394 RXM655394 SHI655394 SRE655394 TBA655394 TKW655394 TUS655394 UEO655394 UOK655394 UYG655394 VIC655394 VRY655394 WBU655394 WLQ655394 WVM655394 E720930 JA720930 SW720930 ACS720930 AMO720930 AWK720930 BGG720930 BQC720930 BZY720930 CJU720930 CTQ720930 DDM720930 DNI720930 DXE720930 EHA720930 EQW720930 FAS720930 FKO720930 FUK720930 GEG720930 GOC720930 GXY720930 HHU720930 HRQ720930 IBM720930 ILI720930 IVE720930 JFA720930 JOW720930 JYS720930 KIO720930 KSK720930 LCG720930 LMC720930 LVY720930 MFU720930 MPQ720930 MZM720930 NJI720930 NTE720930 ODA720930 OMW720930 OWS720930 PGO720930 PQK720930 QAG720930 QKC720930 QTY720930 RDU720930 RNQ720930 RXM720930 SHI720930 SRE720930 TBA720930 TKW720930 TUS720930 UEO720930 UOK720930 UYG720930 VIC720930 VRY720930 WBU720930 WLQ720930 WVM720930 E786466 JA786466 SW786466 ACS786466 AMO786466 AWK786466 BGG786466 BQC786466 BZY786466 CJU786466 CTQ786466 DDM786466 DNI786466 DXE786466 EHA786466 EQW786466 FAS786466 FKO786466 FUK786466 GEG786466 GOC786466 GXY786466 HHU786466 HRQ786466 IBM786466 ILI786466 IVE786466 JFA786466 JOW786466 JYS786466 KIO786466 KSK786466 LCG786466 LMC786466 LVY786466 MFU786466 MPQ786466 MZM786466 NJI786466 NTE786466 ODA786466 OMW786466 OWS786466 PGO786466 PQK786466 QAG786466 QKC786466 QTY786466 RDU786466 RNQ786466 RXM786466 SHI786466 SRE786466 TBA786466 TKW786466 TUS786466 UEO786466 UOK786466 UYG786466 VIC786466 VRY786466 WBU786466 WLQ786466 WVM786466 E852002 JA852002 SW852002 ACS852002 AMO852002 AWK852002 BGG852002 BQC852002 BZY852002 CJU852002 CTQ852002 DDM852002 DNI852002 DXE852002 EHA852002 EQW852002 FAS852002 FKO852002 FUK852002 GEG852002 GOC852002 GXY852002 HHU852002 HRQ852002 IBM852002 ILI852002 IVE852002 JFA852002 JOW852002 JYS852002 KIO852002 KSK852002 LCG852002 LMC852002 LVY852002 MFU852002 MPQ852002 MZM852002 NJI852002 NTE852002 ODA852002 OMW852002 OWS852002 PGO852002 PQK852002 QAG852002 QKC852002 QTY852002 RDU852002 RNQ852002 RXM852002 SHI852002 SRE852002 TBA852002 TKW852002 TUS852002 UEO852002 UOK852002 UYG852002 VIC852002 VRY852002 WBU852002 WLQ852002 WVM852002 E917538 JA917538 SW917538 ACS917538 AMO917538 AWK917538 BGG917538 BQC917538 BZY917538 CJU917538 CTQ917538 DDM917538 DNI917538 DXE917538 EHA917538 EQW917538 FAS917538 FKO917538 FUK917538 GEG917538 GOC917538 GXY917538 HHU917538 HRQ917538 IBM917538 ILI917538 IVE917538 JFA917538 JOW917538 JYS917538 KIO917538 KSK917538 LCG917538 LMC917538 LVY917538 MFU917538 MPQ917538 MZM917538 NJI917538 NTE917538 ODA917538 OMW917538 OWS917538 PGO917538 PQK917538 QAG917538 QKC917538 QTY917538 RDU917538 RNQ917538 RXM917538 SHI917538 SRE917538 TBA917538 TKW917538 TUS917538 UEO917538 UOK917538 UYG917538 VIC917538 VRY917538 WBU917538 WLQ917538 WVM917538 E983074 JA983074 SW983074 ACS983074 AMO983074 AWK983074 BGG983074 BQC983074 BZY983074 CJU983074 CTQ983074 DDM983074 DNI983074 DXE983074 EHA983074 EQW983074 FAS983074 FKO983074 FUK983074 GEG983074 GOC983074 GXY983074 HHU983074 HRQ983074 IBM983074 ILI983074 IVE983074 JFA983074 JOW983074 JYS983074 KIO983074 KSK983074 LCG983074 LMC983074 LVY983074 MFU983074 MPQ983074 MZM983074 NJI983074 NTE983074 ODA983074 OMW983074 OWS983074 PGO983074 PQK983074 QAG983074 QKC983074 QTY983074 RDU983074 RNQ983074 RXM983074 SHI983074 SRE983074 TBA983074 TKW983074 TUS983074 UEO983074 UOK983074 UYG983074 VIC983074 VRY983074 WBU983074 WLQ983074 WVM983074 G34 JC34 SY34 ACU34 AMQ34 AWM34 BGI34 BQE34 CAA34 CJW34 CTS34 DDO34 DNK34 DXG34 EHC34 EQY34 FAU34 FKQ34 FUM34 GEI34 GOE34 GYA34 HHW34 HRS34 IBO34 ILK34 IVG34 JFC34 JOY34 JYU34 KIQ34 KSM34 LCI34 LME34 LWA34 MFW34 MPS34 MZO34 NJK34 NTG34 ODC34 OMY34 OWU34 PGQ34 PQM34 QAI34 QKE34 QUA34 RDW34 RNS34 RXO34 SHK34 SRG34 TBC34 TKY34 TUU34 UEQ34 UOM34 UYI34 VIE34 VSA34 WBW34 WLS34 WVO34 G65570 JC65570 SY65570 ACU65570 AMQ65570 AWM65570 BGI65570 BQE65570 CAA65570 CJW65570 CTS65570 DDO65570 DNK65570 DXG65570 EHC65570 EQY65570 FAU65570 FKQ65570 FUM65570 GEI65570 GOE65570 GYA65570 HHW65570 HRS65570 IBO65570 ILK65570 IVG65570 JFC65570 JOY65570 JYU65570 KIQ65570 KSM65570 LCI65570 LME65570 LWA65570 MFW65570 MPS65570 MZO65570 NJK65570 NTG65570 ODC65570 OMY65570 OWU65570 PGQ65570 PQM65570 QAI65570 QKE65570 QUA65570 RDW65570 RNS65570 RXO65570 SHK65570 SRG65570 TBC65570 TKY65570 TUU65570 UEQ65570 UOM65570 UYI65570 VIE65570 VSA65570 WBW65570 WLS65570 WVO65570 G131106 JC131106 SY131106 ACU131106 AMQ131106 AWM131106 BGI131106 BQE131106 CAA131106 CJW131106 CTS131106 DDO131106 DNK131106 DXG131106 EHC131106 EQY131106 FAU131106 FKQ131106 FUM131106 GEI131106 GOE131106 GYA131106 HHW131106 HRS131106 IBO131106 ILK131106 IVG131106 JFC131106 JOY131106 JYU131106 KIQ131106 KSM131106 LCI131106 LME131106 LWA131106 MFW131106 MPS131106 MZO131106 NJK131106 NTG131106 ODC131106 OMY131106 OWU131106 PGQ131106 PQM131106 QAI131106 QKE131106 QUA131106 RDW131106 RNS131106 RXO131106 SHK131106 SRG131106 TBC131106 TKY131106 TUU131106 UEQ131106 UOM131106 UYI131106 VIE131106 VSA131106 WBW131106 WLS131106 WVO131106 G196642 JC196642 SY196642 ACU196642 AMQ196642 AWM196642 BGI196642 BQE196642 CAA196642 CJW196642 CTS196642 DDO196642 DNK196642 DXG196642 EHC196642 EQY196642 FAU196642 FKQ196642 FUM196642 GEI196642 GOE196642 GYA196642 HHW196642 HRS196642 IBO196642 ILK196642 IVG196642 JFC196642 JOY196642 JYU196642 KIQ196642 KSM196642 LCI196642 LME196642 LWA196642 MFW196642 MPS196642 MZO196642 NJK196642 NTG196642 ODC196642 OMY196642 OWU196642 PGQ196642 PQM196642 QAI196642 QKE196642 QUA196642 RDW196642 RNS196642 RXO196642 SHK196642 SRG196642 TBC196642 TKY196642 TUU196642 UEQ196642 UOM196642 UYI196642 VIE196642 VSA196642 WBW196642 WLS196642 WVO196642 G262178 JC262178 SY262178 ACU262178 AMQ262178 AWM262178 BGI262178 BQE262178 CAA262178 CJW262178 CTS262178 DDO262178 DNK262178 DXG262178 EHC262178 EQY262178 FAU262178 FKQ262178 FUM262178 GEI262178 GOE262178 GYA262178 HHW262178 HRS262178 IBO262178 ILK262178 IVG262178 JFC262178 JOY262178 JYU262178 KIQ262178 KSM262178 LCI262178 LME262178 LWA262178 MFW262178 MPS262178 MZO262178 NJK262178 NTG262178 ODC262178 OMY262178 OWU262178 PGQ262178 PQM262178 QAI262178 QKE262178 QUA262178 RDW262178 RNS262178 RXO262178 SHK262178 SRG262178 TBC262178 TKY262178 TUU262178 UEQ262178 UOM262178 UYI262178 VIE262178 VSA262178 WBW262178 WLS262178 WVO262178 G327714 JC327714 SY327714 ACU327714 AMQ327714 AWM327714 BGI327714 BQE327714 CAA327714 CJW327714 CTS327714 DDO327714 DNK327714 DXG327714 EHC327714 EQY327714 FAU327714 FKQ327714 FUM327714 GEI327714 GOE327714 GYA327714 HHW327714 HRS327714 IBO327714 ILK327714 IVG327714 JFC327714 JOY327714 JYU327714 KIQ327714 KSM327714 LCI327714 LME327714 LWA327714 MFW327714 MPS327714 MZO327714 NJK327714 NTG327714 ODC327714 OMY327714 OWU327714 PGQ327714 PQM327714 QAI327714 QKE327714 QUA327714 RDW327714 RNS327714 RXO327714 SHK327714 SRG327714 TBC327714 TKY327714 TUU327714 UEQ327714 UOM327714 UYI327714 VIE327714 VSA327714 WBW327714 WLS327714 WVO327714 G393250 JC393250 SY393250 ACU393250 AMQ393250 AWM393250 BGI393250 BQE393250 CAA393250 CJW393250 CTS393250 DDO393250 DNK393250 DXG393250 EHC393250 EQY393250 FAU393250 FKQ393250 FUM393250 GEI393250 GOE393250 GYA393250 HHW393250 HRS393250 IBO393250 ILK393250 IVG393250 JFC393250 JOY393250 JYU393250 KIQ393250 KSM393250 LCI393250 LME393250 LWA393250 MFW393250 MPS393250 MZO393250 NJK393250 NTG393250 ODC393250 OMY393250 OWU393250 PGQ393250 PQM393250 QAI393250 QKE393250 QUA393250 RDW393250 RNS393250 RXO393250 SHK393250 SRG393250 TBC393250 TKY393250 TUU393250 UEQ393250 UOM393250 UYI393250 VIE393250 VSA393250 WBW393250 WLS393250 WVO393250 G458786 JC458786 SY458786 ACU458786 AMQ458786 AWM458786 BGI458786 BQE458786 CAA458786 CJW458786 CTS458786 DDO458786 DNK458786 DXG458786 EHC458786 EQY458786 FAU458786 FKQ458786 FUM458786 GEI458786 GOE458786 GYA458786 HHW458786 HRS458786 IBO458786 ILK458786 IVG458786 JFC458786 JOY458786 JYU458786 KIQ458786 KSM458786 LCI458786 LME458786 LWA458786 MFW458786 MPS458786 MZO458786 NJK458786 NTG458786 ODC458786 OMY458786 OWU458786 PGQ458786 PQM458786 QAI458786 QKE458786 QUA458786 RDW458786 RNS458786 RXO458786 SHK458786 SRG458786 TBC458786 TKY458786 TUU458786 UEQ458786 UOM458786 UYI458786 VIE458786 VSA458786 WBW458786 WLS458786 WVO458786 G524322 JC524322 SY524322 ACU524322 AMQ524322 AWM524322 BGI524322 BQE524322 CAA524322 CJW524322 CTS524322 DDO524322 DNK524322 DXG524322 EHC524322 EQY524322 FAU524322 FKQ524322 FUM524322 GEI524322 GOE524322 GYA524322 HHW524322 HRS524322 IBO524322 ILK524322 IVG524322 JFC524322 JOY524322 JYU524322 KIQ524322 KSM524322 LCI524322 LME524322 LWA524322 MFW524322 MPS524322 MZO524322 NJK524322 NTG524322 ODC524322 OMY524322 OWU524322 PGQ524322 PQM524322 QAI524322 QKE524322 QUA524322 RDW524322 RNS524322 RXO524322 SHK524322 SRG524322 TBC524322 TKY524322 TUU524322 UEQ524322 UOM524322 UYI524322 VIE524322 VSA524322 WBW524322 WLS524322 WVO524322 G589858 JC589858 SY589858 ACU589858 AMQ589858 AWM589858 BGI589858 BQE589858 CAA589858 CJW589858 CTS589858 DDO589858 DNK589858 DXG589858 EHC589858 EQY589858 FAU589858 FKQ589858 FUM589858 GEI589858 GOE589858 GYA589858 HHW589858 HRS589858 IBO589858 ILK589858 IVG589858 JFC589858 JOY589858 JYU589858 KIQ589858 KSM589858 LCI589858 LME589858 LWA589858 MFW589858 MPS589858 MZO589858 NJK589858 NTG589858 ODC589858 OMY589858 OWU589858 PGQ589858 PQM589858 QAI589858 QKE589858 QUA589858 RDW589858 RNS589858 RXO589858 SHK589858 SRG589858 TBC589858 TKY589858 TUU589858 UEQ589858 UOM589858 UYI589858 VIE589858 VSA589858 WBW589858 WLS589858 WVO589858 G655394 JC655394 SY655394 ACU655394 AMQ655394 AWM655394 BGI655394 BQE655394 CAA655394 CJW655394 CTS655394 DDO655394 DNK655394 DXG655394 EHC655394 EQY655394 FAU655394 FKQ655394 FUM655394 GEI655394 GOE655394 GYA655394 HHW655394 HRS655394 IBO655394 ILK655394 IVG655394 JFC655394 JOY655394 JYU655394 KIQ655394 KSM655394 LCI655394 LME655394 LWA655394 MFW655394 MPS655394 MZO655394 NJK655394 NTG655394 ODC655394 OMY655394 OWU655394 PGQ655394 PQM655394 QAI655394 QKE655394 QUA655394 RDW655394 RNS655394 RXO655394 SHK655394 SRG655394 TBC655394 TKY655394 TUU655394 UEQ655394 UOM655394 UYI655394 VIE655394 VSA655394 WBW655394 WLS655394 WVO655394 G720930 JC720930 SY720930 ACU720930 AMQ720930 AWM720930 BGI720930 BQE720930 CAA720930 CJW720930 CTS720930 DDO720930 DNK720930 DXG720930 EHC720930 EQY720930 FAU720930 FKQ720930 FUM720930 GEI720930 GOE720930 GYA720930 HHW720930 HRS720930 IBO720930 ILK720930 IVG720930 JFC720930 JOY720930 JYU720930 KIQ720930 KSM720930 LCI720930 LME720930 LWA720930 MFW720930 MPS720930 MZO720930 NJK720930 NTG720930 ODC720930 OMY720930 OWU720930 PGQ720930 PQM720930 QAI720930 QKE720930 QUA720930 RDW720930 RNS720930 RXO720930 SHK720930 SRG720930 TBC720930 TKY720930 TUU720930 UEQ720930 UOM720930 UYI720930 VIE720930 VSA720930 WBW720930 WLS720930 WVO720930 G786466 JC786466 SY786466 ACU786466 AMQ786466 AWM786466 BGI786466 BQE786466 CAA786466 CJW786466 CTS786466 DDO786466 DNK786466 DXG786466 EHC786466 EQY786466 FAU786466 FKQ786466 FUM786466 GEI786466 GOE786466 GYA786466 HHW786466 HRS786466 IBO786466 ILK786466 IVG786466 JFC786466 JOY786466 JYU786466 KIQ786466 KSM786466 LCI786466 LME786466 LWA786466 MFW786466 MPS786466 MZO786466 NJK786466 NTG786466 ODC786466 OMY786466 OWU786466 PGQ786466 PQM786466 QAI786466 QKE786466 QUA786466 RDW786466 RNS786466 RXO786466 SHK786466 SRG786466 TBC786466 TKY786466 TUU786466 UEQ786466 UOM786466 UYI786466 VIE786466 VSA786466 WBW786466 WLS786466 WVO786466 G852002 JC852002 SY852002 ACU852002 AMQ852002 AWM852002 BGI852002 BQE852002 CAA852002 CJW852002 CTS852002 DDO852002 DNK852002 DXG852002 EHC852002 EQY852002 FAU852002 FKQ852002 FUM852002 GEI852002 GOE852002 GYA852002 HHW852002 HRS852002 IBO852002 ILK852002 IVG852002 JFC852002 JOY852002 JYU852002 KIQ852002 KSM852002 LCI852002 LME852002 LWA852002 MFW852002 MPS852002 MZO852002 NJK852002 NTG852002 ODC852002 OMY852002 OWU852002 PGQ852002 PQM852002 QAI852002 QKE852002 QUA852002 RDW852002 RNS852002 RXO852002 SHK852002 SRG852002 TBC852002 TKY852002 TUU852002 UEQ852002 UOM852002 UYI852002 VIE852002 VSA852002 WBW852002 WLS852002 WVO852002 G917538 JC917538 SY917538 ACU917538 AMQ917538 AWM917538 BGI917538 BQE917538 CAA917538 CJW917538 CTS917538 DDO917538 DNK917538 DXG917538 EHC917538 EQY917538 FAU917538 FKQ917538 FUM917538 GEI917538 GOE917538 GYA917538 HHW917538 HRS917538 IBO917538 ILK917538 IVG917538 JFC917538 JOY917538 JYU917538 KIQ917538 KSM917538 LCI917538 LME917538 LWA917538 MFW917538 MPS917538 MZO917538 NJK917538 NTG917538 ODC917538 OMY917538 OWU917538 PGQ917538 PQM917538 QAI917538 QKE917538 QUA917538 RDW917538 RNS917538 RXO917538 SHK917538 SRG917538 TBC917538 TKY917538 TUU917538 UEQ917538 UOM917538 UYI917538 VIE917538 VSA917538 WBW917538 WLS917538 WVO917538 G983074 JC983074 SY983074 ACU983074 AMQ983074 AWM983074 BGI983074 BQE983074 CAA983074 CJW983074 CTS983074 DDO983074 DNK983074 DXG983074 EHC983074 EQY983074 FAU983074 FKQ983074 FUM983074 GEI983074 GOE983074 GYA983074 HHW983074 HRS983074 IBO983074 ILK983074 IVG983074 JFC983074 JOY983074 JYU983074 KIQ983074 KSM983074 LCI983074 LME983074 LWA983074 MFW983074 MPS983074 MZO983074 NJK983074 NTG983074 ODC983074 OMY983074 OWU983074 PGQ983074 PQM983074 QAI983074 QKE983074 QUA983074 RDW983074 RNS983074 RXO983074 SHK983074 SRG983074 TBC983074 TKY983074 TUU983074 UEQ983074 UOM983074 UYI983074 VIE983074 VSA983074 WBW983074 WLS983074 WVO983074 I34 JE34 TA34 ACW34 AMS34 AWO34 BGK34 BQG34 CAC34 CJY34 CTU34 DDQ34 DNM34 DXI34 EHE34 ERA34 FAW34 FKS34 FUO34 GEK34 GOG34 GYC34 HHY34 HRU34 IBQ34 ILM34 IVI34 JFE34 JPA34 JYW34 KIS34 KSO34 LCK34 LMG34 LWC34 MFY34 MPU34 MZQ34 NJM34 NTI34 ODE34 ONA34 OWW34 PGS34 PQO34 QAK34 QKG34 QUC34 RDY34 RNU34 RXQ34 SHM34 SRI34 TBE34 TLA34 TUW34 UES34 UOO34 UYK34 VIG34 VSC34 WBY34 WLU34 WVQ34 I65570 JE65570 TA65570 ACW65570 AMS65570 AWO65570 BGK65570 BQG65570 CAC65570 CJY65570 CTU65570 DDQ65570 DNM65570 DXI65570 EHE65570 ERA65570 FAW65570 FKS65570 FUO65570 GEK65570 GOG65570 GYC65570 HHY65570 HRU65570 IBQ65570 ILM65570 IVI65570 JFE65570 JPA65570 JYW65570 KIS65570 KSO65570 LCK65570 LMG65570 LWC65570 MFY65570 MPU65570 MZQ65570 NJM65570 NTI65570 ODE65570 ONA65570 OWW65570 PGS65570 PQO65570 QAK65570 QKG65570 QUC65570 RDY65570 RNU65570 RXQ65570 SHM65570 SRI65570 TBE65570 TLA65570 TUW65570 UES65570 UOO65570 UYK65570 VIG65570 VSC65570 WBY65570 WLU65570 WVQ65570 I131106 JE131106 TA131106 ACW131106 AMS131106 AWO131106 BGK131106 BQG131106 CAC131106 CJY131106 CTU131106 DDQ131106 DNM131106 DXI131106 EHE131106 ERA131106 FAW131106 FKS131106 FUO131106 GEK131106 GOG131106 GYC131106 HHY131106 HRU131106 IBQ131106 ILM131106 IVI131106 JFE131106 JPA131106 JYW131106 KIS131106 KSO131106 LCK131106 LMG131106 LWC131106 MFY131106 MPU131106 MZQ131106 NJM131106 NTI131106 ODE131106 ONA131106 OWW131106 PGS131106 PQO131106 QAK131106 QKG131106 QUC131106 RDY131106 RNU131106 RXQ131106 SHM131106 SRI131106 TBE131106 TLA131106 TUW131106 UES131106 UOO131106 UYK131106 VIG131106 VSC131106 WBY131106 WLU131106 WVQ131106 I196642 JE196642 TA196642 ACW196642 AMS196642 AWO196642 BGK196642 BQG196642 CAC196642 CJY196642 CTU196642 DDQ196642 DNM196642 DXI196642 EHE196642 ERA196642 FAW196642 FKS196642 FUO196642 GEK196642 GOG196642 GYC196642 HHY196642 HRU196642 IBQ196642 ILM196642 IVI196642 JFE196642 JPA196642 JYW196642 KIS196642 KSO196642 LCK196642 LMG196642 LWC196642 MFY196642 MPU196642 MZQ196642 NJM196642 NTI196642 ODE196642 ONA196642 OWW196642 PGS196642 PQO196642 QAK196642 QKG196642 QUC196642 RDY196642 RNU196642 RXQ196642 SHM196642 SRI196642 TBE196642 TLA196642 TUW196642 UES196642 UOO196642 UYK196642 VIG196642 VSC196642 WBY196642 WLU196642 WVQ196642 I262178 JE262178 TA262178 ACW262178 AMS262178 AWO262178 BGK262178 BQG262178 CAC262178 CJY262178 CTU262178 DDQ262178 DNM262178 DXI262178 EHE262178 ERA262178 FAW262178 FKS262178 FUO262178 GEK262178 GOG262178 GYC262178 HHY262178 HRU262178 IBQ262178 ILM262178 IVI262178 JFE262178 JPA262178 JYW262178 KIS262178 KSO262178 LCK262178 LMG262178 LWC262178 MFY262178 MPU262178 MZQ262178 NJM262178 NTI262178 ODE262178 ONA262178 OWW262178 PGS262178 PQO262178 QAK262178 QKG262178 QUC262178 RDY262178 RNU262178 RXQ262178 SHM262178 SRI262178 TBE262178 TLA262178 TUW262178 UES262178 UOO262178 UYK262178 VIG262178 VSC262178 WBY262178 WLU262178 WVQ262178 I327714 JE327714 TA327714 ACW327714 AMS327714 AWO327714 BGK327714 BQG327714 CAC327714 CJY327714 CTU327714 DDQ327714 DNM327714 DXI327714 EHE327714 ERA327714 FAW327714 FKS327714 FUO327714 GEK327714 GOG327714 GYC327714 HHY327714 HRU327714 IBQ327714 ILM327714 IVI327714 JFE327714 JPA327714 JYW327714 KIS327714 KSO327714 LCK327714 LMG327714 LWC327714 MFY327714 MPU327714 MZQ327714 NJM327714 NTI327714 ODE327714 ONA327714 OWW327714 PGS327714 PQO327714 QAK327714 QKG327714 QUC327714 RDY327714 RNU327714 RXQ327714 SHM327714 SRI327714 TBE327714 TLA327714 TUW327714 UES327714 UOO327714 UYK327714 VIG327714 VSC327714 WBY327714 WLU327714 WVQ327714 I393250 JE393250 TA393250 ACW393250 AMS393250 AWO393250 BGK393250 BQG393250 CAC393250 CJY393250 CTU393250 DDQ393250 DNM393250 DXI393250 EHE393250 ERA393250 FAW393250 FKS393250 FUO393250 GEK393250 GOG393250 GYC393250 HHY393250 HRU393250 IBQ393250 ILM393250 IVI393250 JFE393250 JPA393250 JYW393250 KIS393250 KSO393250 LCK393250 LMG393250 LWC393250 MFY393250 MPU393250 MZQ393250 NJM393250 NTI393250 ODE393250 ONA393250 OWW393250 PGS393250 PQO393250 QAK393250 QKG393250 QUC393250 RDY393250 RNU393250 RXQ393250 SHM393250 SRI393250 TBE393250 TLA393250 TUW393250 UES393250 UOO393250 UYK393250 VIG393250 VSC393250 WBY393250 WLU393250 WVQ393250 I458786 JE458786 TA458786 ACW458786 AMS458786 AWO458786 BGK458786 BQG458786 CAC458786 CJY458786 CTU458786 DDQ458786 DNM458786 DXI458786 EHE458786 ERA458786 FAW458786 FKS458786 FUO458786 GEK458786 GOG458786 GYC458786 HHY458786 HRU458786 IBQ458786 ILM458786 IVI458786 JFE458786 JPA458786 JYW458786 KIS458786 KSO458786 LCK458786 LMG458786 LWC458786 MFY458786 MPU458786 MZQ458786 NJM458786 NTI458786 ODE458786 ONA458786 OWW458786 PGS458786 PQO458786 QAK458786 QKG458786 QUC458786 RDY458786 RNU458786 RXQ458786 SHM458786 SRI458786 TBE458786 TLA458786 TUW458786 UES458786 UOO458786 UYK458786 VIG458786 VSC458786 WBY458786 WLU458786 WVQ458786 I524322 JE524322 TA524322 ACW524322 AMS524322 AWO524322 BGK524322 BQG524322 CAC524322 CJY524322 CTU524322 DDQ524322 DNM524322 DXI524322 EHE524322 ERA524322 FAW524322 FKS524322 FUO524322 GEK524322 GOG524322 GYC524322 HHY524322 HRU524322 IBQ524322 ILM524322 IVI524322 JFE524322 JPA524322 JYW524322 KIS524322 KSO524322 LCK524322 LMG524322 LWC524322 MFY524322 MPU524322 MZQ524322 NJM524322 NTI524322 ODE524322 ONA524322 OWW524322 PGS524322 PQO524322 QAK524322 QKG524322 QUC524322 RDY524322 RNU524322 RXQ524322 SHM524322 SRI524322 TBE524322 TLA524322 TUW524322 UES524322 UOO524322 UYK524322 VIG524322 VSC524322 WBY524322 WLU524322 WVQ524322 I589858 JE589858 TA589858 ACW589858 AMS589858 AWO589858 BGK589858 BQG589858 CAC589858 CJY589858 CTU589858 DDQ589858 DNM589858 DXI589858 EHE589858 ERA589858 FAW589858 FKS589858 FUO589858 GEK589858 GOG589858 GYC589858 HHY589858 HRU589858 IBQ589858 ILM589858 IVI589858 JFE589858 JPA589858 JYW589858 KIS589858 KSO589858 LCK589858 LMG589858 LWC589858 MFY589858 MPU589858 MZQ589858 NJM589858 NTI589858 ODE589858 ONA589858 OWW589858 PGS589858 PQO589858 QAK589858 QKG589858 QUC589858 RDY589858 RNU589858 RXQ589858 SHM589858 SRI589858 TBE589858 TLA589858 TUW589858 UES589858 UOO589858 UYK589858 VIG589858 VSC589858 WBY589858 WLU589858 WVQ589858 I655394 JE655394 TA655394 ACW655394 AMS655394 AWO655394 BGK655394 BQG655394 CAC655394 CJY655394 CTU655394 DDQ655394 DNM655394 DXI655394 EHE655394 ERA655394 FAW655394 FKS655394 FUO655394 GEK655394 GOG655394 GYC655394 HHY655394 HRU655394 IBQ655394 ILM655394 IVI655394 JFE655394 JPA655394 JYW655394 KIS655394 KSO655394 LCK655394 LMG655394 LWC655394 MFY655394 MPU655394 MZQ655394 NJM655394 NTI655394 ODE655394 ONA655394 OWW655394 PGS655394 PQO655394 QAK655394 QKG655394 QUC655394 RDY655394 RNU655394 RXQ655394 SHM655394 SRI655394 TBE655394 TLA655394 TUW655394 UES655394 UOO655394 UYK655394 VIG655394 VSC655394 WBY655394 WLU655394 WVQ655394 I720930 JE720930 TA720930 ACW720930 AMS720930 AWO720930 BGK720930 BQG720930 CAC720930 CJY720930 CTU720930 DDQ720930 DNM720930 DXI720930 EHE720930 ERA720930 FAW720930 FKS720930 FUO720930 GEK720930 GOG720930 GYC720930 HHY720930 HRU720930 IBQ720930 ILM720930 IVI720930 JFE720930 JPA720930 JYW720930 KIS720930 KSO720930 LCK720930 LMG720930 LWC720930 MFY720930 MPU720930 MZQ720930 NJM720930 NTI720930 ODE720930 ONA720930 OWW720930 PGS720930 PQO720930 QAK720930 QKG720930 QUC720930 RDY720930 RNU720930 RXQ720930 SHM720930 SRI720930 TBE720930 TLA720930 TUW720930 UES720930 UOO720930 UYK720930 VIG720930 VSC720930 WBY720930 WLU720930 WVQ720930 I786466 JE786466 TA786466 ACW786466 AMS786466 AWO786466 BGK786466 BQG786466 CAC786466 CJY786466 CTU786466 DDQ786466 DNM786466 DXI786466 EHE786466 ERA786466 FAW786466 FKS786466 FUO786466 GEK786466 GOG786466 GYC786466 HHY786466 HRU786466 IBQ786466 ILM786466 IVI786466 JFE786466 JPA786466 JYW786466 KIS786466 KSO786466 LCK786466 LMG786466 LWC786466 MFY786466 MPU786466 MZQ786466 NJM786466 NTI786466 ODE786466 ONA786466 OWW786466 PGS786466 PQO786466 QAK786466 QKG786466 QUC786466 RDY786466 RNU786466 RXQ786466 SHM786466 SRI786466 TBE786466 TLA786466 TUW786466 UES786466 UOO786466 UYK786466 VIG786466 VSC786466 WBY786466 WLU786466 WVQ786466 I852002 JE852002 TA852002 ACW852002 AMS852002 AWO852002 BGK852002 BQG852002 CAC852002 CJY852002 CTU852002 DDQ852002 DNM852002 DXI852002 EHE852002 ERA852002 FAW852002 FKS852002 FUO852002 GEK852002 GOG852002 GYC852002 HHY852002 HRU852002 IBQ852002 ILM852002 IVI852002 JFE852002 JPA852002 JYW852002 KIS852002 KSO852002 LCK852002 LMG852002 LWC852002 MFY852002 MPU852002 MZQ852002 NJM852002 NTI852002 ODE852002 ONA852002 OWW852002 PGS852002 PQO852002 QAK852002 QKG852002 QUC852002 RDY852002 RNU852002 RXQ852002 SHM852002 SRI852002 TBE852002 TLA852002 TUW852002 UES852002 UOO852002 UYK852002 VIG852002 VSC852002 WBY852002 WLU852002 WVQ852002 I917538 JE917538 TA917538 ACW917538 AMS917538 AWO917538 BGK917538 BQG917538 CAC917538 CJY917538 CTU917538 DDQ917538 DNM917538 DXI917538 EHE917538 ERA917538 FAW917538 FKS917538 FUO917538 GEK917538 GOG917538 GYC917538 HHY917538 HRU917538 IBQ917538 ILM917538 IVI917538 JFE917538 JPA917538 JYW917538 KIS917538 KSO917538 LCK917538 LMG917538 LWC917538 MFY917538 MPU917538 MZQ917538 NJM917538 NTI917538 ODE917538 ONA917538 OWW917538 PGS917538 PQO917538 QAK917538 QKG917538 QUC917538 RDY917538 RNU917538 RXQ917538 SHM917538 SRI917538 TBE917538 TLA917538 TUW917538 UES917538 UOO917538 UYK917538 VIG917538 VSC917538 WBY917538 WLU917538 WVQ917538 I983074 JE983074 TA983074 ACW983074 AMS983074 AWO983074 BGK983074 BQG983074 CAC983074 CJY983074 CTU983074 DDQ983074 DNM983074 DXI983074 EHE983074 ERA983074 FAW983074 FKS983074 FUO983074 GEK983074 GOG983074 GYC983074 HHY983074 HRU983074 IBQ983074 ILM983074 IVI983074 JFE983074 JPA983074 JYW983074 KIS983074 KSO983074 LCK983074 LMG983074 LWC983074 MFY983074 MPU983074 MZQ983074 NJM983074 NTI983074 ODE983074 ONA983074 OWW983074 PGS983074 PQO983074 QAK983074 QKG983074 QUC983074 RDY983074 RNU983074 RXQ983074 SHM983074 SRI983074 TBE983074 TLA983074 TUW983074 UES983074 UOO983074 UYK983074 VIG983074 VSC983074 WBY983074 WLU983074 WVQ983074">
      <formula1>住宅建筑结构</formula1>
    </dataValidation>
    <dataValidation type="list" allowBlank="1" showInputMessage="1" showErrorMessage="1" sqref="C43 IY43 SU43 ACQ43 AMM43 AWI43 BGE43 BQA43 BZW43 CJS43 CTO43 DDK43 DNG43 DXC43 EGY43 EQU43 FAQ43 FKM43 FUI43 GEE43 GOA43 GXW43 HHS43 HRO43 IBK43 ILG43 IVC43 JEY43 JOU43 JYQ43 KIM43 KSI43 LCE43 LMA43 LVW43 MFS43 MPO43 MZK43 NJG43 NTC43 OCY43 OMU43 OWQ43 PGM43 PQI43 QAE43 QKA43 QTW43 RDS43 RNO43 RXK43 SHG43 SRC43 TAY43 TKU43 TUQ43 UEM43 UOI43 UYE43 VIA43 VRW43 WBS43 WLO43 WVK43 C65579 IY65579 SU65579 ACQ65579 AMM65579 AWI65579 BGE65579 BQA65579 BZW65579 CJS65579 CTO65579 DDK65579 DNG65579 DXC65579 EGY65579 EQU65579 FAQ65579 FKM65579 FUI65579 GEE65579 GOA65579 GXW65579 HHS65579 HRO65579 IBK65579 ILG65579 IVC65579 JEY65579 JOU65579 JYQ65579 KIM65579 KSI65579 LCE65579 LMA65579 LVW65579 MFS65579 MPO65579 MZK65579 NJG65579 NTC65579 OCY65579 OMU65579 OWQ65579 PGM65579 PQI65579 QAE65579 QKA65579 QTW65579 RDS65579 RNO65579 RXK65579 SHG65579 SRC65579 TAY65579 TKU65579 TUQ65579 UEM65579 UOI65579 UYE65579 VIA65579 VRW65579 WBS65579 WLO65579 WVK65579 C131115 IY131115 SU131115 ACQ131115 AMM131115 AWI131115 BGE131115 BQA131115 BZW131115 CJS131115 CTO131115 DDK131115 DNG131115 DXC131115 EGY131115 EQU131115 FAQ131115 FKM131115 FUI131115 GEE131115 GOA131115 GXW131115 HHS131115 HRO131115 IBK131115 ILG131115 IVC131115 JEY131115 JOU131115 JYQ131115 KIM131115 KSI131115 LCE131115 LMA131115 LVW131115 MFS131115 MPO131115 MZK131115 NJG131115 NTC131115 OCY131115 OMU131115 OWQ131115 PGM131115 PQI131115 QAE131115 QKA131115 QTW131115 RDS131115 RNO131115 RXK131115 SHG131115 SRC131115 TAY131115 TKU131115 TUQ131115 UEM131115 UOI131115 UYE131115 VIA131115 VRW131115 WBS131115 WLO131115 WVK131115 C196651 IY196651 SU196651 ACQ196651 AMM196651 AWI196651 BGE196651 BQA196651 BZW196651 CJS196651 CTO196651 DDK196651 DNG196651 DXC196651 EGY196651 EQU196651 FAQ196651 FKM196651 FUI196651 GEE196651 GOA196651 GXW196651 HHS196651 HRO196651 IBK196651 ILG196651 IVC196651 JEY196651 JOU196651 JYQ196651 KIM196651 KSI196651 LCE196651 LMA196651 LVW196651 MFS196651 MPO196651 MZK196651 NJG196651 NTC196651 OCY196651 OMU196651 OWQ196651 PGM196651 PQI196651 QAE196651 QKA196651 QTW196651 RDS196651 RNO196651 RXK196651 SHG196651 SRC196651 TAY196651 TKU196651 TUQ196651 UEM196651 UOI196651 UYE196651 VIA196651 VRW196651 WBS196651 WLO196651 WVK196651 C262187 IY262187 SU262187 ACQ262187 AMM262187 AWI262187 BGE262187 BQA262187 BZW262187 CJS262187 CTO262187 DDK262187 DNG262187 DXC262187 EGY262187 EQU262187 FAQ262187 FKM262187 FUI262187 GEE262187 GOA262187 GXW262187 HHS262187 HRO262187 IBK262187 ILG262187 IVC262187 JEY262187 JOU262187 JYQ262187 KIM262187 KSI262187 LCE262187 LMA262187 LVW262187 MFS262187 MPO262187 MZK262187 NJG262187 NTC262187 OCY262187 OMU262187 OWQ262187 PGM262187 PQI262187 QAE262187 QKA262187 QTW262187 RDS262187 RNO262187 RXK262187 SHG262187 SRC262187 TAY262187 TKU262187 TUQ262187 UEM262187 UOI262187 UYE262187 VIA262187 VRW262187 WBS262187 WLO262187 WVK262187 C327723 IY327723 SU327723 ACQ327723 AMM327723 AWI327723 BGE327723 BQA327723 BZW327723 CJS327723 CTO327723 DDK327723 DNG327723 DXC327723 EGY327723 EQU327723 FAQ327723 FKM327723 FUI327723 GEE327723 GOA327723 GXW327723 HHS327723 HRO327723 IBK327723 ILG327723 IVC327723 JEY327723 JOU327723 JYQ327723 KIM327723 KSI327723 LCE327723 LMA327723 LVW327723 MFS327723 MPO327723 MZK327723 NJG327723 NTC327723 OCY327723 OMU327723 OWQ327723 PGM327723 PQI327723 QAE327723 QKA327723 QTW327723 RDS327723 RNO327723 RXK327723 SHG327723 SRC327723 TAY327723 TKU327723 TUQ327723 UEM327723 UOI327723 UYE327723 VIA327723 VRW327723 WBS327723 WLO327723 WVK327723 C393259 IY393259 SU393259 ACQ393259 AMM393259 AWI393259 BGE393259 BQA393259 BZW393259 CJS393259 CTO393259 DDK393259 DNG393259 DXC393259 EGY393259 EQU393259 FAQ393259 FKM393259 FUI393259 GEE393259 GOA393259 GXW393259 HHS393259 HRO393259 IBK393259 ILG393259 IVC393259 JEY393259 JOU393259 JYQ393259 KIM393259 KSI393259 LCE393259 LMA393259 LVW393259 MFS393259 MPO393259 MZK393259 NJG393259 NTC393259 OCY393259 OMU393259 OWQ393259 PGM393259 PQI393259 QAE393259 QKA393259 QTW393259 RDS393259 RNO393259 RXK393259 SHG393259 SRC393259 TAY393259 TKU393259 TUQ393259 UEM393259 UOI393259 UYE393259 VIA393259 VRW393259 WBS393259 WLO393259 WVK393259 C458795 IY458795 SU458795 ACQ458795 AMM458795 AWI458795 BGE458795 BQA458795 BZW458795 CJS458795 CTO458795 DDK458795 DNG458795 DXC458795 EGY458795 EQU458795 FAQ458795 FKM458795 FUI458795 GEE458795 GOA458795 GXW458795 HHS458795 HRO458795 IBK458795 ILG458795 IVC458795 JEY458795 JOU458795 JYQ458795 KIM458795 KSI458795 LCE458795 LMA458795 LVW458795 MFS458795 MPO458795 MZK458795 NJG458795 NTC458795 OCY458795 OMU458795 OWQ458795 PGM458795 PQI458795 QAE458795 QKA458795 QTW458795 RDS458795 RNO458795 RXK458795 SHG458795 SRC458795 TAY458795 TKU458795 TUQ458795 UEM458795 UOI458795 UYE458795 VIA458795 VRW458795 WBS458795 WLO458795 WVK458795 C524331 IY524331 SU524331 ACQ524331 AMM524331 AWI524331 BGE524331 BQA524331 BZW524331 CJS524331 CTO524331 DDK524331 DNG524331 DXC524331 EGY524331 EQU524331 FAQ524331 FKM524331 FUI524331 GEE524331 GOA524331 GXW524331 HHS524331 HRO524331 IBK524331 ILG524331 IVC524331 JEY524331 JOU524331 JYQ524331 KIM524331 KSI524331 LCE524331 LMA524331 LVW524331 MFS524331 MPO524331 MZK524331 NJG524331 NTC524331 OCY524331 OMU524331 OWQ524331 PGM524331 PQI524331 QAE524331 QKA524331 QTW524331 RDS524331 RNO524331 RXK524331 SHG524331 SRC524331 TAY524331 TKU524331 TUQ524331 UEM524331 UOI524331 UYE524331 VIA524331 VRW524331 WBS524331 WLO524331 WVK524331 C589867 IY589867 SU589867 ACQ589867 AMM589867 AWI589867 BGE589867 BQA589867 BZW589867 CJS589867 CTO589867 DDK589867 DNG589867 DXC589867 EGY589867 EQU589867 FAQ589867 FKM589867 FUI589867 GEE589867 GOA589867 GXW589867 HHS589867 HRO589867 IBK589867 ILG589867 IVC589867 JEY589867 JOU589867 JYQ589867 KIM589867 KSI589867 LCE589867 LMA589867 LVW589867 MFS589867 MPO589867 MZK589867 NJG589867 NTC589867 OCY589867 OMU589867 OWQ589867 PGM589867 PQI589867 QAE589867 QKA589867 QTW589867 RDS589867 RNO589867 RXK589867 SHG589867 SRC589867 TAY589867 TKU589867 TUQ589867 UEM589867 UOI589867 UYE589867 VIA589867 VRW589867 WBS589867 WLO589867 WVK589867 C655403 IY655403 SU655403 ACQ655403 AMM655403 AWI655403 BGE655403 BQA655403 BZW655403 CJS655403 CTO655403 DDK655403 DNG655403 DXC655403 EGY655403 EQU655403 FAQ655403 FKM655403 FUI655403 GEE655403 GOA655403 GXW655403 HHS655403 HRO655403 IBK655403 ILG655403 IVC655403 JEY655403 JOU655403 JYQ655403 KIM655403 KSI655403 LCE655403 LMA655403 LVW655403 MFS655403 MPO655403 MZK655403 NJG655403 NTC655403 OCY655403 OMU655403 OWQ655403 PGM655403 PQI655403 QAE655403 QKA655403 QTW655403 RDS655403 RNO655403 RXK655403 SHG655403 SRC655403 TAY655403 TKU655403 TUQ655403 UEM655403 UOI655403 UYE655403 VIA655403 VRW655403 WBS655403 WLO655403 WVK655403 C720939 IY720939 SU720939 ACQ720939 AMM720939 AWI720939 BGE720939 BQA720939 BZW720939 CJS720939 CTO720939 DDK720939 DNG720939 DXC720939 EGY720939 EQU720939 FAQ720939 FKM720939 FUI720939 GEE720939 GOA720939 GXW720939 HHS720939 HRO720939 IBK720939 ILG720939 IVC720939 JEY720939 JOU720939 JYQ720939 KIM720939 KSI720939 LCE720939 LMA720939 LVW720939 MFS720939 MPO720939 MZK720939 NJG720939 NTC720939 OCY720939 OMU720939 OWQ720939 PGM720939 PQI720939 QAE720939 QKA720939 QTW720939 RDS720939 RNO720939 RXK720939 SHG720939 SRC720939 TAY720939 TKU720939 TUQ720939 UEM720939 UOI720939 UYE720939 VIA720939 VRW720939 WBS720939 WLO720939 WVK720939 C786475 IY786475 SU786475 ACQ786475 AMM786475 AWI786475 BGE786475 BQA786475 BZW786475 CJS786475 CTO786475 DDK786475 DNG786475 DXC786475 EGY786475 EQU786475 FAQ786475 FKM786475 FUI786475 GEE786475 GOA786475 GXW786475 HHS786475 HRO786475 IBK786475 ILG786475 IVC786475 JEY786475 JOU786475 JYQ786475 KIM786475 KSI786475 LCE786475 LMA786475 LVW786475 MFS786475 MPO786475 MZK786475 NJG786475 NTC786475 OCY786475 OMU786475 OWQ786475 PGM786475 PQI786475 QAE786475 QKA786475 QTW786475 RDS786475 RNO786475 RXK786475 SHG786475 SRC786475 TAY786475 TKU786475 TUQ786475 UEM786475 UOI786475 UYE786475 VIA786475 VRW786475 WBS786475 WLO786475 WVK786475 C852011 IY852011 SU852011 ACQ852011 AMM852011 AWI852011 BGE852011 BQA852011 BZW852011 CJS852011 CTO852011 DDK852011 DNG852011 DXC852011 EGY852011 EQU852011 FAQ852011 FKM852011 FUI852011 GEE852011 GOA852011 GXW852011 HHS852011 HRO852011 IBK852011 ILG852011 IVC852011 JEY852011 JOU852011 JYQ852011 KIM852011 KSI852011 LCE852011 LMA852011 LVW852011 MFS852011 MPO852011 MZK852011 NJG852011 NTC852011 OCY852011 OMU852011 OWQ852011 PGM852011 PQI852011 QAE852011 QKA852011 QTW852011 RDS852011 RNO852011 RXK852011 SHG852011 SRC852011 TAY852011 TKU852011 TUQ852011 UEM852011 UOI852011 UYE852011 VIA852011 VRW852011 WBS852011 WLO852011 WVK852011 C917547 IY917547 SU917547 ACQ917547 AMM917547 AWI917547 BGE917547 BQA917547 BZW917547 CJS917547 CTO917547 DDK917547 DNG917547 DXC917547 EGY917547 EQU917547 FAQ917547 FKM917547 FUI917547 GEE917547 GOA917547 GXW917547 HHS917547 HRO917547 IBK917547 ILG917547 IVC917547 JEY917547 JOU917547 JYQ917547 KIM917547 KSI917547 LCE917547 LMA917547 LVW917547 MFS917547 MPO917547 MZK917547 NJG917547 NTC917547 OCY917547 OMU917547 OWQ917547 PGM917547 PQI917547 QAE917547 QKA917547 QTW917547 RDS917547 RNO917547 RXK917547 SHG917547 SRC917547 TAY917547 TKU917547 TUQ917547 UEM917547 UOI917547 UYE917547 VIA917547 VRW917547 WBS917547 WLO917547 WVK917547 C983083 IY983083 SU983083 ACQ983083 AMM983083 AWI983083 BGE983083 BQA983083 BZW983083 CJS983083 CTO983083 DDK983083 DNG983083 DXC983083 EGY983083 EQU983083 FAQ983083 FKM983083 FUI983083 GEE983083 GOA983083 GXW983083 HHS983083 HRO983083 IBK983083 ILG983083 IVC983083 JEY983083 JOU983083 JYQ983083 KIM983083 KSI983083 LCE983083 LMA983083 LVW983083 MFS983083 MPO983083 MZK983083 NJG983083 NTC983083 OCY983083 OMU983083 OWQ983083 PGM983083 PQI983083 QAE983083 QKA983083 QTW983083 RDS983083 RNO983083 RXK983083 SHG983083 SRC983083 TAY983083 TKU983083 TUQ983083 UEM983083 UOI983083 UYE983083 VIA983083 VRW983083 WBS983083 WLO983083 WVK983083 E43 JA43 SW43 ACS43 AMO43 AWK43 BGG43 BQC43 BZY43 CJU43 CTQ43 DDM43 DNI43 DXE43 EHA43 EQW43 FAS43 FKO43 FUK43 GEG43 GOC43 GXY43 HHU43 HRQ43 IBM43 ILI43 IVE43 JFA43 JOW43 JYS43 KIO43 KSK43 LCG43 LMC43 LVY43 MFU43 MPQ43 MZM43 NJI43 NTE43 ODA43 OMW43 OWS43 PGO43 PQK43 QAG43 QKC43 QTY43 RDU43 RNQ43 RXM43 SHI43 SRE43 TBA43 TKW43 TUS43 UEO43 UOK43 UYG43 VIC43 VRY43 WBU43 WLQ43 WVM43 E65579 JA65579 SW65579 ACS65579 AMO65579 AWK65579 BGG65579 BQC65579 BZY65579 CJU65579 CTQ65579 DDM65579 DNI65579 DXE65579 EHA65579 EQW65579 FAS65579 FKO65579 FUK65579 GEG65579 GOC65579 GXY65579 HHU65579 HRQ65579 IBM65579 ILI65579 IVE65579 JFA65579 JOW65579 JYS65579 KIO65579 KSK65579 LCG65579 LMC65579 LVY65579 MFU65579 MPQ65579 MZM65579 NJI65579 NTE65579 ODA65579 OMW65579 OWS65579 PGO65579 PQK65579 QAG65579 QKC65579 QTY65579 RDU65579 RNQ65579 RXM65579 SHI65579 SRE65579 TBA65579 TKW65579 TUS65579 UEO65579 UOK65579 UYG65579 VIC65579 VRY65579 WBU65579 WLQ65579 WVM65579 E131115 JA131115 SW131115 ACS131115 AMO131115 AWK131115 BGG131115 BQC131115 BZY131115 CJU131115 CTQ131115 DDM131115 DNI131115 DXE131115 EHA131115 EQW131115 FAS131115 FKO131115 FUK131115 GEG131115 GOC131115 GXY131115 HHU131115 HRQ131115 IBM131115 ILI131115 IVE131115 JFA131115 JOW131115 JYS131115 KIO131115 KSK131115 LCG131115 LMC131115 LVY131115 MFU131115 MPQ131115 MZM131115 NJI131115 NTE131115 ODA131115 OMW131115 OWS131115 PGO131115 PQK131115 QAG131115 QKC131115 QTY131115 RDU131115 RNQ131115 RXM131115 SHI131115 SRE131115 TBA131115 TKW131115 TUS131115 UEO131115 UOK131115 UYG131115 VIC131115 VRY131115 WBU131115 WLQ131115 WVM131115 E196651 JA196651 SW196651 ACS196651 AMO196651 AWK196651 BGG196651 BQC196651 BZY196651 CJU196651 CTQ196651 DDM196651 DNI196651 DXE196651 EHA196651 EQW196651 FAS196651 FKO196651 FUK196651 GEG196651 GOC196651 GXY196651 HHU196651 HRQ196651 IBM196651 ILI196651 IVE196651 JFA196651 JOW196651 JYS196651 KIO196651 KSK196651 LCG196651 LMC196651 LVY196651 MFU196651 MPQ196651 MZM196651 NJI196651 NTE196651 ODA196651 OMW196651 OWS196651 PGO196651 PQK196651 QAG196651 QKC196651 QTY196651 RDU196651 RNQ196651 RXM196651 SHI196651 SRE196651 TBA196651 TKW196651 TUS196651 UEO196651 UOK196651 UYG196651 VIC196651 VRY196651 WBU196651 WLQ196651 WVM196651 E262187 JA262187 SW262187 ACS262187 AMO262187 AWK262187 BGG262187 BQC262187 BZY262187 CJU262187 CTQ262187 DDM262187 DNI262187 DXE262187 EHA262187 EQW262187 FAS262187 FKO262187 FUK262187 GEG262187 GOC262187 GXY262187 HHU262187 HRQ262187 IBM262187 ILI262187 IVE262187 JFA262187 JOW262187 JYS262187 KIO262187 KSK262187 LCG262187 LMC262187 LVY262187 MFU262187 MPQ262187 MZM262187 NJI262187 NTE262187 ODA262187 OMW262187 OWS262187 PGO262187 PQK262187 QAG262187 QKC262187 QTY262187 RDU262187 RNQ262187 RXM262187 SHI262187 SRE262187 TBA262187 TKW262187 TUS262187 UEO262187 UOK262187 UYG262187 VIC262187 VRY262187 WBU262187 WLQ262187 WVM262187 E327723 JA327723 SW327723 ACS327723 AMO327723 AWK327723 BGG327723 BQC327723 BZY327723 CJU327723 CTQ327723 DDM327723 DNI327723 DXE327723 EHA327723 EQW327723 FAS327723 FKO327723 FUK327723 GEG327723 GOC327723 GXY327723 HHU327723 HRQ327723 IBM327723 ILI327723 IVE327723 JFA327723 JOW327723 JYS327723 KIO327723 KSK327723 LCG327723 LMC327723 LVY327723 MFU327723 MPQ327723 MZM327723 NJI327723 NTE327723 ODA327723 OMW327723 OWS327723 PGO327723 PQK327723 QAG327723 QKC327723 QTY327723 RDU327723 RNQ327723 RXM327723 SHI327723 SRE327723 TBA327723 TKW327723 TUS327723 UEO327723 UOK327723 UYG327723 VIC327723 VRY327723 WBU327723 WLQ327723 WVM327723 E393259 JA393259 SW393259 ACS393259 AMO393259 AWK393259 BGG393259 BQC393259 BZY393259 CJU393259 CTQ393259 DDM393259 DNI393259 DXE393259 EHA393259 EQW393259 FAS393259 FKO393259 FUK393259 GEG393259 GOC393259 GXY393259 HHU393259 HRQ393259 IBM393259 ILI393259 IVE393259 JFA393259 JOW393259 JYS393259 KIO393259 KSK393259 LCG393259 LMC393259 LVY393259 MFU393259 MPQ393259 MZM393259 NJI393259 NTE393259 ODA393259 OMW393259 OWS393259 PGO393259 PQK393259 QAG393259 QKC393259 QTY393259 RDU393259 RNQ393259 RXM393259 SHI393259 SRE393259 TBA393259 TKW393259 TUS393259 UEO393259 UOK393259 UYG393259 VIC393259 VRY393259 WBU393259 WLQ393259 WVM393259 E458795 JA458795 SW458795 ACS458795 AMO458795 AWK458795 BGG458795 BQC458795 BZY458795 CJU458795 CTQ458795 DDM458795 DNI458795 DXE458795 EHA458795 EQW458795 FAS458795 FKO458795 FUK458795 GEG458795 GOC458795 GXY458795 HHU458795 HRQ458795 IBM458795 ILI458795 IVE458795 JFA458795 JOW458795 JYS458795 KIO458795 KSK458795 LCG458795 LMC458795 LVY458795 MFU458795 MPQ458795 MZM458795 NJI458795 NTE458795 ODA458795 OMW458795 OWS458795 PGO458795 PQK458795 QAG458795 QKC458795 QTY458795 RDU458795 RNQ458795 RXM458795 SHI458795 SRE458795 TBA458795 TKW458795 TUS458795 UEO458795 UOK458795 UYG458795 VIC458795 VRY458795 WBU458795 WLQ458795 WVM458795 E524331 JA524331 SW524331 ACS524331 AMO524331 AWK524331 BGG524331 BQC524331 BZY524331 CJU524331 CTQ524331 DDM524331 DNI524331 DXE524331 EHA524331 EQW524331 FAS524331 FKO524331 FUK524331 GEG524331 GOC524331 GXY524331 HHU524331 HRQ524331 IBM524331 ILI524331 IVE524331 JFA524331 JOW524331 JYS524331 KIO524331 KSK524331 LCG524331 LMC524331 LVY524331 MFU524331 MPQ524331 MZM524331 NJI524331 NTE524331 ODA524331 OMW524331 OWS524331 PGO524331 PQK524331 QAG524331 QKC524331 QTY524331 RDU524331 RNQ524331 RXM524331 SHI524331 SRE524331 TBA524331 TKW524331 TUS524331 UEO524331 UOK524331 UYG524331 VIC524331 VRY524331 WBU524331 WLQ524331 WVM524331 E589867 JA589867 SW589867 ACS589867 AMO589867 AWK589867 BGG589867 BQC589867 BZY589867 CJU589867 CTQ589867 DDM589867 DNI589867 DXE589867 EHA589867 EQW589867 FAS589867 FKO589867 FUK589867 GEG589867 GOC589867 GXY589867 HHU589867 HRQ589867 IBM589867 ILI589867 IVE589867 JFA589867 JOW589867 JYS589867 KIO589867 KSK589867 LCG589867 LMC589867 LVY589867 MFU589867 MPQ589867 MZM589867 NJI589867 NTE589867 ODA589867 OMW589867 OWS589867 PGO589867 PQK589867 QAG589867 QKC589867 QTY589867 RDU589867 RNQ589867 RXM589867 SHI589867 SRE589867 TBA589867 TKW589867 TUS589867 UEO589867 UOK589867 UYG589867 VIC589867 VRY589867 WBU589867 WLQ589867 WVM589867 E655403 JA655403 SW655403 ACS655403 AMO655403 AWK655403 BGG655403 BQC655403 BZY655403 CJU655403 CTQ655403 DDM655403 DNI655403 DXE655403 EHA655403 EQW655403 FAS655403 FKO655403 FUK655403 GEG655403 GOC655403 GXY655403 HHU655403 HRQ655403 IBM655403 ILI655403 IVE655403 JFA655403 JOW655403 JYS655403 KIO655403 KSK655403 LCG655403 LMC655403 LVY655403 MFU655403 MPQ655403 MZM655403 NJI655403 NTE655403 ODA655403 OMW655403 OWS655403 PGO655403 PQK655403 QAG655403 QKC655403 QTY655403 RDU655403 RNQ655403 RXM655403 SHI655403 SRE655403 TBA655403 TKW655403 TUS655403 UEO655403 UOK655403 UYG655403 VIC655403 VRY655403 WBU655403 WLQ655403 WVM655403 E720939 JA720939 SW720939 ACS720939 AMO720939 AWK720939 BGG720939 BQC720939 BZY720939 CJU720939 CTQ720939 DDM720939 DNI720939 DXE720939 EHA720939 EQW720939 FAS720939 FKO720939 FUK720939 GEG720939 GOC720939 GXY720939 HHU720939 HRQ720939 IBM720939 ILI720939 IVE720939 JFA720939 JOW720939 JYS720939 KIO720939 KSK720939 LCG720939 LMC720939 LVY720939 MFU720939 MPQ720939 MZM720939 NJI720939 NTE720939 ODA720939 OMW720939 OWS720939 PGO720939 PQK720939 QAG720939 QKC720939 QTY720939 RDU720939 RNQ720939 RXM720939 SHI720939 SRE720939 TBA720939 TKW720939 TUS720939 UEO720939 UOK720939 UYG720939 VIC720939 VRY720939 WBU720939 WLQ720939 WVM720939 E786475 JA786475 SW786475 ACS786475 AMO786475 AWK786475 BGG786475 BQC786475 BZY786475 CJU786475 CTQ786475 DDM786475 DNI786475 DXE786475 EHA786475 EQW786475 FAS786475 FKO786475 FUK786475 GEG786475 GOC786475 GXY786475 HHU786475 HRQ786475 IBM786475 ILI786475 IVE786475 JFA786475 JOW786475 JYS786475 KIO786475 KSK786475 LCG786475 LMC786475 LVY786475 MFU786475 MPQ786475 MZM786475 NJI786475 NTE786475 ODA786475 OMW786475 OWS786475 PGO786475 PQK786475 QAG786475 QKC786475 QTY786475 RDU786475 RNQ786475 RXM786475 SHI786475 SRE786475 TBA786475 TKW786475 TUS786475 UEO786475 UOK786475 UYG786475 VIC786475 VRY786475 WBU786475 WLQ786475 WVM786475 E852011 JA852011 SW852011 ACS852011 AMO852011 AWK852011 BGG852011 BQC852011 BZY852011 CJU852011 CTQ852011 DDM852011 DNI852011 DXE852011 EHA852011 EQW852011 FAS852011 FKO852011 FUK852011 GEG852011 GOC852011 GXY852011 HHU852011 HRQ852011 IBM852011 ILI852011 IVE852011 JFA852011 JOW852011 JYS852011 KIO852011 KSK852011 LCG852011 LMC852011 LVY852011 MFU852011 MPQ852011 MZM852011 NJI852011 NTE852011 ODA852011 OMW852011 OWS852011 PGO852011 PQK852011 QAG852011 QKC852011 QTY852011 RDU852011 RNQ852011 RXM852011 SHI852011 SRE852011 TBA852011 TKW852011 TUS852011 UEO852011 UOK852011 UYG852011 VIC852011 VRY852011 WBU852011 WLQ852011 WVM852011 E917547 JA917547 SW917547 ACS917547 AMO917547 AWK917547 BGG917547 BQC917547 BZY917547 CJU917547 CTQ917547 DDM917547 DNI917547 DXE917547 EHA917547 EQW917547 FAS917547 FKO917547 FUK917547 GEG917547 GOC917547 GXY917547 HHU917547 HRQ917547 IBM917547 ILI917547 IVE917547 JFA917547 JOW917547 JYS917547 KIO917547 KSK917547 LCG917547 LMC917547 LVY917547 MFU917547 MPQ917547 MZM917547 NJI917547 NTE917547 ODA917547 OMW917547 OWS917547 PGO917547 PQK917547 QAG917547 QKC917547 QTY917547 RDU917547 RNQ917547 RXM917547 SHI917547 SRE917547 TBA917547 TKW917547 TUS917547 UEO917547 UOK917547 UYG917547 VIC917547 VRY917547 WBU917547 WLQ917547 WVM917547 E983083 JA983083 SW983083 ACS983083 AMO983083 AWK983083 BGG983083 BQC983083 BZY983083 CJU983083 CTQ983083 DDM983083 DNI983083 DXE983083 EHA983083 EQW983083 FAS983083 FKO983083 FUK983083 GEG983083 GOC983083 GXY983083 HHU983083 HRQ983083 IBM983083 ILI983083 IVE983083 JFA983083 JOW983083 JYS983083 KIO983083 KSK983083 LCG983083 LMC983083 LVY983083 MFU983083 MPQ983083 MZM983083 NJI983083 NTE983083 ODA983083 OMW983083 OWS983083 PGO983083 PQK983083 QAG983083 QKC983083 QTY983083 RDU983083 RNQ983083 RXM983083 SHI983083 SRE983083 TBA983083 TKW983083 TUS983083 UEO983083 UOK983083 UYG983083 VIC983083 VRY983083 WBU983083 WLQ983083 WVM983083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I43 JE43 TA43 ACW43 AMS43 AWO43 BGK43 BQG43 CAC43 CJY43 CTU43 DDQ43 DNM43 DXI43 EHE43 ERA43 FAW43 FKS43 FUO43 GEK43 GOG43 GYC43 HHY43 HRU43 IBQ43 ILM43 IVI43 JFE43 JPA43 JYW43 KIS43 KSO43 LCK43 LMG43 LWC43 MFY43 MPU43 MZQ43 NJM43 NTI43 ODE43 ONA43 OWW43 PGS43 PQO43 QAK43 QKG43 QUC43 RDY43 RNU43 RXQ43 SHM43 SRI43 TBE43 TLA43 TUW43 UES43 UOO43 UYK43 VIG43 VSC43 WBY43 WLU43 WVQ43 I65579 JE65579 TA65579 ACW65579 AMS65579 AWO65579 BGK65579 BQG65579 CAC65579 CJY65579 CTU65579 DDQ65579 DNM65579 DXI65579 EHE65579 ERA65579 FAW65579 FKS65579 FUO65579 GEK65579 GOG65579 GYC65579 HHY65579 HRU65579 IBQ65579 ILM65579 IVI65579 JFE65579 JPA65579 JYW65579 KIS65579 KSO65579 LCK65579 LMG65579 LWC65579 MFY65579 MPU65579 MZQ65579 NJM65579 NTI65579 ODE65579 ONA65579 OWW65579 PGS65579 PQO65579 QAK65579 QKG65579 QUC65579 RDY65579 RNU65579 RXQ65579 SHM65579 SRI65579 TBE65579 TLA65579 TUW65579 UES65579 UOO65579 UYK65579 VIG65579 VSC65579 WBY65579 WLU65579 WVQ65579 I131115 JE131115 TA131115 ACW131115 AMS131115 AWO131115 BGK131115 BQG131115 CAC131115 CJY131115 CTU131115 DDQ131115 DNM131115 DXI131115 EHE131115 ERA131115 FAW131115 FKS131115 FUO131115 GEK131115 GOG131115 GYC131115 HHY131115 HRU131115 IBQ131115 ILM131115 IVI131115 JFE131115 JPA131115 JYW131115 KIS131115 KSO131115 LCK131115 LMG131115 LWC131115 MFY131115 MPU131115 MZQ131115 NJM131115 NTI131115 ODE131115 ONA131115 OWW131115 PGS131115 PQO131115 QAK131115 QKG131115 QUC131115 RDY131115 RNU131115 RXQ131115 SHM131115 SRI131115 TBE131115 TLA131115 TUW131115 UES131115 UOO131115 UYK131115 VIG131115 VSC131115 WBY131115 WLU131115 WVQ131115 I196651 JE196651 TA196651 ACW196651 AMS196651 AWO196651 BGK196651 BQG196651 CAC196651 CJY196651 CTU196651 DDQ196651 DNM196651 DXI196651 EHE196651 ERA196651 FAW196651 FKS196651 FUO196651 GEK196651 GOG196651 GYC196651 HHY196651 HRU196651 IBQ196651 ILM196651 IVI196651 JFE196651 JPA196651 JYW196651 KIS196651 KSO196651 LCK196651 LMG196651 LWC196651 MFY196651 MPU196651 MZQ196651 NJM196651 NTI196651 ODE196651 ONA196651 OWW196651 PGS196651 PQO196651 QAK196651 QKG196651 QUC196651 RDY196651 RNU196651 RXQ196651 SHM196651 SRI196651 TBE196651 TLA196651 TUW196651 UES196651 UOO196651 UYK196651 VIG196651 VSC196651 WBY196651 WLU196651 WVQ196651 I262187 JE262187 TA262187 ACW262187 AMS262187 AWO262187 BGK262187 BQG262187 CAC262187 CJY262187 CTU262187 DDQ262187 DNM262187 DXI262187 EHE262187 ERA262187 FAW262187 FKS262187 FUO262187 GEK262187 GOG262187 GYC262187 HHY262187 HRU262187 IBQ262187 ILM262187 IVI262187 JFE262187 JPA262187 JYW262187 KIS262187 KSO262187 LCK262187 LMG262187 LWC262187 MFY262187 MPU262187 MZQ262187 NJM262187 NTI262187 ODE262187 ONA262187 OWW262187 PGS262187 PQO262187 QAK262187 QKG262187 QUC262187 RDY262187 RNU262187 RXQ262187 SHM262187 SRI262187 TBE262187 TLA262187 TUW262187 UES262187 UOO262187 UYK262187 VIG262187 VSC262187 WBY262187 WLU262187 WVQ262187 I327723 JE327723 TA327723 ACW327723 AMS327723 AWO327723 BGK327723 BQG327723 CAC327723 CJY327723 CTU327723 DDQ327723 DNM327723 DXI327723 EHE327723 ERA327723 FAW327723 FKS327723 FUO327723 GEK327723 GOG327723 GYC327723 HHY327723 HRU327723 IBQ327723 ILM327723 IVI327723 JFE327723 JPA327723 JYW327723 KIS327723 KSO327723 LCK327723 LMG327723 LWC327723 MFY327723 MPU327723 MZQ327723 NJM327723 NTI327723 ODE327723 ONA327723 OWW327723 PGS327723 PQO327723 QAK327723 QKG327723 QUC327723 RDY327723 RNU327723 RXQ327723 SHM327723 SRI327723 TBE327723 TLA327723 TUW327723 UES327723 UOO327723 UYK327723 VIG327723 VSC327723 WBY327723 WLU327723 WVQ327723 I393259 JE393259 TA393259 ACW393259 AMS393259 AWO393259 BGK393259 BQG393259 CAC393259 CJY393259 CTU393259 DDQ393259 DNM393259 DXI393259 EHE393259 ERA393259 FAW393259 FKS393259 FUO393259 GEK393259 GOG393259 GYC393259 HHY393259 HRU393259 IBQ393259 ILM393259 IVI393259 JFE393259 JPA393259 JYW393259 KIS393259 KSO393259 LCK393259 LMG393259 LWC393259 MFY393259 MPU393259 MZQ393259 NJM393259 NTI393259 ODE393259 ONA393259 OWW393259 PGS393259 PQO393259 QAK393259 QKG393259 QUC393259 RDY393259 RNU393259 RXQ393259 SHM393259 SRI393259 TBE393259 TLA393259 TUW393259 UES393259 UOO393259 UYK393259 VIG393259 VSC393259 WBY393259 WLU393259 WVQ393259 I458795 JE458795 TA458795 ACW458795 AMS458795 AWO458795 BGK458795 BQG458795 CAC458795 CJY458795 CTU458795 DDQ458795 DNM458795 DXI458795 EHE458795 ERA458795 FAW458795 FKS458795 FUO458795 GEK458795 GOG458795 GYC458795 HHY458795 HRU458795 IBQ458795 ILM458795 IVI458795 JFE458795 JPA458795 JYW458795 KIS458795 KSO458795 LCK458795 LMG458795 LWC458795 MFY458795 MPU458795 MZQ458795 NJM458795 NTI458795 ODE458795 ONA458795 OWW458795 PGS458795 PQO458795 QAK458795 QKG458795 QUC458795 RDY458795 RNU458795 RXQ458795 SHM458795 SRI458795 TBE458795 TLA458795 TUW458795 UES458795 UOO458795 UYK458795 VIG458795 VSC458795 WBY458795 WLU458795 WVQ458795 I524331 JE524331 TA524331 ACW524331 AMS524331 AWO524331 BGK524331 BQG524331 CAC524331 CJY524331 CTU524331 DDQ524331 DNM524331 DXI524331 EHE524331 ERA524331 FAW524331 FKS524331 FUO524331 GEK524331 GOG524331 GYC524331 HHY524331 HRU524331 IBQ524331 ILM524331 IVI524331 JFE524331 JPA524331 JYW524331 KIS524331 KSO524331 LCK524331 LMG524331 LWC524331 MFY524331 MPU524331 MZQ524331 NJM524331 NTI524331 ODE524331 ONA524331 OWW524331 PGS524331 PQO524331 QAK524331 QKG524331 QUC524331 RDY524331 RNU524331 RXQ524331 SHM524331 SRI524331 TBE524331 TLA524331 TUW524331 UES524331 UOO524331 UYK524331 VIG524331 VSC524331 WBY524331 WLU524331 WVQ524331 I589867 JE589867 TA589867 ACW589867 AMS589867 AWO589867 BGK589867 BQG589867 CAC589867 CJY589867 CTU589867 DDQ589867 DNM589867 DXI589867 EHE589867 ERA589867 FAW589867 FKS589867 FUO589867 GEK589867 GOG589867 GYC589867 HHY589867 HRU589867 IBQ589867 ILM589867 IVI589867 JFE589867 JPA589867 JYW589867 KIS589867 KSO589867 LCK589867 LMG589867 LWC589867 MFY589867 MPU589867 MZQ589867 NJM589867 NTI589867 ODE589867 ONA589867 OWW589867 PGS589867 PQO589867 QAK589867 QKG589867 QUC589867 RDY589867 RNU589867 RXQ589867 SHM589867 SRI589867 TBE589867 TLA589867 TUW589867 UES589867 UOO589867 UYK589867 VIG589867 VSC589867 WBY589867 WLU589867 WVQ589867 I655403 JE655403 TA655403 ACW655403 AMS655403 AWO655403 BGK655403 BQG655403 CAC655403 CJY655403 CTU655403 DDQ655403 DNM655403 DXI655403 EHE655403 ERA655403 FAW655403 FKS655403 FUO655403 GEK655403 GOG655403 GYC655403 HHY655403 HRU655403 IBQ655403 ILM655403 IVI655403 JFE655403 JPA655403 JYW655403 KIS655403 KSO655403 LCK655403 LMG655403 LWC655403 MFY655403 MPU655403 MZQ655403 NJM655403 NTI655403 ODE655403 ONA655403 OWW655403 PGS655403 PQO655403 QAK655403 QKG655403 QUC655403 RDY655403 RNU655403 RXQ655403 SHM655403 SRI655403 TBE655403 TLA655403 TUW655403 UES655403 UOO655403 UYK655403 VIG655403 VSC655403 WBY655403 WLU655403 WVQ655403 I720939 JE720939 TA720939 ACW720939 AMS720939 AWO720939 BGK720939 BQG720939 CAC720939 CJY720939 CTU720939 DDQ720939 DNM720939 DXI720939 EHE720939 ERA720939 FAW720939 FKS720939 FUO720939 GEK720939 GOG720939 GYC720939 HHY720939 HRU720939 IBQ720939 ILM720939 IVI720939 JFE720939 JPA720939 JYW720939 KIS720939 KSO720939 LCK720939 LMG720939 LWC720939 MFY720939 MPU720939 MZQ720939 NJM720939 NTI720939 ODE720939 ONA720939 OWW720939 PGS720939 PQO720939 QAK720939 QKG720939 QUC720939 RDY720939 RNU720939 RXQ720939 SHM720939 SRI720939 TBE720939 TLA720939 TUW720939 UES720939 UOO720939 UYK720939 VIG720939 VSC720939 WBY720939 WLU720939 WVQ720939 I786475 JE786475 TA786475 ACW786475 AMS786475 AWO786475 BGK786475 BQG786475 CAC786475 CJY786475 CTU786475 DDQ786475 DNM786475 DXI786475 EHE786475 ERA786475 FAW786475 FKS786475 FUO786475 GEK786475 GOG786475 GYC786475 HHY786475 HRU786475 IBQ786475 ILM786475 IVI786475 JFE786475 JPA786475 JYW786475 KIS786475 KSO786475 LCK786475 LMG786475 LWC786475 MFY786475 MPU786475 MZQ786475 NJM786475 NTI786475 ODE786475 ONA786475 OWW786475 PGS786475 PQO786475 QAK786475 QKG786475 QUC786475 RDY786475 RNU786475 RXQ786475 SHM786475 SRI786475 TBE786475 TLA786475 TUW786475 UES786475 UOO786475 UYK786475 VIG786475 VSC786475 WBY786475 WLU786475 WVQ786475 I852011 JE852011 TA852011 ACW852011 AMS852011 AWO852011 BGK852011 BQG852011 CAC852011 CJY852011 CTU852011 DDQ852011 DNM852011 DXI852011 EHE852011 ERA852011 FAW852011 FKS852011 FUO852011 GEK852011 GOG852011 GYC852011 HHY852011 HRU852011 IBQ852011 ILM852011 IVI852011 JFE852011 JPA852011 JYW852011 KIS852011 KSO852011 LCK852011 LMG852011 LWC852011 MFY852011 MPU852011 MZQ852011 NJM852011 NTI852011 ODE852011 ONA852011 OWW852011 PGS852011 PQO852011 QAK852011 QKG852011 QUC852011 RDY852011 RNU852011 RXQ852011 SHM852011 SRI852011 TBE852011 TLA852011 TUW852011 UES852011 UOO852011 UYK852011 VIG852011 VSC852011 WBY852011 WLU852011 WVQ852011 I917547 JE917547 TA917547 ACW917547 AMS917547 AWO917547 BGK917547 BQG917547 CAC917547 CJY917547 CTU917547 DDQ917547 DNM917547 DXI917547 EHE917547 ERA917547 FAW917547 FKS917547 FUO917547 GEK917547 GOG917547 GYC917547 HHY917547 HRU917547 IBQ917547 ILM917547 IVI917547 JFE917547 JPA917547 JYW917547 KIS917547 KSO917547 LCK917547 LMG917547 LWC917547 MFY917547 MPU917547 MZQ917547 NJM917547 NTI917547 ODE917547 ONA917547 OWW917547 PGS917547 PQO917547 QAK917547 QKG917547 QUC917547 RDY917547 RNU917547 RXQ917547 SHM917547 SRI917547 TBE917547 TLA917547 TUW917547 UES917547 UOO917547 UYK917547 VIG917547 VSC917547 WBY917547 WLU917547 WVQ917547 I983083 JE983083 TA983083 ACW983083 AMS983083 AWO983083 BGK983083 BQG983083 CAC983083 CJY983083 CTU983083 DDQ983083 DNM983083 DXI983083 EHE983083 ERA983083 FAW983083 FKS983083 FUO983083 GEK983083 GOG983083 GYC983083 HHY983083 HRU983083 IBQ983083 ILM983083 IVI983083 JFE983083 JPA983083 JYW983083 KIS983083 KSO983083 LCK983083 LMG983083 LWC983083 MFY983083 MPU983083 MZQ983083 NJM983083 NTI983083 ODE983083 ONA983083 OWW983083 PGS983083 PQO983083 QAK983083 QKG983083 QUC983083 RDY983083 RNU983083 RXQ983083 SHM983083 SRI983083 TBE983083 TLA983083 TUW983083 UES983083 UOO983083 UYK983083 VIG983083 VSC983083 WBY983083 WLU983083 WVQ983083">
      <formula1>内部装修维护情况</formula1>
    </dataValidation>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项目类型</formula1>
    </dataValidation>
    <dataValidation type="list" allowBlank="1" showInputMessage="1" showErrorMessage="1"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pageSetUpPr fitToPage="1"/>
  </sheetPr>
  <dimension ref="A1:AC853"/>
  <sheetViews>
    <sheetView zoomScale="80" zoomScaleNormal="80" workbookViewId="0">
      <selection activeCell="A21" sqref="A15:IV32"/>
    </sheetView>
  </sheetViews>
  <sheetFormatPr defaultColWidth="8.875" defaultRowHeight="14.25"/>
  <cols>
    <col min="1" max="1" width="10.5" style="3206" customWidth="1"/>
    <col min="2" max="2" width="15.625" style="3206" customWidth="1"/>
    <col min="3" max="3" width="14.375" style="3206" customWidth="1"/>
    <col min="4" max="4" width="12.125" style="3206" customWidth="1"/>
    <col min="5" max="5" width="14.375" style="3206" customWidth="1"/>
    <col min="6" max="6" width="12.125" style="3206" customWidth="1"/>
    <col min="7" max="7" width="14.5" style="3206" customWidth="1"/>
    <col min="8" max="8" width="12.125" style="3206" customWidth="1"/>
    <col min="9" max="9" width="14.5" style="3206" customWidth="1"/>
    <col min="10" max="10" width="12.125" style="3206" customWidth="1"/>
    <col min="11" max="11" width="12.125" style="3512" customWidth="1"/>
    <col min="12" max="12" width="12.125" style="3513" customWidth="1"/>
    <col min="13" max="15" width="12.125" style="3206" customWidth="1"/>
    <col min="16" max="16" width="4.625" style="3554" customWidth="1"/>
    <col min="17" max="17" width="19.5" style="3206" customWidth="1"/>
    <col min="18" max="22" width="6.125" style="3206" customWidth="1"/>
    <col min="23" max="23" width="5.625" style="3206" customWidth="1"/>
    <col min="24" max="24" width="4.125" style="3206" customWidth="1"/>
    <col min="25" max="25" width="3.5" style="3206" customWidth="1"/>
    <col min="26" max="26" width="19.625" style="3206" customWidth="1"/>
    <col min="27" max="28" width="9.375" style="3206" customWidth="1"/>
    <col min="29" max="256" width="9" style="3206"/>
    <col min="257" max="257" width="10.5" style="3206" customWidth="1"/>
    <col min="258" max="258" width="15.625" style="3206" customWidth="1"/>
    <col min="259" max="259" width="14.375" style="3206" customWidth="1"/>
    <col min="260" max="260" width="12.125" style="3206" customWidth="1"/>
    <col min="261" max="261" width="14.375" style="3206" customWidth="1"/>
    <col min="262" max="262" width="12.125" style="3206" customWidth="1"/>
    <col min="263" max="263" width="14.5" style="3206" customWidth="1"/>
    <col min="264" max="264" width="12.125" style="3206" customWidth="1"/>
    <col min="265" max="265" width="14.5" style="3206" customWidth="1"/>
    <col min="266" max="271" width="12.125" style="3206" customWidth="1"/>
    <col min="272" max="272" width="4.625" style="3206" customWidth="1"/>
    <col min="273" max="273" width="19.5" style="3206" customWidth="1"/>
    <col min="274" max="278" width="6.125" style="3206" customWidth="1"/>
    <col min="279" max="279" width="5.625" style="3206" customWidth="1"/>
    <col min="280" max="280" width="4.125" style="3206" customWidth="1"/>
    <col min="281" max="281" width="3.5" style="3206" customWidth="1"/>
    <col min="282" max="282" width="19.625" style="3206" customWidth="1"/>
    <col min="283" max="284" width="9.375" style="3206" customWidth="1"/>
    <col min="285" max="512" width="9" style="3206"/>
    <col min="513" max="513" width="10.5" style="3206" customWidth="1"/>
    <col min="514" max="514" width="15.625" style="3206" customWidth="1"/>
    <col min="515" max="515" width="14.375" style="3206" customWidth="1"/>
    <col min="516" max="516" width="12.125" style="3206" customWidth="1"/>
    <col min="517" max="517" width="14.375" style="3206" customWidth="1"/>
    <col min="518" max="518" width="12.125" style="3206" customWidth="1"/>
    <col min="519" max="519" width="14.5" style="3206" customWidth="1"/>
    <col min="520" max="520" width="12.125" style="3206" customWidth="1"/>
    <col min="521" max="521" width="14.5" style="3206" customWidth="1"/>
    <col min="522" max="527" width="12.125" style="3206" customWidth="1"/>
    <col min="528" max="528" width="4.625" style="3206" customWidth="1"/>
    <col min="529" max="529" width="19.5" style="3206" customWidth="1"/>
    <col min="530" max="534" width="6.125" style="3206" customWidth="1"/>
    <col min="535" max="535" width="5.625" style="3206" customWidth="1"/>
    <col min="536" max="536" width="4.125" style="3206" customWidth="1"/>
    <col min="537" max="537" width="3.5" style="3206" customWidth="1"/>
    <col min="538" max="538" width="19.625" style="3206" customWidth="1"/>
    <col min="539" max="540" width="9.375" style="3206" customWidth="1"/>
    <col min="541" max="768" width="9" style="3206"/>
    <col min="769" max="769" width="10.5" style="3206" customWidth="1"/>
    <col min="770" max="770" width="15.625" style="3206" customWidth="1"/>
    <col min="771" max="771" width="14.375" style="3206" customWidth="1"/>
    <col min="772" max="772" width="12.125" style="3206" customWidth="1"/>
    <col min="773" max="773" width="14.375" style="3206" customWidth="1"/>
    <col min="774" max="774" width="12.125" style="3206" customWidth="1"/>
    <col min="775" max="775" width="14.5" style="3206" customWidth="1"/>
    <col min="776" max="776" width="12.125" style="3206" customWidth="1"/>
    <col min="777" max="777" width="14.5" style="3206" customWidth="1"/>
    <col min="778" max="783" width="12.125" style="3206" customWidth="1"/>
    <col min="784" max="784" width="4.625" style="3206" customWidth="1"/>
    <col min="785" max="785" width="19.5" style="3206" customWidth="1"/>
    <col min="786" max="790" width="6.125" style="3206" customWidth="1"/>
    <col min="791" max="791" width="5.625" style="3206" customWidth="1"/>
    <col min="792" max="792" width="4.125" style="3206" customWidth="1"/>
    <col min="793" max="793" width="3.5" style="3206" customWidth="1"/>
    <col min="794" max="794" width="19.625" style="3206" customWidth="1"/>
    <col min="795" max="796" width="9.375" style="3206" customWidth="1"/>
    <col min="797" max="1024" width="9" style="3206"/>
    <col min="1025" max="1025" width="10.5" style="3206" customWidth="1"/>
    <col min="1026" max="1026" width="15.625" style="3206" customWidth="1"/>
    <col min="1027" max="1027" width="14.375" style="3206" customWidth="1"/>
    <col min="1028" max="1028" width="12.125" style="3206" customWidth="1"/>
    <col min="1029" max="1029" width="14.375" style="3206" customWidth="1"/>
    <col min="1030" max="1030" width="12.125" style="3206" customWidth="1"/>
    <col min="1031" max="1031" width="14.5" style="3206" customWidth="1"/>
    <col min="1032" max="1032" width="12.125" style="3206" customWidth="1"/>
    <col min="1033" max="1033" width="14.5" style="3206" customWidth="1"/>
    <col min="1034" max="1039" width="12.125" style="3206" customWidth="1"/>
    <col min="1040" max="1040" width="4.625" style="3206" customWidth="1"/>
    <col min="1041" max="1041" width="19.5" style="3206" customWidth="1"/>
    <col min="1042" max="1046" width="6.125" style="3206" customWidth="1"/>
    <col min="1047" max="1047" width="5.625" style="3206" customWidth="1"/>
    <col min="1048" max="1048" width="4.125" style="3206" customWidth="1"/>
    <col min="1049" max="1049" width="3.5" style="3206" customWidth="1"/>
    <col min="1050" max="1050" width="19.625" style="3206" customWidth="1"/>
    <col min="1051" max="1052" width="9.375" style="3206" customWidth="1"/>
    <col min="1053" max="1280" width="9" style="3206"/>
    <col min="1281" max="1281" width="10.5" style="3206" customWidth="1"/>
    <col min="1282" max="1282" width="15.625" style="3206" customWidth="1"/>
    <col min="1283" max="1283" width="14.375" style="3206" customWidth="1"/>
    <col min="1284" max="1284" width="12.125" style="3206" customWidth="1"/>
    <col min="1285" max="1285" width="14.375" style="3206" customWidth="1"/>
    <col min="1286" max="1286" width="12.125" style="3206" customWidth="1"/>
    <col min="1287" max="1287" width="14.5" style="3206" customWidth="1"/>
    <col min="1288" max="1288" width="12.125" style="3206" customWidth="1"/>
    <col min="1289" max="1289" width="14.5" style="3206" customWidth="1"/>
    <col min="1290" max="1295" width="12.125" style="3206" customWidth="1"/>
    <col min="1296" max="1296" width="4.625" style="3206" customWidth="1"/>
    <col min="1297" max="1297" width="19.5" style="3206" customWidth="1"/>
    <col min="1298" max="1302" width="6.125" style="3206" customWidth="1"/>
    <col min="1303" max="1303" width="5.625" style="3206" customWidth="1"/>
    <col min="1304" max="1304" width="4.125" style="3206" customWidth="1"/>
    <col min="1305" max="1305" width="3.5" style="3206" customWidth="1"/>
    <col min="1306" max="1306" width="19.625" style="3206" customWidth="1"/>
    <col min="1307" max="1308" width="9.375" style="3206" customWidth="1"/>
    <col min="1309" max="1536" width="9" style="3206"/>
    <col min="1537" max="1537" width="10.5" style="3206" customWidth="1"/>
    <col min="1538" max="1538" width="15.625" style="3206" customWidth="1"/>
    <col min="1539" max="1539" width="14.375" style="3206" customWidth="1"/>
    <col min="1540" max="1540" width="12.125" style="3206" customWidth="1"/>
    <col min="1541" max="1541" width="14.375" style="3206" customWidth="1"/>
    <col min="1542" max="1542" width="12.125" style="3206" customWidth="1"/>
    <col min="1543" max="1543" width="14.5" style="3206" customWidth="1"/>
    <col min="1544" max="1544" width="12.125" style="3206" customWidth="1"/>
    <col min="1545" max="1545" width="14.5" style="3206" customWidth="1"/>
    <col min="1546" max="1551" width="12.125" style="3206" customWidth="1"/>
    <col min="1552" max="1552" width="4.625" style="3206" customWidth="1"/>
    <col min="1553" max="1553" width="19.5" style="3206" customWidth="1"/>
    <col min="1554" max="1558" width="6.125" style="3206" customWidth="1"/>
    <col min="1559" max="1559" width="5.625" style="3206" customWidth="1"/>
    <col min="1560" max="1560" width="4.125" style="3206" customWidth="1"/>
    <col min="1561" max="1561" width="3.5" style="3206" customWidth="1"/>
    <col min="1562" max="1562" width="19.625" style="3206" customWidth="1"/>
    <col min="1563" max="1564" width="9.375" style="3206" customWidth="1"/>
    <col min="1565" max="1792" width="9" style="3206"/>
    <col min="1793" max="1793" width="10.5" style="3206" customWidth="1"/>
    <col min="1794" max="1794" width="15.625" style="3206" customWidth="1"/>
    <col min="1795" max="1795" width="14.375" style="3206" customWidth="1"/>
    <col min="1796" max="1796" width="12.125" style="3206" customWidth="1"/>
    <col min="1797" max="1797" width="14.375" style="3206" customWidth="1"/>
    <col min="1798" max="1798" width="12.125" style="3206" customWidth="1"/>
    <col min="1799" max="1799" width="14.5" style="3206" customWidth="1"/>
    <col min="1800" max="1800" width="12.125" style="3206" customWidth="1"/>
    <col min="1801" max="1801" width="14.5" style="3206" customWidth="1"/>
    <col min="1802" max="1807" width="12.125" style="3206" customWidth="1"/>
    <col min="1808" max="1808" width="4.625" style="3206" customWidth="1"/>
    <col min="1809" max="1809" width="19.5" style="3206" customWidth="1"/>
    <col min="1810" max="1814" width="6.125" style="3206" customWidth="1"/>
    <col min="1815" max="1815" width="5.625" style="3206" customWidth="1"/>
    <col min="1816" max="1816" width="4.125" style="3206" customWidth="1"/>
    <col min="1817" max="1817" width="3.5" style="3206" customWidth="1"/>
    <col min="1818" max="1818" width="19.625" style="3206" customWidth="1"/>
    <col min="1819" max="1820" width="9.375" style="3206" customWidth="1"/>
    <col min="1821" max="2048" width="9" style="3206"/>
    <col min="2049" max="2049" width="10.5" style="3206" customWidth="1"/>
    <col min="2050" max="2050" width="15.625" style="3206" customWidth="1"/>
    <col min="2051" max="2051" width="14.375" style="3206" customWidth="1"/>
    <col min="2052" max="2052" width="12.125" style="3206" customWidth="1"/>
    <col min="2053" max="2053" width="14.375" style="3206" customWidth="1"/>
    <col min="2054" max="2054" width="12.125" style="3206" customWidth="1"/>
    <col min="2055" max="2055" width="14.5" style="3206" customWidth="1"/>
    <col min="2056" max="2056" width="12.125" style="3206" customWidth="1"/>
    <col min="2057" max="2057" width="14.5" style="3206" customWidth="1"/>
    <col min="2058" max="2063" width="12.125" style="3206" customWidth="1"/>
    <col min="2064" max="2064" width="4.625" style="3206" customWidth="1"/>
    <col min="2065" max="2065" width="19.5" style="3206" customWidth="1"/>
    <col min="2066" max="2070" width="6.125" style="3206" customWidth="1"/>
    <col min="2071" max="2071" width="5.625" style="3206" customWidth="1"/>
    <col min="2072" max="2072" width="4.125" style="3206" customWidth="1"/>
    <col min="2073" max="2073" width="3.5" style="3206" customWidth="1"/>
    <col min="2074" max="2074" width="19.625" style="3206" customWidth="1"/>
    <col min="2075" max="2076" width="9.375" style="3206" customWidth="1"/>
    <col min="2077" max="2304" width="9" style="3206"/>
    <col min="2305" max="2305" width="10.5" style="3206" customWidth="1"/>
    <col min="2306" max="2306" width="15.625" style="3206" customWidth="1"/>
    <col min="2307" max="2307" width="14.375" style="3206" customWidth="1"/>
    <col min="2308" max="2308" width="12.125" style="3206" customWidth="1"/>
    <col min="2309" max="2309" width="14.375" style="3206" customWidth="1"/>
    <col min="2310" max="2310" width="12.125" style="3206" customWidth="1"/>
    <col min="2311" max="2311" width="14.5" style="3206" customWidth="1"/>
    <col min="2312" max="2312" width="12.125" style="3206" customWidth="1"/>
    <col min="2313" max="2313" width="14.5" style="3206" customWidth="1"/>
    <col min="2314" max="2319" width="12.125" style="3206" customWidth="1"/>
    <col min="2320" max="2320" width="4.625" style="3206" customWidth="1"/>
    <col min="2321" max="2321" width="19.5" style="3206" customWidth="1"/>
    <col min="2322" max="2326" width="6.125" style="3206" customWidth="1"/>
    <col min="2327" max="2327" width="5.625" style="3206" customWidth="1"/>
    <col min="2328" max="2328" width="4.125" style="3206" customWidth="1"/>
    <col min="2329" max="2329" width="3.5" style="3206" customWidth="1"/>
    <col min="2330" max="2330" width="19.625" style="3206" customWidth="1"/>
    <col min="2331" max="2332" width="9.375" style="3206" customWidth="1"/>
    <col min="2333" max="2560" width="9" style="3206"/>
    <col min="2561" max="2561" width="10.5" style="3206" customWidth="1"/>
    <col min="2562" max="2562" width="15.625" style="3206" customWidth="1"/>
    <col min="2563" max="2563" width="14.375" style="3206" customWidth="1"/>
    <col min="2564" max="2564" width="12.125" style="3206" customWidth="1"/>
    <col min="2565" max="2565" width="14.375" style="3206" customWidth="1"/>
    <col min="2566" max="2566" width="12.125" style="3206" customWidth="1"/>
    <col min="2567" max="2567" width="14.5" style="3206" customWidth="1"/>
    <col min="2568" max="2568" width="12.125" style="3206" customWidth="1"/>
    <col min="2569" max="2569" width="14.5" style="3206" customWidth="1"/>
    <col min="2570" max="2575" width="12.125" style="3206" customWidth="1"/>
    <col min="2576" max="2576" width="4.625" style="3206" customWidth="1"/>
    <col min="2577" max="2577" width="19.5" style="3206" customWidth="1"/>
    <col min="2578" max="2582" width="6.125" style="3206" customWidth="1"/>
    <col min="2583" max="2583" width="5.625" style="3206" customWidth="1"/>
    <col min="2584" max="2584" width="4.125" style="3206" customWidth="1"/>
    <col min="2585" max="2585" width="3.5" style="3206" customWidth="1"/>
    <col min="2586" max="2586" width="19.625" style="3206" customWidth="1"/>
    <col min="2587" max="2588" width="9.375" style="3206" customWidth="1"/>
    <col min="2589" max="2816" width="9" style="3206"/>
    <col min="2817" max="2817" width="10.5" style="3206" customWidth="1"/>
    <col min="2818" max="2818" width="15.625" style="3206" customWidth="1"/>
    <col min="2819" max="2819" width="14.375" style="3206" customWidth="1"/>
    <col min="2820" max="2820" width="12.125" style="3206" customWidth="1"/>
    <col min="2821" max="2821" width="14.375" style="3206" customWidth="1"/>
    <col min="2822" max="2822" width="12.125" style="3206" customWidth="1"/>
    <col min="2823" max="2823" width="14.5" style="3206" customWidth="1"/>
    <col min="2824" max="2824" width="12.125" style="3206" customWidth="1"/>
    <col min="2825" max="2825" width="14.5" style="3206" customWidth="1"/>
    <col min="2826" max="2831" width="12.125" style="3206" customWidth="1"/>
    <col min="2832" max="2832" width="4.625" style="3206" customWidth="1"/>
    <col min="2833" max="2833" width="19.5" style="3206" customWidth="1"/>
    <col min="2834" max="2838" width="6.125" style="3206" customWidth="1"/>
    <col min="2839" max="2839" width="5.625" style="3206" customWidth="1"/>
    <col min="2840" max="2840" width="4.125" style="3206" customWidth="1"/>
    <col min="2841" max="2841" width="3.5" style="3206" customWidth="1"/>
    <col min="2842" max="2842" width="19.625" style="3206" customWidth="1"/>
    <col min="2843" max="2844" width="9.375" style="3206" customWidth="1"/>
    <col min="2845" max="3072" width="9" style="3206"/>
    <col min="3073" max="3073" width="10.5" style="3206" customWidth="1"/>
    <col min="3074" max="3074" width="15.625" style="3206" customWidth="1"/>
    <col min="3075" max="3075" width="14.375" style="3206" customWidth="1"/>
    <col min="3076" max="3076" width="12.125" style="3206" customWidth="1"/>
    <col min="3077" max="3077" width="14.375" style="3206" customWidth="1"/>
    <col min="3078" max="3078" width="12.125" style="3206" customWidth="1"/>
    <col min="3079" max="3079" width="14.5" style="3206" customWidth="1"/>
    <col min="3080" max="3080" width="12.125" style="3206" customWidth="1"/>
    <col min="3081" max="3081" width="14.5" style="3206" customWidth="1"/>
    <col min="3082" max="3087" width="12.125" style="3206" customWidth="1"/>
    <col min="3088" max="3088" width="4.625" style="3206" customWidth="1"/>
    <col min="3089" max="3089" width="19.5" style="3206" customWidth="1"/>
    <col min="3090" max="3094" width="6.125" style="3206" customWidth="1"/>
    <col min="3095" max="3095" width="5.625" style="3206" customWidth="1"/>
    <col min="3096" max="3096" width="4.125" style="3206" customWidth="1"/>
    <col min="3097" max="3097" width="3.5" style="3206" customWidth="1"/>
    <col min="3098" max="3098" width="19.625" style="3206" customWidth="1"/>
    <col min="3099" max="3100" width="9.375" style="3206" customWidth="1"/>
    <col min="3101" max="3328" width="9" style="3206"/>
    <col min="3329" max="3329" width="10.5" style="3206" customWidth="1"/>
    <col min="3330" max="3330" width="15.625" style="3206" customWidth="1"/>
    <col min="3331" max="3331" width="14.375" style="3206" customWidth="1"/>
    <col min="3332" max="3332" width="12.125" style="3206" customWidth="1"/>
    <col min="3333" max="3333" width="14.375" style="3206" customWidth="1"/>
    <col min="3334" max="3334" width="12.125" style="3206" customWidth="1"/>
    <col min="3335" max="3335" width="14.5" style="3206" customWidth="1"/>
    <col min="3336" max="3336" width="12.125" style="3206" customWidth="1"/>
    <col min="3337" max="3337" width="14.5" style="3206" customWidth="1"/>
    <col min="3338" max="3343" width="12.125" style="3206" customWidth="1"/>
    <col min="3344" max="3344" width="4.625" style="3206" customWidth="1"/>
    <col min="3345" max="3345" width="19.5" style="3206" customWidth="1"/>
    <col min="3346" max="3350" width="6.125" style="3206" customWidth="1"/>
    <col min="3351" max="3351" width="5.625" style="3206" customWidth="1"/>
    <col min="3352" max="3352" width="4.125" style="3206" customWidth="1"/>
    <col min="3353" max="3353" width="3.5" style="3206" customWidth="1"/>
    <col min="3354" max="3354" width="19.625" style="3206" customWidth="1"/>
    <col min="3355" max="3356" width="9.375" style="3206" customWidth="1"/>
    <col min="3357" max="3584" width="9" style="3206"/>
    <col min="3585" max="3585" width="10.5" style="3206" customWidth="1"/>
    <col min="3586" max="3586" width="15.625" style="3206" customWidth="1"/>
    <col min="3587" max="3587" width="14.375" style="3206" customWidth="1"/>
    <col min="3588" max="3588" width="12.125" style="3206" customWidth="1"/>
    <col min="3589" max="3589" width="14.375" style="3206" customWidth="1"/>
    <col min="3590" max="3590" width="12.125" style="3206" customWidth="1"/>
    <col min="3591" max="3591" width="14.5" style="3206" customWidth="1"/>
    <col min="3592" max="3592" width="12.125" style="3206" customWidth="1"/>
    <col min="3593" max="3593" width="14.5" style="3206" customWidth="1"/>
    <col min="3594" max="3599" width="12.125" style="3206" customWidth="1"/>
    <col min="3600" max="3600" width="4.625" style="3206" customWidth="1"/>
    <col min="3601" max="3601" width="19.5" style="3206" customWidth="1"/>
    <col min="3602" max="3606" width="6.125" style="3206" customWidth="1"/>
    <col min="3607" max="3607" width="5.625" style="3206" customWidth="1"/>
    <col min="3608" max="3608" width="4.125" style="3206" customWidth="1"/>
    <col min="3609" max="3609" width="3.5" style="3206" customWidth="1"/>
    <col min="3610" max="3610" width="19.625" style="3206" customWidth="1"/>
    <col min="3611" max="3612" width="9.375" style="3206" customWidth="1"/>
    <col min="3613" max="3840" width="9" style="3206"/>
    <col min="3841" max="3841" width="10.5" style="3206" customWidth="1"/>
    <col min="3842" max="3842" width="15.625" style="3206" customWidth="1"/>
    <col min="3843" max="3843" width="14.375" style="3206" customWidth="1"/>
    <col min="3844" max="3844" width="12.125" style="3206" customWidth="1"/>
    <col min="3845" max="3845" width="14.375" style="3206" customWidth="1"/>
    <col min="3846" max="3846" width="12.125" style="3206" customWidth="1"/>
    <col min="3847" max="3847" width="14.5" style="3206" customWidth="1"/>
    <col min="3848" max="3848" width="12.125" style="3206" customWidth="1"/>
    <col min="3849" max="3849" width="14.5" style="3206" customWidth="1"/>
    <col min="3850" max="3855" width="12.125" style="3206" customWidth="1"/>
    <col min="3856" max="3856" width="4.625" style="3206" customWidth="1"/>
    <col min="3857" max="3857" width="19.5" style="3206" customWidth="1"/>
    <col min="3858" max="3862" width="6.125" style="3206" customWidth="1"/>
    <col min="3863" max="3863" width="5.625" style="3206" customWidth="1"/>
    <col min="3864" max="3864" width="4.125" style="3206" customWidth="1"/>
    <col min="3865" max="3865" width="3.5" style="3206" customWidth="1"/>
    <col min="3866" max="3866" width="19.625" style="3206" customWidth="1"/>
    <col min="3867" max="3868" width="9.375" style="3206" customWidth="1"/>
    <col min="3869" max="4096" width="9" style="3206"/>
    <col min="4097" max="4097" width="10.5" style="3206" customWidth="1"/>
    <col min="4098" max="4098" width="15.625" style="3206" customWidth="1"/>
    <col min="4099" max="4099" width="14.375" style="3206" customWidth="1"/>
    <col min="4100" max="4100" width="12.125" style="3206" customWidth="1"/>
    <col min="4101" max="4101" width="14.375" style="3206" customWidth="1"/>
    <col min="4102" max="4102" width="12.125" style="3206" customWidth="1"/>
    <col min="4103" max="4103" width="14.5" style="3206" customWidth="1"/>
    <col min="4104" max="4104" width="12.125" style="3206" customWidth="1"/>
    <col min="4105" max="4105" width="14.5" style="3206" customWidth="1"/>
    <col min="4106" max="4111" width="12.125" style="3206" customWidth="1"/>
    <col min="4112" max="4112" width="4.625" style="3206" customWidth="1"/>
    <col min="4113" max="4113" width="19.5" style="3206" customWidth="1"/>
    <col min="4114" max="4118" width="6.125" style="3206" customWidth="1"/>
    <col min="4119" max="4119" width="5.625" style="3206" customWidth="1"/>
    <col min="4120" max="4120" width="4.125" style="3206" customWidth="1"/>
    <col min="4121" max="4121" width="3.5" style="3206" customWidth="1"/>
    <col min="4122" max="4122" width="19.625" style="3206" customWidth="1"/>
    <col min="4123" max="4124" width="9.375" style="3206" customWidth="1"/>
    <col min="4125" max="4352" width="9" style="3206"/>
    <col min="4353" max="4353" width="10.5" style="3206" customWidth="1"/>
    <col min="4354" max="4354" width="15.625" style="3206" customWidth="1"/>
    <col min="4355" max="4355" width="14.375" style="3206" customWidth="1"/>
    <col min="4356" max="4356" width="12.125" style="3206" customWidth="1"/>
    <col min="4357" max="4357" width="14.375" style="3206" customWidth="1"/>
    <col min="4358" max="4358" width="12.125" style="3206" customWidth="1"/>
    <col min="4359" max="4359" width="14.5" style="3206" customWidth="1"/>
    <col min="4360" max="4360" width="12.125" style="3206" customWidth="1"/>
    <col min="4361" max="4361" width="14.5" style="3206" customWidth="1"/>
    <col min="4362" max="4367" width="12.125" style="3206" customWidth="1"/>
    <col min="4368" max="4368" width="4.625" style="3206" customWidth="1"/>
    <col min="4369" max="4369" width="19.5" style="3206" customWidth="1"/>
    <col min="4370" max="4374" width="6.125" style="3206" customWidth="1"/>
    <col min="4375" max="4375" width="5.625" style="3206" customWidth="1"/>
    <col min="4376" max="4376" width="4.125" style="3206" customWidth="1"/>
    <col min="4377" max="4377" width="3.5" style="3206" customWidth="1"/>
    <col min="4378" max="4378" width="19.625" style="3206" customWidth="1"/>
    <col min="4379" max="4380" width="9.375" style="3206" customWidth="1"/>
    <col min="4381" max="4608" width="9" style="3206"/>
    <col min="4609" max="4609" width="10.5" style="3206" customWidth="1"/>
    <col min="4610" max="4610" width="15.625" style="3206" customWidth="1"/>
    <col min="4611" max="4611" width="14.375" style="3206" customWidth="1"/>
    <col min="4612" max="4612" width="12.125" style="3206" customWidth="1"/>
    <col min="4613" max="4613" width="14.375" style="3206" customWidth="1"/>
    <col min="4614" max="4614" width="12.125" style="3206" customWidth="1"/>
    <col min="4615" max="4615" width="14.5" style="3206" customWidth="1"/>
    <col min="4616" max="4616" width="12.125" style="3206" customWidth="1"/>
    <col min="4617" max="4617" width="14.5" style="3206" customWidth="1"/>
    <col min="4618" max="4623" width="12.125" style="3206" customWidth="1"/>
    <col min="4624" max="4624" width="4.625" style="3206" customWidth="1"/>
    <col min="4625" max="4625" width="19.5" style="3206" customWidth="1"/>
    <col min="4626" max="4630" width="6.125" style="3206" customWidth="1"/>
    <col min="4631" max="4631" width="5.625" style="3206" customWidth="1"/>
    <col min="4632" max="4632" width="4.125" style="3206" customWidth="1"/>
    <col min="4633" max="4633" width="3.5" style="3206" customWidth="1"/>
    <col min="4634" max="4634" width="19.625" style="3206" customWidth="1"/>
    <col min="4635" max="4636" width="9.375" style="3206" customWidth="1"/>
    <col min="4637" max="4864" width="9" style="3206"/>
    <col min="4865" max="4865" width="10.5" style="3206" customWidth="1"/>
    <col min="4866" max="4866" width="15.625" style="3206" customWidth="1"/>
    <col min="4867" max="4867" width="14.375" style="3206" customWidth="1"/>
    <col min="4868" max="4868" width="12.125" style="3206" customWidth="1"/>
    <col min="4869" max="4869" width="14.375" style="3206" customWidth="1"/>
    <col min="4870" max="4870" width="12.125" style="3206" customWidth="1"/>
    <col min="4871" max="4871" width="14.5" style="3206" customWidth="1"/>
    <col min="4872" max="4872" width="12.125" style="3206" customWidth="1"/>
    <col min="4873" max="4873" width="14.5" style="3206" customWidth="1"/>
    <col min="4874" max="4879" width="12.125" style="3206" customWidth="1"/>
    <col min="4880" max="4880" width="4.625" style="3206" customWidth="1"/>
    <col min="4881" max="4881" width="19.5" style="3206" customWidth="1"/>
    <col min="4882" max="4886" width="6.125" style="3206" customWidth="1"/>
    <col min="4887" max="4887" width="5.625" style="3206" customWidth="1"/>
    <col min="4888" max="4888" width="4.125" style="3206" customWidth="1"/>
    <col min="4889" max="4889" width="3.5" style="3206" customWidth="1"/>
    <col min="4890" max="4890" width="19.625" style="3206" customWidth="1"/>
    <col min="4891" max="4892" width="9.375" style="3206" customWidth="1"/>
    <col min="4893" max="5120" width="9" style="3206"/>
    <col min="5121" max="5121" width="10.5" style="3206" customWidth="1"/>
    <col min="5122" max="5122" width="15.625" style="3206" customWidth="1"/>
    <col min="5123" max="5123" width="14.375" style="3206" customWidth="1"/>
    <col min="5124" max="5124" width="12.125" style="3206" customWidth="1"/>
    <col min="5125" max="5125" width="14.375" style="3206" customWidth="1"/>
    <col min="5126" max="5126" width="12.125" style="3206" customWidth="1"/>
    <col min="5127" max="5127" width="14.5" style="3206" customWidth="1"/>
    <col min="5128" max="5128" width="12.125" style="3206" customWidth="1"/>
    <col min="5129" max="5129" width="14.5" style="3206" customWidth="1"/>
    <col min="5130" max="5135" width="12.125" style="3206" customWidth="1"/>
    <col min="5136" max="5136" width="4.625" style="3206" customWidth="1"/>
    <col min="5137" max="5137" width="19.5" style="3206" customWidth="1"/>
    <col min="5138" max="5142" width="6.125" style="3206" customWidth="1"/>
    <col min="5143" max="5143" width="5.625" style="3206" customWidth="1"/>
    <col min="5144" max="5144" width="4.125" style="3206" customWidth="1"/>
    <col min="5145" max="5145" width="3.5" style="3206" customWidth="1"/>
    <col min="5146" max="5146" width="19.625" style="3206" customWidth="1"/>
    <col min="5147" max="5148" width="9.375" style="3206" customWidth="1"/>
    <col min="5149" max="5376" width="9" style="3206"/>
    <col min="5377" max="5377" width="10.5" style="3206" customWidth="1"/>
    <col min="5378" max="5378" width="15.625" style="3206" customWidth="1"/>
    <col min="5379" max="5379" width="14.375" style="3206" customWidth="1"/>
    <col min="5380" max="5380" width="12.125" style="3206" customWidth="1"/>
    <col min="5381" max="5381" width="14.375" style="3206" customWidth="1"/>
    <col min="5382" max="5382" width="12.125" style="3206" customWidth="1"/>
    <col min="5383" max="5383" width="14.5" style="3206" customWidth="1"/>
    <col min="5384" max="5384" width="12.125" style="3206" customWidth="1"/>
    <col min="5385" max="5385" width="14.5" style="3206" customWidth="1"/>
    <col min="5386" max="5391" width="12.125" style="3206" customWidth="1"/>
    <col min="5392" max="5392" width="4.625" style="3206" customWidth="1"/>
    <col min="5393" max="5393" width="19.5" style="3206" customWidth="1"/>
    <col min="5394" max="5398" width="6.125" style="3206" customWidth="1"/>
    <col min="5399" max="5399" width="5.625" style="3206" customWidth="1"/>
    <col min="5400" max="5400" width="4.125" style="3206" customWidth="1"/>
    <col min="5401" max="5401" width="3.5" style="3206" customWidth="1"/>
    <col min="5402" max="5402" width="19.625" style="3206" customWidth="1"/>
    <col min="5403" max="5404" width="9.375" style="3206" customWidth="1"/>
    <col min="5405" max="5632" width="9" style="3206"/>
    <col min="5633" max="5633" width="10.5" style="3206" customWidth="1"/>
    <col min="5634" max="5634" width="15.625" style="3206" customWidth="1"/>
    <col min="5635" max="5635" width="14.375" style="3206" customWidth="1"/>
    <col min="5636" max="5636" width="12.125" style="3206" customWidth="1"/>
    <col min="5637" max="5637" width="14.375" style="3206" customWidth="1"/>
    <col min="5638" max="5638" width="12.125" style="3206" customWidth="1"/>
    <col min="5639" max="5639" width="14.5" style="3206" customWidth="1"/>
    <col min="5640" max="5640" width="12.125" style="3206" customWidth="1"/>
    <col min="5641" max="5641" width="14.5" style="3206" customWidth="1"/>
    <col min="5642" max="5647" width="12.125" style="3206" customWidth="1"/>
    <col min="5648" max="5648" width="4.625" style="3206" customWidth="1"/>
    <col min="5649" max="5649" width="19.5" style="3206" customWidth="1"/>
    <col min="5650" max="5654" width="6.125" style="3206" customWidth="1"/>
    <col min="5655" max="5655" width="5.625" style="3206" customWidth="1"/>
    <col min="5656" max="5656" width="4.125" style="3206" customWidth="1"/>
    <col min="5657" max="5657" width="3.5" style="3206" customWidth="1"/>
    <col min="5658" max="5658" width="19.625" style="3206" customWidth="1"/>
    <col min="5659" max="5660" width="9.375" style="3206" customWidth="1"/>
    <col min="5661" max="5888" width="9" style="3206"/>
    <col min="5889" max="5889" width="10.5" style="3206" customWidth="1"/>
    <col min="5890" max="5890" width="15.625" style="3206" customWidth="1"/>
    <col min="5891" max="5891" width="14.375" style="3206" customWidth="1"/>
    <col min="5892" max="5892" width="12.125" style="3206" customWidth="1"/>
    <col min="5893" max="5893" width="14.375" style="3206" customWidth="1"/>
    <col min="5894" max="5894" width="12.125" style="3206" customWidth="1"/>
    <col min="5895" max="5895" width="14.5" style="3206" customWidth="1"/>
    <col min="5896" max="5896" width="12.125" style="3206" customWidth="1"/>
    <col min="5897" max="5897" width="14.5" style="3206" customWidth="1"/>
    <col min="5898" max="5903" width="12.125" style="3206" customWidth="1"/>
    <col min="5904" max="5904" width="4.625" style="3206" customWidth="1"/>
    <col min="5905" max="5905" width="19.5" style="3206" customWidth="1"/>
    <col min="5906" max="5910" width="6.125" style="3206" customWidth="1"/>
    <col min="5911" max="5911" width="5.625" style="3206" customWidth="1"/>
    <col min="5912" max="5912" width="4.125" style="3206" customWidth="1"/>
    <col min="5913" max="5913" width="3.5" style="3206" customWidth="1"/>
    <col min="5914" max="5914" width="19.625" style="3206" customWidth="1"/>
    <col min="5915" max="5916" width="9.375" style="3206" customWidth="1"/>
    <col min="5917" max="6144" width="9" style="3206"/>
    <col min="6145" max="6145" width="10.5" style="3206" customWidth="1"/>
    <col min="6146" max="6146" width="15.625" style="3206" customWidth="1"/>
    <col min="6147" max="6147" width="14.375" style="3206" customWidth="1"/>
    <col min="6148" max="6148" width="12.125" style="3206" customWidth="1"/>
    <col min="6149" max="6149" width="14.375" style="3206" customWidth="1"/>
    <col min="6150" max="6150" width="12.125" style="3206" customWidth="1"/>
    <col min="6151" max="6151" width="14.5" style="3206" customWidth="1"/>
    <col min="6152" max="6152" width="12.125" style="3206" customWidth="1"/>
    <col min="6153" max="6153" width="14.5" style="3206" customWidth="1"/>
    <col min="6154" max="6159" width="12.125" style="3206" customWidth="1"/>
    <col min="6160" max="6160" width="4.625" style="3206" customWidth="1"/>
    <col min="6161" max="6161" width="19.5" style="3206" customWidth="1"/>
    <col min="6162" max="6166" width="6.125" style="3206" customWidth="1"/>
    <col min="6167" max="6167" width="5.625" style="3206" customWidth="1"/>
    <col min="6168" max="6168" width="4.125" style="3206" customWidth="1"/>
    <col min="6169" max="6169" width="3.5" style="3206" customWidth="1"/>
    <col min="6170" max="6170" width="19.625" style="3206" customWidth="1"/>
    <col min="6171" max="6172" width="9.375" style="3206" customWidth="1"/>
    <col min="6173" max="6400" width="9" style="3206"/>
    <col min="6401" max="6401" width="10.5" style="3206" customWidth="1"/>
    <col min="6402" max="6402" width="15.625" style="3206" customWidth="1"/>
    <col min="6403" max="6403" width="14.375" style="3206" customWidth="1"/>
    <col min="6404" max="6404" width="12.125" style="3206" customWidth="1"/>
    <col min="6405" max="6405" width="14.375" style="3206" customWidth="1"/>
    <col min="6406" max="6406" width="12.125" style="3206" customWidth="1"/>
    <col min="6407" max="6407" width="14.5" style="3206" customWidth="1"/>
    <col min="6408" max="6408" width="12.125" style="3206" customWidth="1"/>
    <col min="6409" max="6409" width="14.5" style="3206" customWidth="1"/>
    <col min="6410" max="6415" width="12.125" style="3206" customWidth="1"/>
    <col min="6416" max="6416" width="4.625" style="3206" customWidth="1"/>
    <col min="6417" max="6417" width="19.5" style="3206" customWidth="1"/>
    <col min="6418" max="6422" width="6.125" style="3206" customWidth="1"/>
    <col min="6423" max="6423" width="5.625" style="3206" customWidth="1"/>
    <col min="6424" max="6424" width="4.125" style="3206" customWidth="1"/>
    <col min="6425" max="6425" width="3.5" style="3206" customWidth="1"/>
    <col min="6426" max="6426" width="19.625" style="3206" customWidth="1"/>
    <col min="6427" max="6428" width="9.375" style="3206" customWidth="1"/>
    <col min="6429" max="6656" width="9" style="3206"/>
    <col min="6657" max="6657" width="10.5" style="3206" customWidth="1"/>
    <col min="6658" max="6658" width="15.625" style="3206" customWidth="1"/>
    <col min="6659" max="6659" width="14.375" style="3206" customWidth="1"/>
    <col min="6660" max="6660" width="12.125" style="3206" customWidth="1"/>
    <col min="6661" max="6661" width="14.375" style="3206" customWidth="1"/>
    <col min="6662" max="6662" width="12.125" style="3206" customWidth="1"/>
    <col min="6663" max="6663" width="14.5" style="3206" customWidth="1"/>
    <col min="6664" max="6664" width="12.125" style="3206" customWidth="1"/>
    <col min="6665" max="6665" width="14.5" style="3206" customWidth="1"/>
    <col min="6666" max="6671" width="12.125" style="3206" customWidth="1"/>
    <col min="6672" max="6672" width="4.625" style="3206" customWidth="1"/>
    <col min="6673" max="6673" width="19.5" style="3206" customWidth="1"/>
    <col min="6674" max="6678" width="6.125" style="3206" customWidth="1"/>
    <col min="6679" max="6679" width="5.625" style="3206" customWidth="1"/>
    <col min="6680" max="6680" width="4.125" style="3206" customWidth="1"/>
    <col min="6681" max="6681" width="3.5" style="3206" customWidth="1"/>
    <col min="6682" max="6682" width="19.625" style="3206" customWidth="1"/>
    <col min="6683" max="6684" width="9.375" style="3206" customWidth="1"/>
    <col min="6685" max="6912" width="9" style="3206"/>
    <col min="6913" max="6913" width="10.5" style="3206" customWidth="1"/>
    <col min="6914" max="6914" width="15.625" style="3206" customWidth="1"/>
    <col min="6915" max="6915" width="14.375" style="3206" customWidth="1"/>
    <col min="6916" max="6916" width="12.125" style="3206" customWidth="1"/>
    <col min="6917" max="6917" width="14.375" style="3206" customWidth="1"/>
    <col min="6918" max="6918" width="12.125" style="3206" customWidth="1"/>
    <col min="6919" max="6919" width="14.5" style="3206" customWidth="1"/>
    <col min="6920" max="6920" width="12.125" style="3206" customWidth="1"/>
    <col min="6921" max="6921" width="14.5" style="3206" customWidth="1"/>
    <col min="6922" max="6927" width="12.125" style="3206" customWidth="1"/>
    <col min="6928" max="6928" width="4.625" style="3206" customWidth="1"/>
    <col min="6929" max="6929" width="19.5" style="3206" customWidth="1"/>
    <col min="6930" max="6934" width="6.125" style="3206" customWidth="1"/>
    <col min="6935" max="6935" width="5.625" style="3206" customWidth="1"/>
    <col min="6936" max="6936" width="4.125" style="3206" customWidth="1"/>
    <col min="6937" max="6937" width="3.5" style="3206" customWidth="1"/>
    <col min="6938" max="6938" width="19.625" style="3206" customWidth="1"/>
    <col min="6939" max="6940" width="9.375" style="3206" customWidth="1"/>
    <col min="6941" max="7168" width="9" style="3206"/>
    <col min="7169" max="7169" width="10.5" style="3206" customWidth="1"/>
    <col min="7170" max="7170" width="15.625" style="3206" customWidth="1"/>
    <col min="7171" max="7171" width="14.375" style="3206" customWidth="1"/>
    <col min="7172" max="7172" width="12.125" style="3206" customWidth="1"/>
    <col min="7173" max="7173" width="14.375" style="3206" customWidth="1"/>
    <col min="7174" max="7174" width="12.125" style="3206" customWidth="1"/>
    <col min="7175" max="7175" width="14.5" style="3206" customWidth="1"/>
    <col min="7176" max="7176" width="12.125" style="3206" customWidth="1"/>
    <col min="7177" max="7177" width="14.5" style="3206" customWidth="1"/>
    <col min="7178" max="7183" width="12.125" style="3206" customWidth="1"/>
    <col min="7184" max="7184" width="4.625" style="3206" customWidth="1"/>
    <col min="7185" max="7185" width="19.5" style="3206" customWidth="1"/>
    <col min="7186" max="7190" width="6.125" style="3206" customWidth="1"/>
    <col min="7191" max="7191" width="5.625" style="3206" customWidth="1"/>
    <col min="7192" max="7192" width="4.125" style="3206" customWidth="1"/>
    <col min="7193" max="7193" width="3.5" style="3206" customWidth="1"/>
    <col min="7194" max="7194" width="19.625" style="3206" customWidth="1"/>
    <col min="7195" max="7196" width="9.375" style="3206" customWidth="1"/>
    <col min="7197" max="7424" width="9" style="3206"/>
    <col min="7425" max="7425" width="10.5" style="3206" customWidth="1"/>
    <col min="7426" max="7426" width="15.625" style="3206" customWidth="1"/>
    <col min="7427" max="7427" width="14.375" style="3206" customWidth="1"/>
    <col min="7428" max="7428" width="12.125" style="3206" customWidth="1"/>
    <col min="7429" max="7429" width="14.375" style="3206" customWidth="1"/>
    <col min="7430" max="7430" width="12.125" style="3206" customWidth="1"/>
    <col min="7431" max="7431" width="14.5" style="3206" customWidth="1"/>
    <col min="7432" max="7432" width="12.125" style="3206" customWidth="1"/>
    <col min="7433" max="7433" width="14.5" style="3206" customWidth="1"/>
    <col min="7434" max="7439" width="12.125" style="3206" customWidth="1"/>
    <col min="7440" max="7440" width="4.625" style="3206" customWidth="1"/>
    <col min="7441" max="7441" width="19.5" style="3206" customWidth="1"/>
    <col min="7442" max="7446" width="6.125" style="3206" customWidth="1"/>
    <col min="7447" max="7447" width="5.625" style="3206" customWidth="1"/>
    <col min="7448" max="7448" width="4.125" style="3206" customWidth="1"/>
    <col min="7449" max="7449" width="3.5" style="3206" customWidth="1"/>
    <col min="7450" max="7450" width="19.625" style="3206" customWidth="1"/>
    <col min="7451" max="7452" width="9.375" style="3206" customWidth="1"/>
    <col min="7453" max="7680" width="9" style="3206"/>
    <col min="7681" max="7681" width="10.5" style="3206" customWidth="1"/>
    <col min="7682" max="7682" width="15.625" style="3206" customWidth="1"/>
    <col min="7683" max="7683" width="14.375" style="3206" customWidth="1"/>
    <col min="7684" max="7684" width="12.125" style="3206" customWidth="1"/>
    <col min="7685" max="7685" width="14.375" style="3206" customWidth="1"/>
    <col min="7686" max="7686" width="12.125" style="3206" customWidth="1"/>
    <col min="7687" max="7687" width="14.5" style="3206" customWidth="1"/>
    <col min="7688" max="7688" width="12.125" style="3206" customWidth="1"/>
    <col min="7689" max="7689" width="14.5" style="3206" customWidth="1"/>
    <col min="7690" max="7695" width="12.125" style="3206" customWidth="1"/>
    <col min="7696" max="7696" width="4.625" style="3206" customWidth="1"/>
    <col min="7697" max="7697" width="19.5" style="3206" customWidth="1"/>
    <col min="7698" max="7702" width="6.125" style="3206" customWidth="1"/>
    <col min="7703" max="7703" width="5.625" style="3206" customWidth="1"/>
    <col min="7704" max="7704" width="4.125" style="3206" customWidth="1"/>
    <col min="7705" max="7705" width="3.5" style="3206" customWidth="1"/>
    <col min="7706" max="7706" width="19.625" style="3206" customWidth="1"/>
    <col min="7707" max="7708" width="9.375" style="3206" customWidth="1"/>
    <col min="7709" max="7936" width="9" style="3206"/>
    <col min="7937" max="7937" width="10.5" style="3206" customWidth="1"/>
    <col min="7938" max="7938" width="15.625" style="3206" customWidth="1"/>
    <col min="7939" max="7939" width="14.375" style="3206" customWidth="1"/>
    <col min="7940" max="7940" width="12.125" style="3206" customWidth="1"/>
    <col min="7941" max="7941" width="14.375" style="3206" customWidth="1"/>
    <col min="7942" max="7942" width="12.125" style="3206" customWidth="1"/>
    <col min="7943" max="7943" width="14.5" style="3206" customWidth="1"/>
    <col min="7944" max="7944" width="12.125" style="3206" customWidth="1"/>
    <col min="7945" max="7945" width="14.5" style="3206" customWidth="1"/>
    <col min="7946" max="7951" width="12.125" style="3206" customWidth="1"/>
    <col min="7952" max="7952" width="4.625" style="3206" customWidth="1"/>
    <col min="7953" max="7953" width="19.5" style="3206" customWidth="1"/>
    <col min="7954" max="7958" width="6.125" style="3206" customWidth="1"/>
    <col min="7959" max="7959" width="5.625" style="3206" customWidth="1"/>
    <col min="7960" max="7960" width="4.125" style="3206" customWidth="1"/>
    <col min="7961" max="7961" width="3.5" style="3206" customWidth="1"/>
    <col min="7962" max="7962" width="19.625" style="3206" customWidth="1"/>
    <col min="7963" max="7964" width="9.375" style="3206" customWidth="1"/>
    <col min="7965" max="8192" width="9" style="3206"/>
    <col min="8193" max="8193" width="10.5" style="3206" customWidth="1"/>
    <col min="8194" max="8194" width="15.625" style="3206" customWidth="1"/>
    <col min="8195" max="8195" width="14.375" style="3206" customWidth="1"/>
    <col min="8196" max="8196" width="12.125" style="3206" customWidth="1"/>
    <col min="8197" max="8197" width="14.375" style="3206" customWidth="1"/>
    <col min="8198" max="8198" width="12.125" style="3206" customWidth="1"/>
    <col min="8199" max="8199" width="14.5" style="3206" customWidth="1"/>
    <col min="8200" max="8200" width="12.125" style="3206" customWidth="1"/>
    <col min="8201" max="8201" width="14.5" style="3206" customWidth="1"/>
    <col min="8202" max="8207" width="12.125" style="3206" customWidth="1"/>
    <col min="8208" max="8208" width="4.625" style="3206" customWidth="1"/>
    <col min="8209" max="8209" width="19.5" style="3206" customWidth="1"/>
    <col min="8210" max="8214" width="6.125" style="3206" customWidth="1"/>
    <col min="8215" max="8215" width="5.625" style="3206" customWidth="1"/>
    <col min="8216" max="8216" width="4.125" style="3206" customWidth="1"/>
    <col min="8217" max="8217" width="3.5" style="3206" customWidth="1"/>
    <col min="8218" max="8218" width="19.625" style="3206" customWidth="1"/>
    <col min="8219" max="8220" width="9.375" style="3206" customWidth="1"/>
    <col min="8221" max="8448" width="9" style="3206"/>
    <col min="8449" max="8449" width="10.5" style="3206" customWidth="1"/>
    <col min="8450" max="8450" width="15.625" style="3206" customWidth="1"/>
    <col min="8451" max="8451" width="14.375" style="3206" customWidth="1"/>
    <col min="8452" max="8452" width="12.125" style="3206" customWidth="1"/>
    <col min="8453" max="8453" width="14.375" style="3206" customWidth="1"/>
    <col min="8454" max="8454" width="12.125" style="3206" customWidth="1"/>
    <col min="8455" max="8455" width="14.5" style="3206" customWidth="1"/>
    <col min="8456" max="8456" width="12.125" style="3206" customWidth="1"/>
    <col min="8457" max="8457" width="14.5" style="3206" customWidth="1"/>
    <col min="8458" max="8463" width="12.125" style="3206" customWidth="1"/>
    <col min="8464" max="8464" width="4.625" style="3206" customWidth="1"/>
    <col min="8465" max="8465" width="19.5" style="3206" customWidth="1"/>
    <col min="8466" max="8470" width="6.125" style="3206" customWidth="1"/>
    <col min="8471" max="8471" width="5.625" style="3206" customWidth="1"/>
    <col min="8472" max="8472" width="4.125" style="3206" customWidth="1"/>
    <col min="8473" max="8473" width="3.5" style="3206" customWidth="1"/>
    <col min="8474" max="8474" width="19.625" style="3206" customWidth="1"/>
    <col min="8475" max="8476" width="9.375" style="3206" customWidth="1"/>
    <col min="8477" max="8704" width="9" style="3206"/>
    <col min="8705" max="8705" width="10.5" style="3206" customWidth="1"/>
    <col min="8706" max="8706" width="15.625" style="3206" customWidth="1"/>
    <col min="8707" max="8707" width="14.375" style="3206" customWidth="1"/>
    <col min="8708" max="8708" width="12.125" style="3206" customWidth="1"/>
    <col min="8709" max="8709" width="14.375" style="3206" customWidth="1"/>
    <col min="8710" max="8710" width="12.125" style="3206" customWidth="1"/>
    <col min="8711" max="8711" width="14.5" style="3206" customWidth="1"/>
    <col min="8712" max="8712" width="12.125" style="3206" customWidth="1"/>
    <col min="8713" max="8713" width="14.5" style="3206" customWidth="1"/>
    <col min="8714" max="8719" width="12.125" style="3206" customWidth="1"/>
    <col min="8720" max="8720" width="4.625" style="3206" customWidth="1"/>
    <col min="8721" max="8721" width="19.5" style="3206" customWidth="1"/>
    <col min="8722" max="8726" width="6.125" style="3206" customWidth="1"/>
    <col min="8727" max="8727" width="5.625" style="3206" customWidth="1"/>
    <col min="8728" max="8728" width="4.125" style="3206" customWidth="1"/>
    <col min="8729" max="8729" width="3.5" style="3206" customWidth="1"/>
    <col min="8730" max="8730" width="19.625" style="3206" customWidth="1"/>
    <col min="8731" max="8732" width="9.375" style="3206" customWidth="1"/>
    <col min="8733" max="8960" width="9" style="3206"/>
    <col min="8961" max="8961" width="10.5" style="3206" customWidth="1"/>
    <col min="8962" max="8962" width="15.625" style="3206" customWidth="1"/>
    <col min="8963" max="8963" width="14.375" style="3206" customWidth="1"/>
    <col min="8964" max="8964" width="12.125" style="3206" customWidth="1"/>
    <col min="8965" max="8965" width="14.375" style="3206" customWidth="1"/>
    <col min="8966" max="8966" width="12.125" style="3206" customWidth="1"/>
    <col min="8967" max="8967" width="14.5" style="3206" customWidth="1"/>
    <col min="8968" max="8968" width="12.125" style="3206" customWidth="1"/>
    <col min="8969" max="8969" width="14.5" style="3206" customWidth="1"/>
    <col min="8970" max="8975" width="12.125" style="3206" customWidth="1"/>
    <col min="8976" max="8976" width="4.625" style="3206" customWidth="1"/>
    <col min="8977" max="8977" width="19.5" style="3206" customWidth="1"/>
    <col min="8978" max="8982" width="6.125" style="3206" customWidth="1"/>
    <col min="8983" max="8983" width="5.625" style="3206" customWidth="1"/>
    <col min="8984" max="8984" width="4.125" style="3206" customWidth="1"/>
    <col min="8985" max="8985" width="3.5" style="3206" customWidth="1"/>
    <col min="8986" max="8986" width="19.625" style="3206" customWidth="1"/>
    <col min="8987" max="8988" width="9.375" style="3206" customWidth="1"/>
    <col min="8989" max="9216" width="9" style="3206"/>
    <col min="9217" max="9217" width="10.5" style="3206" customWidth="1"/>
    <col min="9218" max="9218" width="15.625" style="3206" customWidth="1"/>
    <col min="9219" max="9219" width="14.375" style="3206" customWidth="1"/>
    <col min="9220" max="9220" width="12.125" style="3206" customWidth="1"/>
    <col min="9221" max="9221" width="14.375" style="3206" customWidth="1"/>
    <col min="9222" max="9222" width="12.125" style="3206" customWidth="1"/>
    <col min="9223" max="9223" width="14.5" style="3206" customWidth="1"/>
    <col min="9224" max="9224" width="12.125" style="3206" customWidth="1"/>
    <col min="9225" max="9225" width="14.5" style="3206" customWidth="1"/>
    <col min="9226" max="9231" width="12.125" style="3206" customWidth="1"/>
    <col min="9232" max="9232" width="4.625" style="3206" customWidth="1"/>
    <col min="9233" max="9233" width="19.5" style="3206" customWidth="1"/>
    <col min="9234" max="9238" width="6.125" style="3206" customWidth="1"/>
    <col min="9239" max="9239" width="5.625" style="3206" customWidth="1"/>
    <col min="9240" max="9240" width="4.125" style="3206" customWidth="1"/>
    <col min="9241" max="9241" width="3.5" style="3206" customWidth="1"/>
    <col min="9242" max="9242" width="19.625" style="3206" customWidth="1"/>
    <col min="9243" max="9244" width="9.375" style="3206" customWidth="1"/>
    <col min="9245" max="9472" width="9" style="3206"/>
    <col min="9473" max="9473" width="10.5" style="3206" customWidth="1"/>
    <col min="9474" max="9474" width="15.625" style="3206" customWidth="1"/>
    <col min="9475" max="9475" width="14.375" style="3206" customWidth="1"/>
    <col min="9476" max="9476" width="12.125" style="3206" customWidth="1"/>
    <col min="9477" max="9477" width="14.375" style="3206" customWidth="1"/>
    <col min="9478" max="9478" width="12.125" style="3206" customWidth="1"/>
    <col min="9479" max="9479" width="14.5" style="3206" customWidth="1"/>
    <col min="9480" max="9480" width="12.125" style="3206" customWidth="1"/>
    <col min="9481" max="9481" width="14.5" style="3206" customWidth="1"/>
    <col min="9482" max="9487" width="12.125" style="3206" customWidth="1"/>
    <col min="9488" max="9488" width="4.625" style="3206" customWidth="1"/>
    <col min="9489" max="9489" width="19.5" style="3206" customWidth="1"/>
    <col min="9490" max="9494" width="6.125" style="3206" customWidth="1"/>
    <col min="9495" max="9495" width="5.625" style="3206" customWidth="1"/>
    <col min="9496" max="9496" width="4.125" style="3206" customWidth="1"/>
    <col min="9497" max="9497" width="3.5" style="3206" customWidth="1"/>
    <col min="9498" max="9498" width="19.625" style="3206" customWidth="1"/>
    <col min="9499" max="9500" width="9.375" style="3206" customWidth="1"/>
    <col min="9501" max="9728" width="9" style="3206"/>
    <col min="9729" max="9729" width="10.5" style="3206" customWidth="1"/>
    <col min="9730" max="9730" width="15.625" style="3206" customWidth="1"/>
    <col min="9731" max="9731" width="14.375" style="3206" customWidth="1"/>
    <col min="9732" max="9732" width="12.125" style="3206" customWidth="1"/>
    <col min="9733" max="9733" width="14.375" style="3206" customWidth="1"/>
    <col min="9734" max="9734" width="12.125" style="3206" customWidth="1"/>
    <col min="9735" max="9735" width="14.5" style="3206" customWidth="1"/>
    <col min="9736" max="9736" width="12.125" style="3206" customWidth="1"/>
    <col min="9737" max="9737" width="14.5" style="3206" customWidth="1"/>
    <col min="9738" max="9743" width="12.125" style="3206" customWidth="1"/>
    <col min="9744" max="9744" width="4.625" style="3206" customWidth="1"/>
    <col min="9745" max="9745" width="19.5" style="3206" customWidth="1"/>
    <col min="9746" max="9750" width="6.125" style="3206" customWidth="1"/>
    <col min="9751" max="9751" width="5.625" style="3206" customWidth="1"/>
    <col min="9752" max="9752" width="4.125" style="3206" customWidth="1"/>
    <col min="9753" max="9753" width="3.5" style="3206" customWidth="1"/>
    <col min="9754" max="9754" width="19.625" style="3206" customWidth="1"/>
    <col min="9755" max="9756" width="9.375" style="3206" customWidth="1"/>
    <col min="9757" max="9984" width="9" style="3206"/>
    <col min="9985" max="9985" width="10.5" style="3206" customWidth="1"/>
    <col min="9986" max="9986" width="15.625" style="3206" customWidth="1"/>
    <col min="9987" max="9987" width="14.375" style="3206" customWidth="1"/>
    <col min="9988" max="9988" width="12.125" style="3206" customWidth="1"/>
    <col min="9989" max="9989" width="14.375" style="3206" customWidth="1"/>
    <col min="9990" max="9990" width="12.125" style="3206" customWidth="1"/>
    <col min="9991" max="9991" width="14.5" style="3206" customWidth="1"/>
    <col min="9992" max="9992" width="12.125" style="3206" customWidth="1"/>
    <col min="9993" max="9993" width="14.5" style="3206" customWidth="1"/>
    <col min="9994" max="9999" width="12.125" style="3206" customWidth="1"/>
    <col min="10000" max="10000" width="4.625" style="3206" customWidth="1"/>
    <col min="10001" max="10001" width="19.5" style="3206" customWidth="1"/>
    <col min="10002" max="10006" width="6.125" style="3206" customWidth="1"/>
    <col min="10007" max="10007" width="5.625" style="3206" customWidth="1"/>
    <col min="10008" max="10008" width="4.125" style="3206" customWidth="1"/>
    <col min="10009" max="10009" width="3.5" style="3206" customWidth="1"/>
    <col min="10010" max="10010" width="19.625" style="3206" customWidth="1"/>
    <col min="10011" max="10012" width="9.375" style="3206" customWidth="1"/>
    <col min="10013" max="10240" width="9" style="3206"/>
    <col min="10241" max="10241" width="10.5" style="3206" customWidth="1"/>
    <col min="10242" max="10242" width="15.625" style="3206" customWidth="1"/>
    <col min="10243" max="10243" width="14.375" style="3206" customWidth="1"/>
    <col min="10244" max="10244" width="12.125" style="3206" customWidth="1"/>
    <col min="10245" max="10245" width="14.375" style="3206" customWidth="1"/>
    <col min="10246" max="10246" width="12.125" style="3206" customWidth="1"/>
    <col min="10247" max="10247" width="14.5" style="3206" customWidth="1"/>
    <col min="10248" max="10248" width="12.125" style="3206" customWidth="1"/>
    <col min="10249" max="10249" width="14.5" style="3206" customWidth="1"/>
    <col min="10250" max="10255" width="12.125" style="3206" customWidth="1"/>
    <col min="10256" max="10256" width="4.625" style="3206" customWidth="1"/>
    <col min="10257" max="10257" width="19.5" style="3206" customWidth="1"/>
    <col min="10258" max="10262" width="6.125" style="3206" customWidth="1"/>
    <col min="10263" max="10263" width="5.625" style="3206" customWidth="1"/>
    <col min="10264" max="10264" width="4.125" style="3206" customWidth="1"/>
    <col min="10265" max="10265" width="3.5" style="3206" customWidth="1"/>
    <col min="10266" max="10266" width="19.625" style="3206" customWidth="1"/>
    <col min="10267" max="10268" width="9.375" style="3206" customWidth="1"/>
    <col min="10269" max="10496" width="9" style="3206"/>
    <col min="10497" max="10497" width="10.5" style="3206" customWidth="1"/>
    <col min="10498" max="10498" width="15.625" style="3206" customWidth="1"/>
    <col min="10499" max="10499" width="14.375" style="3206" customWidth="1"/>
    <col min="10500" max="10500" width="12.125" style="3206" customWidth="1"/>
    <col min="10501" max="10501" width="14.375" style="3206" customWidth="1"/>
    <col min="10502" max="10502" width="12.125" style="3206" customWidth="1"/>
    <col min="10503" max="10503" width="14.5" style="3206" customWidth="1"/>
    <col min="10504" max="10504" width="12.125" style="3206" customWidth="1"/>
    <col min="10505" max="10505" width="14.5" style="3206" customWidth="1"/>
    <col min="10506" max="10511" width="12.125" style="3206" customWidth="1"/>
    <col min="10512" max="10512" width="4.625" style="3206" customWidth="1"/>
    <col min="10513" max="10513" width="19.5" style="3206" customWidth="1"/>
    <col min="10514" max="10518" width="6.125" style="3206" customWidth="1"/>
    <col min="10519" max="10519" width="5.625" style="3206" customWidth="1"/>
    <col min="10520" max="10520" width="4.125" style="3206" customWidth="1"/>
    <col min="10521" max="10521" width="3.5" style="3206" customWidth="1"/>
    <col min="10522" max="10522" width="19.625" style="3206" customWidth="1"/>
    <col min="10523" max="10524" width="9.375" style="3206" customWidth="1"/>
    <col min="10525" max="10752" width="9" style="3206"/>
    <col min="10753" max="10753" width="10.5" style="3206" customWidth="1"/>
    <col min="10754" max="10754" width="15.625" style="3206" customWidth="1"/>
    <col min="10755" max="10755" width="14.375" style="3206" customWidth="1"/>
    <col min="10756" max="10756" width="12.125" style="3206" customWidth="1"/>
    <col min="10757" max="10757" width="14.375" style="3206" customWidth="1"/>
    <col min="10758" max="10758" width="12.125" style="3206" customWidth="1"/>
    <col min="10759" max="10759" width="14.5" style="3206" customWidth="1"/>
    <col min="10760" max="10760" width="12.125" style="3206" customWidth="1"/>
    <col min="10761" max="10761" width="14.5" style="3206" customWidth="1"/>
    <col min="10762" max="10767" width="12.125" style="3206" customWidth="1"/>
    <col min="10768" max="10768" width="4.625" style="3206" customWidth="1"/>
    <col min="10769" max="10769" width="19.5" style="3206" customWidth="1"/>
    <col min="10770" max="10774" width="6.125" style="3206" customWidth="1"/>
    <col min="10775" max="10775" width="5.625" style="3206" customWidth="1"/>
    <col min="10776" max="10776" width="4.125" style="3206" customWidth="1"/>
    <col min="10777" max="10777" width="3.5" style="3206" customWidth="1"/>
    <col min="10778" max="10778" width="19.625" style="3206" customWidth="1"/>
    <col min="10779" max="10780" width="9.375" style="3206" customWidth="1"/>
    <col min="10781" max="11008" width="9" style="3206"/>
    <col min="11009" max="11009" width="10.5" style="3206" customWidth="1"/>
    <col min="11010" max="11010" width="15.625" style="3206" customWidth="1"/>
    <col min="11011" max="11011" width="14.375" style="3206" customWidth="1"/>
    <col min="11012" max="11012" width="12.125" style="3206" customWidth="1"/>
    <col min="11013" max="11013" width="14.375" style="3206" customWidth="1"/>
    <col min="11014" max="11014" width="12.125" style="3206" customWidth="1"/>
    <col min="11015" max="11015" width="14.5" style="3206" customWidth="1"/>
    <col min="11016" max="11016" width="12.125" style="3206" customWidth="1"/>
    <col min="11017" max="11017" width="14.5" style="3206" customWidth="1"/>
    <col min="11018" max="11023" width="12.125" style="3206" customWidth="1"/>
    <col min="11024" max="11024" width="4.625" style="3206" customWidth="1"/>
    <col min="11025" max="11025" width="19.5" style="3206" customWidth="1"/>
    <col min="11026" max="11030" width="6.125" style="3206" customWidth="1"/>
    <col min="11031" max="11031" width="5.625" style="3206" customWidth="1"/>
    <col min="11032" max="11032" width="4.125" style="3206" customWidth="1"/>
    <col min="11033" max="11033" width="3.5" style="3206" customWidth="1"/>
    <col min="11034" max="11034" width="19.625" style="3206" customWidth="1"/>
    <col min="11035" max="11036" width="9.375" style="3206" customWidth="1"/>
    <col min="11037" max="11264" width="9" style="3206"/>
    <col min="11265" max="11265" width="10.5" style="3206" customWidth="1"/>
    <col min="11266" max="11266" width="15.625" style="3206" customWidth="1"/>
    <col min="11267" max="11267" width="14.375" style="3206" customWidth="1"/>
    <col min="11268" max="11268" width="12.125" style="3206" customWidth="1"/>
    <col min="11269" max="11269" width="14.375" style="3206" customWidth="1"/>
    <col min="11270" max="11270" width="12.125" style="3206" customWidth="1"/>
    <col min="11271" max="11271" width="14.5" style="3206" customWidth="1"/>
    <col min="11272" max="11272" width="12.125" style="3206" customWidth="1"/>
    <col min="11273" max="11273" width="14.5" style="3206" customWidth="1"/>
    <col min="11274" max="11279" width="12.125" style="3206" customWidth="1"/>
    <col min="11280" max="11280" width="4.625" style="3206" customWidth="1"/>
    <col min="11281" max="11281" width="19.5" style="3206" customWidth="1"/>
    <col min="11282" max="11286" width="6.125" style="3206" customWidth="1"/>
    <col min="11287" max="11287" width="5.625" style="3206" customWidth="1"/>
    <col min="11288" max="11288" width="4.125" style="3206" customWidth="1"/>
    <col min="11289" max="11289" width="3.5" style="3206" customWidth="1"/>
    <col min="11290" max="11290" width="19.625" style="3206" customWidth="1"/>
    <col min="11291" max="11292" width="9.375" style="3206" customWidth="1"/>
    <col min="11293" max="11520" width="9" style="3206"/>
    <col min="11521" max="11521" width="10.5" style="3206" customWidth="1"/>
    <col min="11522" max="11522" width="15.625" style="3206" customWidth="1"/>
    <col min="11523" max="11523" width="14.375" style="3206" customWidth="1"/>
    <col min="11524" max="11524" width="12.125" style="3206" customWidth="1"/>
    <col min="11525" max="11525" width="14.375" style="3206" customWidth="1"/>
    <col min="11526" max="11526" width="12.125" style="3206" customWidth="1"/>
    <col min="11527" max="11527" width="14.5" style="3206" customWidth="1"/>
    <col min="11528" max="11528" width="12.125" style="3206" customWidth="1"/>
    <col min="11529" max="11529" width="14.5" style="3206" customWidth="1"/>
    <col min="11530" max="11535" width="12.125" style="3206" customWidth="1"/>
    <col min="11536" max="11536" width="4.625" style="3206" customWidth="1"/>
    <col min="11537" max="11537" width="19.5" style="3206" customWidth="1"/>
    <col min="11538" max="11542" width="6.125" style="3206" customWidth="1"/>
    <col min="11543" max="11543" width="5.625" style="3206" customWidth="1"/>
    <col min="11544" max="11544" width="4.125" style="3206" customWidth="1"/>
    <col min="11545" max="11545" width="3.5" style="3206" customWidth="1"/>
    <col min="11546" max="11546" width="19.625" style="3206" customWidth="1"/>
    <col min="11547" max="11548" width="9.375" style="3206" customWidth="1"/>
    <col min="11549" max="11776" width="9" style="3206"/>
    <col min="11777" max="11777" width="10.5" style="3206" customWidth="1"/>
    <col min="11778" max="11778" width="15.625" style="3206" customWidth="1"/>
    <col min="11779" max="11779" width="14.375" style="3206" customWidth="1"/>
    <col min="11780" max="11780" width="12.125" style="3206" customWidth="1"/>
    <col min="11781" max="11781" width="14.375" style="3206" customWidth="1"/>
    <col min="11782" max="11782" width="12.125" style="3206" customWidth="1"/>
    <col min="11783" max="11783" width="14.5" style="3206" customWidth="1"/>
    <col min="11784" max="11784" width="12.125" style="3206" customWidth="1"/>
    <col min="11785" max="11785" width="14.5" style="3206" customWidth="1"/>
    <col min="11786" max="11791" width="12.125" style="3206" customWidth="1"/>
    <col min="11792" max="11792" width="4.625" style="3206" customWidth="1"/>
    <col min="11793" max="11793" width="19.5" style="3206" customWidth="1"/>
    <col min="11794" max="11798" width="6.125" style="3206" customWidth="1"/>
    <col min="11799" max="11799" width="5.625" style="3206" customWidth="1"/>
    <col min="11800" max="11800" width="4.125" style="3206" customWidth="1"/>
    <col min="11801" max="11801" width="3.5" style="3206" customWidth="1"/>
    <col min="11802" max="11802" width="19.625" style="3206" customWidth="1"/>
    <col min="11803" max="11804" width="9.375" style="3206" customWidth="1"/>
    <col min="11805" max="12032" width="9" style="3206"/>
    <col min="12033" max="12033" width="10.5" style="3206" customWidth="1"/>
    <col min="12034" max="12034" width="15.625" style="3206" customWidth="1"/>
    <col min="12035" max="12035" width="14.375" style="3206" customWidth="1"/>
    <col min="12036" max="12036" width="12.125" style="3206" customWidth="1"/>
    <col min="12037" max="12037" width="14.375" style="3206" customWidth="1"/>
    <col min="12038" max="12038" width="12.125" style="3206" customWidth="1"/>
    <col min="12039" max="12039" width="14.5" style="3206" customWidth="1"/>
    <col min="12040" max="12040" width="12.125" style="3206" customWidth="1"/>
    <col min="12041" max="12041" width="14.5" style="3206" customWidth="1"/>
    <col min="12042" max="12047" width="12.125" style="3206" customWidth="1"/>
    <col min="12048" max="12048" width="4.625" style="3206" customWidth="1"/>
    <col min="12049" max="12049" width="19.5" style="3206" customWidth="1"/>
    <col min="12050" max="12054" width="6.125" style="3206" customWidth="1"/>
    <col min="12055" max="12055" width="5.625" style="3206" customWidth="1"/>
    <col min="12056" max="12056" width="4.125" style="3206" customWidth="1"/>
    <col min="12057" max="12057" width="3.5" style="3206" customWidth="1"/>
    <col min="12058" max="12058" width="19.625" style="3206" customWidth="1"/>
    <col min="12059" max="12060" width="9.375" style="3206" customWidth="1"/>
    <col min="12061" max="12288" width="9" style="3206"/>
    <col min="12289" max="12289" width="10.5" style="3206" customWidth="1"/>
    <col min="12290" max="12290" width="15.625" style="3206" customWidth="1"/>
    <col min="12291" max="12291" width="14.375" style="3206" customWidth="1"/>
    <col min="12292" max="12292" width="12.125" style="3206" customWidth="1"/>
    <col min="12293" max="12293" width="14.375" style="3206" customWidth="1"/>
    <col min="12294" max="12294" width="12.125" style="3206" customWidth="1"/>
    <col min="12295" max="12295" width="14.5" style="3206" customWidth="1"/>
    <col min="12296" max="12296" width="12.125" style="3206" customWidth="1"/>
    <col min="12297" max="12297" width="14.5" style="3206" customWidth="1"/>
    <col min="12298" max="12303" width="12.125" style="3206" customWidth="1"/>
    <col min="12304" max="12304" width="4.625" style="3206" customWidth="1"/>
    <col min="12305" max="12305" width="19.5" style="3206" customWidth="1"/>
    <col min="12306" max="12310" width="6.125" style="3206" customWidth="1"/>
    <col min="12311" max="12311" width="5.625" style="3206" customWidth="1"/>
    <col min="12312" max="12312" width="4.125" style="3206" customWidth="1"/>
    <col min="12313" max="12313" width="3.5" style="3206" customWidth="1"/>
    <col min="12314" max="12314" width="19.625" style="3206" customWidth="1"/>
    <col min="12315" max="12316" width="9.375" style="3206" customWidth="1"/>
    <col min="12317" max="12544" width="9" style="3206"/>
    <col min="12545" max="12545" width="10.5" style="3206" customWidth="1"/>
    <col min="12546" max="12546" width="15.625" style="3206" customWidth="1"/>
    <col min="12547" max="12547" width="14.375" style="3206" customWidth="1"/>
    <col min="12548" max="12548" width="12.125" style="3206" customWidth="1"/>
    <col min="12549" max="12549" width="14.375" style="3206" customWidth="1"/>
    <col min="12550" max="12550" width="12.125" style="3206" customWidth="1"/>
    <col min="12551" max="12551" width="14.5" style="3206" customWidth="1"/>
    <col min="12552" max="12552" width="12.125" style="3206" customWidth="1"/>
    <col min="12553" max="12553" width="14.5" style="3206" customWidth="1"/>
    <col min="12554" max="12559" width="12.125" style="3206" customWidth="1"/>
    <col min="12560" max="12560" width="4.625" style="3206" customWidth="1"/>
    <col min="12561" max="12561" width="19.5" style="3206" customWidth="1"/>
    <col min="12562" max="12566" width="6.125" style="3206" customWidth="1"/>
    <col min="12567" max="12567" width="5.625" style="3206" customWidth="1"/>
    <col min="12568" max="12568" width="4.125" style="3206" customWidth="1"/>
    <col min="12569" max="12569" width="3.5" style="3206" customWidth="1"/>
    <col min="12570" max="12570" width="19.625" style="3206" customWidth="1"/>
    <col min="12571" max="12572" width="9.375" style="3206" customWidth="1"/>
    <col min="12573" max="12800" width="9" style="3206"/>
    <col min="12801" max="12801" width="10.5" style="3206" customWidth="1"/>
    <col min="12802" max="12802" width="15.625" style="3206" customWidth="1"/>
    <col min="12803" max="12803" width="14.375" style="3206" customWidth="1"/>
    <col min="12804" max="12804" width="12.125" style="3206" customWidth="1"/>
    <col min="12805" max="12805" width="14.375" style="3206" customWidth="1"/>
    <col min="12806" max="12806" width="12.125" style="3206" customWidth="1"/>
    <col min="12807" max="12807" width="14.5" style="3206" customWidth="1"/>
    <col min="12808" max="12808" width="12.125" style="3206" customWidth="1"/>
    <col min="12809" max="12809" width="14.5" style="3206" customWidth="1"/>
    <col min="12810" max="12815" width="12.125" style="3206" customWidth="1"/>
    <col min="12816" max="12816" width="4.625" style="3206" customWidth="1"/>
    <col min="12817" max="12817" width="19.5" style="3206" customWidth="1"/>
    <col min="12818" max="12822" width="6.125" style="3206" customWidth="1"/>
    <col min="12823" max="12823" width="5.625" style="3206" customWidth="1"/>
    <col min="12824" max="12824" width="4.125" style="3206" customWidth="1"/>
    <col min="12825" max="12825" width="3.5" style="3206" customWidth="1"/>
    <col min="12826" max="12826" width="19.625" style="3206" customWidth="1"/>
    <col min="12827" max="12828" width="9.375" style="3206" customWidth="1"/>
    <col min="12829" max="13056" width="9" style="3206"/>
    <col min="13057" max="13057" width="10.5" style="3206" customWidth="1"/>
    <col min="13058" max="13058" width="15.625" style="3206" customWidth="1"/>
    <col min="13059" max="13059" width="14.375" style="3206" customWidth="1"/>
    <col min="13060" max="13060" width="12.125" style="3206" customWidth="1"/>
    <col min="13061" max="13061" width="14.375" style="3206" customWidth="1"/>
    <col min="13062" max="13062" width="12.125" style="3206" customWidth="1"/>
    <col min="13063" max="13063" width="14.5" style="3206" customWidth="1"/>
    <col min="13064" max="13064" width="12.125" style="3206" customWidth="1"/>
    <col min="13065" max="13065" width="14.5" style="3206" customWidth="1"/>
    <col min="13066" max="13071" width="12.125" style="3206" customWidth="1"/>
    <col min="13072" max="13072" width="4.625" style="3206" customWidth="1"/>
    <col min="13073" max="13073" width="19.5" style="3206" customWidth="1"/>
    <col min="13074" max="13078" width="6.125" style="3206" customWidth="1"/>
    <col min="13079" max="13079" width="5.625" style="3206" customWidth="1"/>
    <col min="13080" max="13080" width="4.125" style="3206" customWidth="1"/>
    <col min="13081" max="13081" width="3.5" style="3206" customWidth="1"/>
    <col min="13082" max="13082" width="19.625" style="3206" customWidth="1"/>
    <col min="13083" max="13084" width="9.375" style="3206" customWidth="1"/>
    <col min="13085" max="13312" width="9" style="3206"/>
    <col min="13313" max="13313" width="10.5" style="3206" customWidth="1"/>
    <col min="13314" max="13314" width="15.625" style="3206" customWidth="1"/>
    <col min="13315" max="13315" width="14.375" style="3206" customWidth="1"/>
    <col min="13316" max="13316" width="12.125" style="3206" customWidth="1"/>
    <col min="13317" max="13317" width="14.375" style="3206" customWidth="1"/>
    <col min="13318" max="13318" width="12.125" style="3206" customWidth="1"/>
    <col min="13319" max="13319" width="14.5" style="3206" customWidth="1"/>
    <col min="13320" max="13320" width="12.125" style="3206" customWidth="1"/>
    <col min="13321" max="13321" width="14.5" style="3206" customWidth="1"/>
    <col min="13322" max="13327" width="12.125" style="3206" customWidth="1"/>
    <col min="13328" max="13328" width="4.625" style="3206" customWidth="1"/>
    <col min="13329" max="13329" width="19.5" style="3206" customWidth="1"/>
    <col min="13330" max="13334" width="6.125" style="3206" customWidth="1"/>
    <col min="13335" max="13335" width="5.625" style="3206" customWidth="1"/>
    <col min="13336" max="13336" width="4.125" style="3206" customWidth="1"/>
    <col min="13337" max="13337" width="3.5" style="3206" customWidth="1"/>
    <col min="13338" max="13338" width="19.625" style="3206" customWidth="1"/>
    <col min="13339" max="13340" width="9.375" style="3206" customWidth="1"/>
    <col min="13341" max="13568" width="9" style="3206"/>
    <col min="13569" max="13569" width="10.5" style="3206" customWidth="1"/>
    <col min="13570" max="13570" width="15.625" style="3206" customWidth="1"/>
    <col min="13571" max="13571" width="14.375" style="3206" customWidth="1"/>
    <col min="13572" max="13572" width="12.125" style="3206" customWidth="1"/>
    <col min="13573" max="13573" width="14.375" style="3206" customWidth="1"/>
    <col min="13574" max="13574" width="12.125" style="3206" customWidth="1"/>
    <col min="13575" max="13575" width="14.5" style="3206" customWidth="1"/>
    <col min="13576" max="13576" width="12.125" style="3206" customWidth="1"/>
    <col min="13577" max="13577" width="14.5" style="3206" customWidth="1"/>
    <col min="13578" max="13583" width="12.125" style="3206" customWidth="1"/>
    <col min="13584" max="13584" width="4.625" style="3206" customWidth="1"/>
    <col min="13585" max="13585" width="19.5" style="3206" customWidth="1"/>
    <col min="13586" max="13590" width="6.125" style="3206" customWidth="1"/>
    <col min="13591" max="13591" width="5.625" style="3206" customWidth="1"/>
    <col min="13592" max="13592" width="4.125" style="3206" customWidth="1"/>
    <col min="13593" max="13593" width="3.5" style="3206" customWidth="1"/>
    <col min="13594" max="13594" width="19.625" style="3206" customWidth="1"/>
    <col min="13595" max="13596" width="9.375" style="3206" customWidth="1"/>
    <col min="13597" max="13824" width="9" style="3206"/>
    <col min="13825" max="13825" width="10.5" style="3206" customWidth="1"/>
    <col min="13826" max="13826" width="15.625" style="3206" customWidth="1"/>
    <col min="13827" max="13827" width="14.375" style="3206" customWidth="1"/>
    <col min="13828" max="13828" width="12.125" style="3206" customWidth="1"/>
    <col min="13829" max="13829" width="14.375" style="3206" customWidth="1"/>
    <col min="13830" max="13830" width="12.125" style="3206" customWidth="1"/>
    <col min="13831" max="13831" width="14.5" style="3206" customWidth="1"/>
    <col min="13832" max="13832" width="12.125" style="3206" customWidth="1"/>
    <col min="13833" max="13833" width="14.5" style="3206" customWidth="1"/>
    <col min="13834" max="13839" width="12.125" style="3206" customWidth="1"/>
    <col min="13840" max="13840" width="4.625" style="3206" customWidth="1"/>
    <col min="13841" max="13841" width="19.5" style="3206" customWidth="1"/>
    <col min="13842" max="13846" width="6.125" style="3206" customWidth="1"/>
    <col min="13847" max="13847" width="5.625" style="3206" customWidth="1"/>
    <col min="13848" max="13848" width="4.125" style="3206" customWidth="1"/>
    <col min="13849" max="13849" width="3.5" style="3206" customWidth="1"/>
    <col min="13850" max="13850" width="19.625" style="3206" customWidth="1"/>
    <col min="13851" max="13852" width="9.375" style="3206" customWidth="1"/>
    <col min="13853" max="14080" width="9" style="3206"/>
    <col min="14081" max="14081" width="10.5" style="3206" customWidth="1"/>
    <col min="14082" max="14082" width="15.625" style="3206" customWidth="1"/>
    <col min="14083" max="14083" width="14.375" style="3206" customWidth="1"/>
    <col min="14084" max="14084" width="12.125" style="3206" customWidth="1"/>
    <col min="14085" max="14085" width="14.375" style="3206" customWidth="1"/>
    <col min="14086" max="14086" width="12.125" style="3206" customWidth="1"/>
    <col min="14087" max="14087" width="14.5" style="3206" customWidth="1"/>
    <col min="14088" max="14088" width="12.125" style="3206" customWidth="1"/>
    <col min="14089" max="14089" width="14.5" style="3206" customWidth="1"/>
    <col min="14090" max="14095" width="12.125" style="3206" customWidth="1"/>
    <col min="14096" max="14096" width="4.625" style="3206" customWidth="1"/>
    <col min="14097" max="14097" width="19.5" style="3206" customWidth="1"/>
    <col min="14098" max="14102" width="6.125" style="3206" customWidth="1"/>
    <col min="14103" max="14103" width="5.625" style="3206" customWidth="1"/>
    <col min="14104" max="14104" width="4.125" style="3206" customWidth="1"/>
    <col min="14105" max="14105" width="3.5" style="3206" customWidth="1"/>
    <col min="14106" max="14106" width="19.625" style="3206" customWidth="1"/>
    <col min="14107" max="14108" width="9.375" style="3206" customWidth="1"/>
    <col min="14109" max="14336" width="9" style="3206"/>
    <col min="14337" max="14337" width="10.5" style="3206" customWidth="1"/>
    <col min="14338" max="14338" width="15.625" style="3206" customWidth="1"/>
    <col min="14339" max="14339" width="14.375" style="3206" customWidth="1"/>
    <col min="14340" max="14340" width="12.125" style="3206" customWidth="1"/>
    <col min="14341" max="14341" width="14.375" style="3206" customWidth="1"/>
    <col min="14342" max="14342" width="12.125" style="3206" customWidth="1"/>
    <col min="14343" max="14343" width="14.5" style="3206" customWidth="1"/>
    <col min="14344" max="14344" width="12.125" style="3206" customWidth="1"/>
    <col min="14345" max="14345" width="14.5" style="3206" customWidth="1"/>
    <col min="14346" max="14351" width="12.125" style="3206" customWidth="1"/>
    <col min="14352" max="14352" width="4.625" style="3206" customWidth="1"/>
    <col min="14353" max="14353" width="19.5" style="3206" customWidth="1"/>
    <col min="14354" max="14358" width="6.125" style="3206" customWidth="1"/>
    <col min="14359" max="14359" width="5.625" style="3206" customWidth="1"/>
    <col min="14360" max="14360" width="4.125" style="3206" customWidth="1"/>
    <col min="14361" max="14361" width="3.5" style="3206" customWidth="1"/>
    <col min="14362" max="14362" width="19.625" style="3206" customWidth="1"/>
    <col min="14363" max="14364" width="9.375" style="3206" customWidth="1"/>
    <col min="14365" max="14592" width="9" style="3206"/>
    <col min="14593" max="14593" width="10.5" style="3206" customWidth="1"/>
    <col min="14594" max="14594" width="15.625" style="3206" customWidth="1"/>
    <col min="14595" max="14595" width="14.375" style="3206" customWidth="1"/>
    <col min="14596" max="14596" width="12.125" style="3206" customWidth="1"/>
    <col min="14597" max="14597" width="14.375" style="3206" customWidth="1"/>
    <col min="14598" max="14598" width="12.125" style="3206" customWidth="1"/>
    <col min="14599" max="14599" width="14.5" style="3206" customWidth="1"/>
    <col min="14600" max="14600" width="12.125" style="3206" customWidth="1"/>
    <col min="14601" max="14601" width="14.5" style="3206" customWidth="1"/>
    <col min="14602" max="14607" width="12.125" style="3206" customWidth="1"/>
    <col min="14608" max="14608" width="4.625" style="3206" customWidth="1"/>
    <col min="14609" max="14609" width="19.5" style="3206" customWidth="1"/>
    <col min="14610" max="14614" width="6.125" style="3206" customWidth="1"/>
    <col min="14615" max="14615" width="5.625" style="3206" customWidth="1"/>
    <col min="14616" max="14616" width="4.125" style="3206" customWidth="1"/>
    <col min="14617" max="14617" width="3.5" style="3206" customWidth="1"/>
    <col min="14618" max="14618" width="19.625" style="3206" customWidth="1"/>
    <col min="14619" max="14620" width="9.375" style="3206" customWidth="1"/>
    <col min="14621" max="14848" width="9" style="3206"/>
    <col min="14849" max="14849" width="10.5" style="3206" customWidth="1"/>
    <col min="14850" max="14850" width="15.625" style="3206" customWidth="1"/>
    <col min="14851" max="14851" width="14.375" style="3206" customWidth="1"/>
    <col min="14852" max="14852" width="12.125" style="3206" customWidth="1"/>
    <col min="14853" max="14853" width="14.375" style="3206" customWidth="1"/>
    <col min="14854" max="14854" width="12.125" style="3206" customWidth="1"/>
    <col min="14855" max="14855" width="14.5" style="3206" customWidth="1"/>
    <col min="14856" max="14856" width="12.125" style="3206" customWidth="1"/>
    <col min="14857" max="14857" width="14.5" style="3206" customWidth="1"/>
    <col min="14858" max="14863" width="12.125" style="3206" customWidth="1"/>
    <col min="14864" max="14864" width="4.625" style="3206" customWidth="1"/>
    <col min="14865" max="14865" width="19.5" style="3206" customWidth="1"/>
    <col min="14866" max="14870" width="6.125" style="3206" customWidth="1"/>
    <col min="14871" max="14871" width="5.625" style="3206" customWidth="1"/>
    <col min="14872" max="14872" width="4.125" style="3206" customWidth="1"/>
    <col min="14873" max="14873" width="3.5" style="3206" customWidth="1"/>
    <col min="14874" max="14874" width="19.625" style="3206" customWidth="1"/>
    <col min="14875" max="14876" width="9.375" style="3206" customWidth="1"/>
    <col min="14877" max="15104" width="9" style="3206"/>
    <col min="15105" max="15105" width="10.5" style="3206" customWidth="1"/>
    <col min="15106" max="15106" width="15.625" style="3206" customWidth="1"/>
    <col min="15107" max="15107" width="14.375" style="3206" customWidth="1"/>
    <col min="15108" max="15108" width="12.125" style="3206" customWidth="1"/>
    <col min="15109" max="15109" width="14.375" style="3206" customWidth="1"/>
    <col min="15110" max="15110" width="12.125" style="3206" customWidth="1"/>
    <col min="15111" max="15111" width="14.5" style="3206" customWidth="1"/>
    <col min="15112" max="15112" width="12.125" style="3206" customWidth="1"/>
    <col min="15113" max="15113" width="14.5" style="3206" customWidth="1"/>
    <col min="15114" max="15119" width="12.125" style="3206" customWidth="1"/>
    <col min="15120" max="15120" width="4.625" style="3206" customWidth="1"/>
    <col min="15121" max="15121" width="19.5" style="3206" customWidth="1"/>
    <col min="15122" max="15126" width="6.125" style="3206" customWidth="1"/>
    <col min="15127" max="15127" width="5.625" style="3206" customWidth="1"/>
    <col min="15128" max="15128" width="4.125" style="3206" customWidth="1"/>
    <col min="15129" max="15129" width="3.5" style="3206" customWidth="1"/>
    <col min="15130" max="15130" width="19.625" style="3206" customWidth="1"/>
    <col min="15131" max="15132" width="9.375" style="3206" customWidth="1"/>
    <col min="15133" max="15360" width="9" style="3206"/>
    <col min="15361" max="15361" width="10.5" style="3206" customWidth="1"/>
    <col min="15362" max="15362" width="15.625" style="3206" customWidth="1"/>
    <col min="15363" max="15363" width="14.375" style="3206" customWidth="1"/>
    <col min="15364" max="15364" width="12.125" style="3206" customWidth="1"/>
    <col min="15365" max="15365" width="14.375" style="3206" customWidth="1"/>
    <col min="15366" max="15366" width="12.125" style="3206" customWidth="1"/>
    <col min="15367" max="15367" width="14.5" style="3206" customWidth="1"/>
    <col min="15368" max="15368" width="12.125" style="3206" customWidth="1"/>
    <col min="15369" max="15369" width="14.5" style="3206" customWidth="1"/>
    <col min="15370" max="15375" width="12.125" style="3206" customWidth="1"/>
    <col min="15376" max="15376" width="4.625" style="3206" customWidth="1"/>
    <col min="15377" max="15377" width="19.5" style="3206" customWidth="1"/>
    <col min="15378" max="15382" width="6.125" style="3206" customWidth="1"/>
    <col min="15383" max="15383" width="5.625" style="3206" customWidth="1"/>
    <col min="15384" max="15384" width="4.125" style="3206" customWidth="1"/>
    <col min="15385" max="15385" width="3.5" style="3206" customWidth="1"/>
    <col min="15386" max="15386" width="19.625" style="3206" customWidth="1"/>
    <col min="15387" max="15388" width="9.375" style="3206" customWidth="1"/>
    <col min="15389" max="15616" width="9" style="3206"/>
    <col min="15617" max="15617" width="10.5" style="3206" customWidth="1"/>
    <col min="15618" max="15618" width="15.625" style="3206" customWidth="1"/>
    <col min="15619" max="15619" width="14.375" style="3206" customWidth="1"/>
    <col min="15620" max="15620" width="12.125" style="3206" customWidth="1"/>
    <col min="15621" max="15621" width="14.375" style="3206" customWidth="1"/>
    <col min="15622" max="15622" width="12.125" style="3206" customWidth="1"/>
    <col min="15623" max="15623" width="14.5" style="3206" customWidth="1"/>
    <col min="15624" max="15624" width="12.125" style="3206" customWidth="1"/>
    <col min="15625" max="15625" width="14.5" style="3206" customWidth="1"/>
    <col min="15626" max="15631" width="12.125" style="3206" customWidth="1"/>
    <col min="15632" max="15632" width="4.625" style="3206" customWidth="1"/>
    <col min="15633" max="15633" width="19.5" style="3206" customWidth="1"/>
    <col min="15634" max="15638" width="6.125" style="3206" customWidth="1"/>
    <col min="15639" max="15639" width="5.625" style="3206" customWidth="1"/>
    <col min="15640" max="15640" width="4.125" style="3206" customWidth="1"/>
    <col min="15641" max="15641" width="3.5" style="3206" customWidth="1"/>
    <col min="15642" max="15642" width="19.625" style="3206" customWidth="1"/>
    <col min="15643" max="15644" width="9.375" style="3206" customWidth="1"/>
    <col min="15645" max="15872" width="9" style="3206"/>
    <col min="15873" max="15873" width="10.5" style="3206" customWidth="1"/>
    <col min="15874" max="15874" width="15.625" style="3206" customWidth="1"/>
    <col min="15875" max="15875" width="14.375" style="3206" customWidth="1"/>
    <col min="15876" max="15876" width="12.125" style="3206" customWidth="1"/>
    <col min="15877" max="15877" width="14.375" style="3206" customWidth="1"/>
    <col min="15878" max="15878" width="12.125" style="3206" customWidth="1"/>
    <col min="15879" max="15879" width="14.5" style="3206" customWidth="1"/>
    <col min="15880" max="15880" width="12.125" style="3206" customWidth="1"/>
    <col min="15881" max="15881" width="14.5" style="3206" customWidth="1"/>
    <col min="15882" max="15887" width="12.125" style="3206" customWidth="1"/>
    <col min="15888" max="15888" width="4.625" style="3206" customWidth="1"/>
    <col min="15889" max="15889" width="19.5" style="3206" customWidth="1"/>
    <col min="15890" max="15894" width="6.125" style="3206" customWidth="1"/>
    <col min="15895" max="15895" width="5.625" style="3206" customWidth="1"/>
    <col min="15896" max="15896" width="4.125" style="3206" customWidth="1"/>
    <col min="15897" max="15897" width="3.5" style="3206" customWidth="1"/>
    <col min="15898" max="15898" width="19.625" style="3206" customWidth="1"/>
    <col min="15899" max="15900" width="9.375" style="3206" customWidth="1"/>
    <col min="15901" max="16128" width="9" style="3206"/>
    <col min="16129" max="16129" width="10.5" style="3206" customWidth="1"/>
    <col min="16130" max="16130" width="15.625" style="3206" customWidth="1"/>
    <col min="16131" max="16131" width="14.375" style="3206" customWidth="1"/>
    <col min="16132" max="16132" width="12.125" style="3206" customWidth="1"/>
    <col min="16133" max="16133" width="14.375" style="3206" customWidth="1"/>
    <col min="16134" max="16134" width="12.125" style="3206" customWidth="1"/>
    <col min="16135" max="16135" width="14.5" style="3206" customWidth="1"/>
    <col min="16136" max="16136" width="12.125" style="3206" customWidth="1"/>
    <col min="16137" max="16137" width="14.5" style="3206" customWidth="1"/>
    <col min="16138" max="16143" width="12.125" style="3206" customWidth="1"/>
    <col min="16144" max="16144" width="4.625" style="3206" customWidth="1"/>
    <col min="16145" max="16145" width="19.5" style="3206" customWidth="1"/>
    <col min="16146" max="16150" width="6.125" style="3206" customWidth="1"/>
    <col min="16151" max="16151" width="5.625" style="3206" customWidth="1"/>
    <col min="16152" max="16152" width="4.125" style="3206" customWidth="1"/>
    <col min="16153" max="16153" width="3.5" style="3206" customWidth="1"/>
    <col min="16154" max="16154" width="19.625" style="3206" customWidth="1"/>
    <col min="16155" max="16156" width="9.375" style="3206" customWidth="1"/>
    <col min="16157" max="16384" width="9" style="3206"/>
  </cols>
  <sheetData>
    <row r="1" spans="1:29" s="3187" customFormat="1" ht="28.5" customHeight="1">
      <c r="A1" s="3175" t="s">
        <v>3024</v>
      </c>
      <c r="B1" s="3176" t="s">
        <v>3135</v>
      </c>
      <c r="C1" s="3177" t="s">
        <v>3026</v>
      </c>
      <c r="D1" s="3514"/>
      <c r="E1" s="3179"/>
      <c r="F1" s="3180"/>
      <c r="G1" s="3181" t="s">
        <v>3027</v>
      </c>
      <c r="H1" s="3179"/>
      <c r="I1" s="3179"/>
      <c r="J1" s="3179"/>
      <c r="K1" s="3182"/>
      <c r="L1" s="3183"/>
      <c r="M1" s="3184"/>
      <c r="N1" s="3184"/>
      <c r="O1" s="3184"/>
      <c r="P1" s="3515"/>
      <c r="Q1" s="3185"/>
      <c r="R1" s="3185"/>
      <c r="S1" s="3185"/>
      <c r="T1" s="3185"/>
      <c r="U1" s="3185"/>
      <c r="V1" s="3185"/>
      <c r="W1" s="3185"/>
      <c r="X1" s="3185"/>
      <c r="Y1" s="3185"/>
      <c r="Z1" s="3185"/>
      <c r="AA1" s="3185"/>
      <c r="AB1" s="3185"/>
      <c r="AC1" s="3186"/>
    </row>
    <row r="2" spans="1:29" s="3187" customFormat="1" ht="28.5" customHeight="1">
      <c r="A2" s="423" t="s">
        <v>3028</v>
      </c>
      <c r="B2" s="3188" t="e">
        <f>ROUND(B3*D3/10000,0)</f>
        <v>#VALUE!</v>
      </c>
      <c r="C2" s="3189"/>
      <c r="D2" s="3189"/>
      <c r="E2" s="3190"/>
      <c r="F2" s="3191"/>
      <c r="G2" s="3192"/>
      <c r="H2" s="3192"/>
      <c r="I2" s="3192"/>
      <c r="J2" s="3192"/>
      <c r="K2" s="3192"/>
      <c r="L2" s="3193"/>
      <c r="M2" s="3194"/>
      <c r="N2" s="3194"/>
      <c r="O2" s="3194"/>
      <c r="P2" s="3515"/>
      <c r="Q2" s="3185"/>
      <c r="R2" s="3185"/>
      <c r="S2" s="3185"/>
      <c r="T2" s="3185"/>
      <c r="U2" s="3185"/>
      <c r="V2" s="3185"/>
      <c r="W2" s="3185"/>
      <c r="X2" s="3185"/>
      <c r="Y2" s="3185"/>
      <c r="Z2" s="3185"/>
      <c r="AA2" s="3185"/>
      <c r="AB2" s="3185"/>
      <c r="AC2" s="3186"/>
    </row>
    <row r="3" spans="1:29" s="3187" customFormat="1" ht="28.5" customHeight="1" thickBot="1">
      <c r="A3" s="509" t="s">
        <v>3029</v>
      </c>
      <c r="B3" s="3195">
        <f>C50</f>
        <v>4</v>
      </c>
      <c r="C3" s="3196" t="s">
        <v>3030</v>
      </c>
      <c r="D3" s="3197" t="e">
        <f>SUMIF('[4]数据-汇总表'!$C19:$C33,D1,'[4]数据-汇总表'!$E19:$E33)</f>
        <v>#VALUE!</v>
      </c>
      <c r="E3" s="3190"/>
      <c r="F3" s="3191"/>
      <c r="G3" s="3192"/>
      <c r="H3" s="3192"/>
      <c r="I3" s="3192"/>
      <c r="J3" s="3192"/>
      <c r="K3" s="3198"/>
      <c r="L3" s="3193"/>
      <c r="M3" s="3194"/>
      <c r="N3" s="3194"/>
      <c r="O3" s="3194"/>
      <c r="P3" s="3515"/>
      <c r="Q3" s="3185"/>
      <c r="R3" s="3185"/>
      <c r="S3" s="3185"/>
      <c r="T3" s="3185"/>
      <c r="U3" s="3185"/>
      <c r="V3" s="3185"/>
      <c r="W3" s="3185"/>
      <c r="X3" s="3185"/>
      <c r="Y3" s="3185"/>
      <c r="Z3" s="3185"/>
      <c r="AA3" s="3185"/>
      <c r="AB3" s="3185"/>
      <c r="AC3" s="3186"/>
    </row>
    <row r="4" spans="1:29" ht="15">
      <c r="A4" s="3200" t="s">
        <v>3031</v>
      </c>
      <c r="B4" s="3201"/>
      <c r="C4" s="3895" t="s">
        <v>3032</v>
      </c>
      <c r="D4" s="3896"/>
      <c r="E4" s="3897" t="s">
        <v>3033</v>
      </c>
      <c r="F4" s="3898"/>
      <c r="G4" s="3895" t="s">
        <v>3034</v>
      </c>
      <c r="H4" s="3896"/>
      <c r="I4" s="3895" t="s">
        <v>3035</v>
      </c>
      <c r="J4" s="3896"/>
      <c r="K4" s="3202" t="s">
        <v>3036</v>
      </c>
      <c r="L4" s="3203"/>
      <c r="M4" s="3204"/>
      <c r="N4" s="3204"/>
      <c r="O4" s="3204"/>
      <c r="P4" s="3936" t="s">
        <v>3037</v>
      </c>
      <c r="Q4" s="3900"/>
      <c r="R4" s="3905" t="s">
        <v>3033</v>
      </c>
      <c r="S4" s="3906"/>
      <c r="T4" s="3905" t="s">
        <v>3034</v>
      </c>
      <c r="U4" s="3906"/>
      <c r="V4" s="3921" t="s">
        <v>3035</v>
      </c>
      <c r="W4" s="3921"/>
      <c r="X4" s="3205"/>
      <c r="Y4" s="3905" t="s">
        <v>3037</v>
      </c>
      <c r="Z4" s="3906"/>
      <c r="AA4" s="3892" t="s">
        <v>3033</v>
      </c>
      <c r="AB4" s="3892" t="s">
        <v>3034</v>
      </c>
      <c r="AC4" s="3892" t="s">
        <v>3035</v>
      </c>
    </row>
    <row r="5" spans="1:29" ht="15">
      <c r="A5" s="3207"/>
      <c r="B5" s="3208"/>
      <c r="C5" s="3909" t="str">
        <f>'不动产比较法-商业'!C5:D5</f>
        <v>雄安交通枢纽</v>
      </c>
      <c r="D5" s="3910"/>
      <c r="E5" s="3911" t="s">
        <v>3136</v>
      </c>
      <c r="F5" s="3912"/>
      <c r="G5" s="3913" t="s">
        <v>3137</v>
      </c>
      <c r="H5" s="3910"/>
      <c r="I5" s="3909" t="str">
        <f>G5</f>
        <v>凯德国贸</v>
      </c>
      <c r="J5" s="3910"/>
      <c r="K5" s="3202"/>
      <c r="L5" s="3203"/>
      <c r="M5" s="3204"/>
      <c r="N5" s="3204"/>
      <c r="O5" s="3204"/>
      <c r="P5" s="3937"/>
      <c r="Q5" s="3902"/>
      <c r="R5" s="3907"/>
      <c r="S5" s="3908"/>
      <c r="T5" s="3907"/>
      <c r="U5" s="3908"/>
      <c r="V5" s="3921"/>
      <c r="W5" s="3921"/>
      <c r="X5" s="3205"/>
      <c r="Y5" s="3907"/>
      <c r="Z5" s="3908"/>
      <c r="AA5" s="3893"/>
      <c r="AB5" s="3893"/>
      <c r="AC5" s="3893"/>
    </row>
    <row r="6" spans="1:29" ht="15.75" thickBot="1">
      <c r="A6" s="3209"/>
      <c r="B6" s="3210"/>
      <c r="C6" s="3914" t="s">
        <v>3041</v>
      </c>
      <c r="D6" s="3915"/>
      <c r="E6" s="3939" t="str">
        <f>'不动产比较法-商业'!E6:F6</f>
        <v>天津市南开区</v>
      </c>
      <c r="F6" s="3917"/>
      <c r="G6" s="3918" t="s">
        <v>3138</v>
      </c>
      <c r="H6" s="3915"/>
      <c r="I6" s="3914" t="str">
        <f>G6</f>
        <v>天津市河西区</v>
      </c>
      <c r="J6" s="3915"/>
      <c r="K6" s="3202" t="s">
        <v>3045</v>
      </c>
      <c r="L6" s="3203"/>
      <c r="M6" s="3204"/>
      <c r="N6" s="3204"/>
      <c r="O6" s="3204"/>
      <c r="P6" s="3938"/>
      <c r="Q6" s="3904"/>
      <c r="R6" s="3907"/>
      <c r="S6" s="3908"/>
      <c r="T6" s="3919"/>
      <c r="U6" s="3920"/>
      <c r="V6" s="3921"/>
      <c r="W6" s="3921"/>
      <c r="X6" s="3205"/>
      <c r="Y6" s="3919"/>
      <c r="Z6" s="3920"/>
      <c r="AA6" s="3894"/>
      <c r="AB6" s="3894"/>
      <c r="AC6" s="3894"/>
    </row>
    <row r="7" spans="1:29" s="3224" customFormat="1" ht="15.75" thickBot="1">
      <c r="A7" s="3211"/>
      <c r="B7" s="3212" t="s">
        <v>3046</v>
      </c>
      <c r="C7" s="3213">
        <f>'[4]数据-取费表'!B2</f>
        <v>43901</v>
      </c>
      <c r="D7" s="3214">
        <v>100</v>
      </c>
      <c r="E7" s="3215">
        <f>C7</f>
        <v>43901</v>
      </c>
      <c r="F7" s="3216">
        <f>SUMIF(59:59,YEAR(E7)&amp;"-"&amp;MONTH(E7),60:60)</f>
        <v>100</v>
      </c>
      <c r="G7" s="3215">
        <f>C7</f>
        <v>43901</v>
      </c>
      <c r="H7" s="3214">
        <f>SUMIF(59:59,YEAR(G7)&amp;"-"&amp;MONTH(G7),60:60)</f>
        <v>100</v>
      </c>
      <c r="I7" s="3215">
        <f>C7</f>
        <v>43901</v>
      </c>
      <c r="J7" s="3214">
        <f>SUMIF(59:59,YEAR(I7)&amp;"-"&amp;MONTH(I7),60:60)</f>
        <v>100</v>
      </c>
      <c r="K7" s="3217"/>
      <c r="L7" s="3218"/>
      <c r="M7" s="3219"/>
      <c r="N7" s="3219"/>
      <c r="O7" s="3219"/>
      <c r="P7" s="3923" t="s">
        <v>3049</v>
      </c>
      <c r="Q7" s="3923"/>
      <c r="R7" s="3220" t="s">
        <v>3054</v>
      </c>
      <c r="S7" s="3221">
        <f t="shared" ref="S7:S15" si="0">F7</f>
        <v>100</v>
      </c>
      <c r="T7" s="3220" t="s">
        <v>3054</v>
      </c>
      <c r="U7" s="3221">
        <f t="shared" ref="U7:U15" si="1">H7</f>
        <v>100</v>
      </c>
      <c r="V7" s="3220" t="s">
        <v>3054</v>
      </c>
      <c r="W7" s="3221">
        <f t="shared" ref="W7:W15" si="2">J7</f>
        <v>100</v>
      </c>
      <c r="X7" s="3222"/>
      <c r="Y7" s="3922" t="s">
        <v>3049</v>
      </c>
      <c r="Z7" s="3924"/>
      <c r="AA7" s="3223">
        <f>D7/F7</f>
        <v>1</v>
      </c>
      <c r="AB7" s="3223">
        <f>D7/H7</f>
        <v>1</v>
      </c>
      <c r="AC7" s="3223">
        <f>D7/J7</f>
        <v>1</v>
      </c>
    </row>
    <row r="8" spans="1:29" s="3224" customFormat="1" ht="15.75" thickBot="1">
      <c r="A8" s="3225"/>
      <c r="B8" s="3226" t="s">
        <v>3050</v>
      </c>
      <c r="C8" s="3227" t="s">
        <v>3051</v>
      </c>
      <c r="D8" s="3214">
        <v>100</v>
      </c>
      <c r="E8" s="3227" t="s">
        <v>3052</v>
      </c>
      <c r="F8" s="3216">
        <f>SUMIF(62:62,E8,63:63)-SUMIF(62:62,C8,63:63)+100</f>
        <v>100</v>
      </c>
      <c r="G8" s="3227" t="s">
        <v>3052</v>
      </c>
      <c r="H8" s="3214">
        <f>SUMIF(62:62,G8,63:63)-SUMIF(62:62,C8,63:63)+100</f>
        <v>100</v>
      </c>
      <c r="I8" s="3227" t="s">
        <v>3052</v>
      </c>
      <c r="J8" s="3214">
        <f>SUMIF(62:62,I8,63:63)-SUMIF(62:62,C8,63:63)+100</f>
        <v>100</v>
      </c>
      <c r="K8" s="3217"/>
      <c r="L8" s="3218"/>
      <c r="M8" s="3219"/>
      <c r="N8" s="3219"/>
      <c r="O8" s="3219"/>
      <c r="P8" s="3923" t="s">
        <v>3053</v>
      </c>
      <c r="Q8" s="3924"/>
      <c r="R8" s="3220" t="s">
        <v>3054</v>
      </c>
      <c r="S8" s="3221">
        <f t="shared" si="0"/>
        <v>100</v>
      </c>
      <c r="T8" s="3220" t="s">
        <v>3054</v>
      </c>
      <c r="U8" s="3221">
        <f t="shared" si="1"/>
        <v>100</v>
      </c>
      <c r="V8" s="3220" t="s">
        <v>3054</v>
      </c>
      <c r="W8" s="3221">
        <f t="shared" si="2"/>
        <v>100</v>
      </c>
      <c r="X8" s="3222"/>
      <c r="Y8" s="3922" t="s">
        <v>3053</v>
      </c>
      <c r="Z8" s="3924"/>
      <c r="AA8" s="3223">
        <f t="shared" ref="AA8:AA47" si="3">D8/F8</f>
        <v>1</v>
      </c>
      <c r="AB8" s="3223">
        <f t="shared" ref="AB8:AB47" si="4">D8/H8</f>
        <v>1</v>
      </c>
      <c r="AC8" s="3223">
        <f t="shared" ref="AC8:AC47" si="5">D8/J8</f>
        <v>1</v>
      </c>
    </row>
    <row r="9" spans="1:29" s="3224" customFormat="1" ht="15">
      <c r="A9" s="3228"/>
      <c r="B9" s="3229" t="s">
        <v>3055</v>
      </c>
      <c r="C9" s="3230" t="s">
        <v>3139</v>
      </c>
      <c r="D9" s="3231">
        <v>100</v>
      </c>
      <c r="E9" s="3232" t="s">
        <v>3140</v>
      </c>
      <c r="F9" s="3231">
        <f>SUMIF(64:64,E9,65:65)-SUMIF(64:64,C9,65:65)+100</f>
        <v>100</v>
      </c>
      <c r="G9" s="3233" t="s">
        <v>3140</v>
      </c>
      <c r="H9" s="3231">
        <f>SUMIF(64:64,G9,65:65)-SUMIF(64:64,C9,65:65)+100</f>
        <v>100</v>
      </c>
      <c r="I9" s="3233" t="s">
        <v>3140</v>
      </c>
      <c r="J9" s="3231">
        <f>SUMIF(64:64,I9,65:65)-SUMIF(64:64,C9,65:65)+100</f>
        <v>100</v>
      </c>
      <c r="K9" s="3217"/>
      <c r="L9" s="3218"/>
      <c r="M9" s="3219"/>
      <c r="N9" s="3219"/>
      <c r="O9" s="3219"/>
      <c r="P9" s="3925" t="s">
        <v>3057</v>
      </c>
      <c r="Q9" s="3235" t="str">
        <f t="shared" ref="Q9:Q15" si="6">B9</f>
        <v>用途</v>
      </c>
      <c r="R9" s="3220" t="s">
        <v>3054</v>
      </c>
      <c r="S9" s="3221">
        <f t="shared" si="0"/>
        <v>100</v>
      </c>
      <c r="T9" s="3220" t="s">
        <v>3054</v>
      </c>
      <c r="U9" s="3221">
        <f t="shared" si="1"/>
        <v>100</v>
      </c>
      <c r="V9" s="3220" t="s">
        <v>3054</v>
      </c>
      <c r="W9" s="3221">
        <f t="shared" si="2"/>
        <v>100</v>
      </c>
      <c r="X9" s="3222"/>
      <c r="Y9" s="3926" t="s">
        <v>3058</v>
      </c>
      <c r="Z9" s="3236" t="str">
        <f t="shared" ref="Z9:Z15" si="7">Q9</f>
        <v>用途</v>
      </c>
      <c r="AA9" s="3223">
        <f t="shared" si="3"/>
        <v>1</v>
      </c>
      <c r="AB9" s="3223">
        <f t="shared" si="4"/>
        <v>1</v>
      </c>
      <c r="AC9" s="3223">
        <f t="shared" si="5"/>
        <v>1</v>
      </c>
    </row>
    <row r="10" spans="1:29" s="3245" customFormat="1" ht="27">
      <c r="A10" s="3237"/>
      <c r="B10" s="3226" t="s">
        <v>3059</v>
      </c>
      <c r="C10" s="3238" t="s">
        <v>3060</v>
      </c>
      <c r="D10" s="3239">
        <v>100</v>
      </c>
      <c r="E10" s="3238" t="s">
        <v>3060</v>
      </c>
      <c r="F10" s="3239">
        <f>SUMIF(66:66,E10,67:67)-SUMIF(66:66,C10,67:67)+100</f>
        <v>100</v>
      </c>
      <c r="G10" s="3240" t="s">
        <v>3060</v>
      </c>
      <c r="H10" s="3239">
        <f>SUMIF(66:66,G10,67:67)-SUMIF(66:66,C10,67:67)+100</f>
        <v>100</v>
      </c>
      <c r="I10" s="3238" t="s">
        <v>3060</v>
      </c>
      <c r="J10" s="3239">
        <f>SUMIF(66:66,I10,67:67)-SUMIF(66:66,C10,67:67)+100</f>
        <v>100</v>
      </c>
      <c r="K10" s="3241"/>
      <c r="L10" s="3242"/>
      <c r="M10" s="3243"/>
      <c r="N10" s="3243"/>
      <c r="O10" s="3243"/>
      <c r="P10" s="3925"/>
      <c r="Q10" s="3235" t="str">
        <f t="shared" si="6"/>
        <v>土地使用年限（年）</v>
      </c>
      <c r="R10" s="3220" t="s">
        <v>3054</v>
      </c>
      <c r="S10" s="3221">
        <f t="shared" si="0"/>
        <v>100</v>
      </c>
      <c r="T10" s="3220" t="s">
        <v>3054</v>
      </c>
      <c r="U10" s="3221">
        <f t="shared" si="1"/>
        <v>100</v>
      </c>
      <c r="V10" s="3220" t="s">
        <v>3054</v>
      </c>
      <c r="W10" s="3221">
        <f t="shared" si="2"/>
        <v>100</v>
      </c>
      <c r="X10" s="3222"/>
      <c r="Y10" s="3926"/>
      <c r="Z10" s="3236" t="str">
        <f t="shared" si="7"/>
        <v>土地使用年限（年）</v>
      </c>
      <c r="AA10" s="3223">
        <f t="shared" si="3"/>
        <v>1</v>
      </c>
      <c r="AB10" s="3223">
        <f t="shared" si="4"/>
        <v>1</v>
      </c>
      <c r="AC10" s="3223">
        <f t="shared" si="5"/>
        <v>1</v>
      </c>
    </row>
    <row r="11" spans="1:29" ht="15.75" thickBot="1">
      <c r="A11" s="3246"/>
      <c r="B11" s="3226" t="s">
        <v>3061</v>
      </c>
      <c r="C11" s="3247">
        <v>2</v>
      </c>
      <c r="D11" s="3239">
        <v>100</v>
      </c>
      <c r="E11" s="3247">
        <v>2</v>
      </c>
      <c r="F11" s="3239">
        <f>LOOKUP(E11,69:69,70:70)-LOOKUP(C11,69:69,70:70)+100</f>
        <v>100</v>
      </c>
      <c r="G11" s="3248">
        <v>2</v>
      </c>
      <c r="H11" s="3239">
        <f>LOOKUP(G11,69:69,70:70)-LOOKUP(C11,69:69,70:70)+100</f>
        <v>100</v>
      </c>
      <c r="I11" s="3247">
        <v>2</v>
      </c>
      <c r="J11" s="3239">
        <f>LOOKUP(I11,69:69,70:70)-LOOKUP(C11,69:69,70:70)+100</f>
        <v>100</v>
      </c>
      <c r="K11" s="3241"/>
      <c r="L11" s="3249"/>
      <c r="M11" s="3204"/>
      <c r="N11" s="3204"/>
      <c r="O11" s="3204"/>
      <c r="P11" s="3925"/>
      <c r="Q11" s="3235" t="str">
        <f t="shared" si="6"/>
        <v>容积率</v>
      </c>
      <c r="R11" s="3220" t="s">
        <v>3054</v>
      </c>
      <c r="S11" s="3221">
        <f t="shared" si="0"/>
        <v>100</v>
      </c>
      <c r="T11" s="3220" t="s">
        <v>3054</v>
      </c>
      <c r="U11" s="3221">
        <f t="shared" si="1"/>
        <v>100</v>
      </c>
      <c r="V11" s="3220" t="s">
        <v>3054</v>
      </c>
      <c r="W11" s="3221">
        <f t="shared" si="2"/>
        <v>100</v>
      </c>
      <c r="X11" s="3222"/>
      <c r="Y11" s="3926"/>
      <c r="Z11" s="3236" t="str">
        <f t="shared" si="7"/>
        <v>容积率</v>
      </c>
      <c r="AA11" s="3223">
        <f t="shared" si="3"/>
        <v>1</v>
      </c>
      <c r="AB11" s="3223">
        <f t="shared" si="4"/>
        <v>1</v>
      </c>
      <c r="AC11" s="3223">
        <f t="shared" si="5"/>
        <v>1</v>
      </c>
    </row>
    <row r="12" spans="1:29" s="3224" customFormat="1" ht="15.75" hidden="1" thickBot="1">
      <c r="A12" s="3251"/>
      <c r="B12" s="3252">
        <v>111</v>
      </c>
      <c r="C12" s="3253"/>
      <c r="D12" s="3254">
        <v>100</v>
      </c>
      <c r="E12" s="3253"/>
      <c r="F12" s="3239">
        <f>SUMIF(71:71,E12,72:72)-SUMIF(71:71,C12,72:72)+100</f>
        <v>100</v>
      </c>
      <c r="G12" s="3516"/>
      <c r="H12" s="3239">
        <f>SUMIF(71:71,G12,72:72)-SUMIF(71:71,C12,72:72)+100</f>
        <v>100</v>
      </c>
      <c r="I12" s="3253"/>
      <c r="J12" s="3239">
        <f>SUMIF(71:71,I12,72:72)-SUMIF(71:71,C12,72:72)+100</f>
        <v>100</v>
      </c>
      <c r="K12" s="3257"/>
      <c r="L12" s="3218"/>
      <c r="M12" s="3219"/>
      <c r="N12" s="3219"/>
      <c r="O12" s="3219"/>
      <c r="P12" s="3925"/>
      <c r="Q12" s="3235">
        <f t="shared" si="6"/>
        <v>111</v>
      </c>
      <c r="R12" s="3220" t="s">
        <v>3054</v>
      </c>
      <c r="S12" s="3221">
        <f t="shared" si="0"/>
        <v>100</v>
      </c>
      <c r="T12" s="3220" t="s">
        <v>3054</v>
      </c>
      <c r="U12" s="3221">
        <f t="shared" si="1"/>
        <v>100</v>
      </c>
      <c r="V12" s="3220" t="s">
        <v>3054</v>
      </c>
      <c r="W12" s="3221">
        <f t="shared" si="2"/>
        <v>100</v>
      </c>
      <c r="X12" s="3222"/>
      <c r="Y12" s="3926"/>
      <c r="Z12" s="3236">
        <f t="shared" si="7"/>
        <v>111</v>
      </c>
      <c r="AA12" s="3223">
        <f>D12/F12</f>
        <v>1</v>
      </c>
      <c r="AB12" s="3223">
        <f>D12/H12</f>
        <v>1</v>
      </c>
      <c r="AC12" s="3223">
        <f>D12/J12</f>
        <v>1</v>
      </c>
    </row>
    <row r="13" spans="1:29" ht="15.75" hidden="1" thickBot="1">
      <c r="A13" s="3251"/>
      <c r="B13" s="3252">
        <v>111</v>
      </c>
      <c r="C13" s="3255"/>
      <c r="D13" s="3258">
        <v>100</v>
      </c>
      <c r="E13" s="3253"/>
      <c r="F13" s="3239">
        <f>SUMIF(73:73,E13,74:74)-SUMIF(73:73,C13,74:74)+100</f>
        <v>100</v>
      </c>
      <c r="G13" s="3516"/>
      <c r="H13" s="3258">
        <f>SUMIF(73:73,G13,74:74)-SUMIF(73:73,C13,74:74)+100</f>
        <v>100</v>
      </c>
      <c r="I13" s="3253"/>
      <c r="J13" s="3258">
        <f>SUMIF(73:73,I13,74:74)-SUMIF(73:73,C13,74:74)+100</f>
        <v>100</v>
      </c>
      <c r="K13" s="3257"/>
      <c r="L13" s="3259"/>
      <c r="M13" s="3204"/>
      <c r="N13" s="3204"/>
      <c r="O13" s="3204"/>
      <c r="P13" s="3925"/>
      <c r="Q13" s="3235">
        <f t="shared" si="6"/>
        <v>111</v>
      </c>
      <c r="R13" s="3220" t="s">
        <v>3062</v>
      </c>
      <c r="S13" s="3221">
        <f t="shared" si="0"/>
        <v>100</v>
      </c>
      <c r="T13" s="3220" t="s">
        <v>3062</v>
      </c>
      <c r="U13" s="3221">
        <f t="shared" si="1"/>
        <v>100</v>
      </c>
      <c r="V13" s="3220" t="s">
        <v>3062</v>
      </c>
      <c r="W13" s="3221">
        <f t="shared" si="2"/>
        <v>100</v>
      </c>
      <c r="X13" s="3222"/>
      <c r="Y13" s="3926"/>
      <c r="Z13" s="3236">
        <f t="shared" si="7"/>
        <v>111</v>
      </c>
      <c r="AA13" s="3223">
        <f t="shared" si="3"/>
        <v>1</v>
      </c>
      <c r="AB13" s="3223">
        <f t="shared" si="4"/>
        <v>1</v>
      </c>
      <c r="AC13" s="3223">
        <f t="shared" si="5"/>
        <v>1</v>
      </c>
    </row>
    <row r="14" spans="1:29" ht="15.75" hidden="1" thickBot="1">
      <c r="A14" s="3260"/>
      <c r="B14" s="3261">
        <v>111</v>
      </c>
      <c r="C14" s="3262"/>
      <c r="D14" s="3263">
        <v>100</v>
      </c>
      <c r="E14" s="3517"/>
      <c r="F14" s="3263">
        <f>SUMIF(75:75,E14,76:76)-SUMIF(75:75,C14,76:76)+100</f>
        <v>100</v>
      </c>
      <c r="G14" s="3516"/>
      <c r="H14" s="3263">
        <f>SUMIF(75:75,G14,76:76)-SUMIF(75:75,C14,76:76)+100</f>
        <v>100</v>
      </c>
      <c r="I14" s="3253"/>
      <c r="J14" s="3263">
        <f>SUMIF(75:75,I14,76:76)-SUMIF(75:75,C14,76:76)+100</f>
        <v>100</v>
      </c>
      <c r="K14" s="3257"/>
      <c r="L14" s="3259"/>
      <c r="M14" s="3204"/>
      <c r="N14" s="3204"/>
      <c r="O14" s="3204"/>
      <c r="P14" s="3925"/>
      <c r="Q14" s="3235">
        <f t="shared" si="6"/>
        <v>111</v>
      </c>
      <c r="R14" s="3220" t="s">
        <v>3062</v>
      </c>
      <c r="S14" s="3221">
        <f t="shared" si="0"/>
        <v>100</v>
      </c>
      <c r="T14" s="3220" t="s">
        <v>3062</v>
      </c>
      <c r="U14" s="3221">
        <f t="shared" si="1"/>
        <v>100</v>
      </c>
      <c r="V14" s="3220" t="s">
        <v>3062</v>
      </c>
      <c r="W14" s="3221">
        <f t="shared" si="2"/>
        <v>100</v>
      </c>
      <c r="X14" s="3222"/>
      <c r="Y14" s="3926"/>
      <c r="Z14" s="3236">
        <f t="shared" si="7"/>
        <v>111</v>
      </c>
      <c r="AA14" s="3223">
        <f t="shared" si="3"/>
        <v>1</v>
      </c>
      <c r="AB14" s="3223">
        <f t="shared" si="4"/>
        <v>1</v>
      </c>
      <c r="AC14" s="3223">
        <f t="shared" si="5"/>
        <v>1</v>
      </c>
    </row>
    <row r="15" spans="1:29" ht="15">
      <c r="A15" s="3264" t="s">
        <v>3063</v>
      </c>
      <c r="B15" s="3518" t="s">
        <v>584</v>
      </c>
      <c r="C15" s="3519" t="str">
        <f>[4]估价对象房地状况!C5</f>
        <v>较好</v>
      </c>
      <c r="D15" s="3267">
        <v>100</v>
      </c>
      <c r="E15" s="3270"/>
      <c r="F15" s="3267">
        <f>SUMIF(77:77,E16,78:78)-SUMIF(77:77,C16,78:78)+100</f>
        <v>100</v>
      </c>
      <c r="G15" s="3268"/>
      <c r="H15" s="3267">
        <f>SUMIF(77:77,G16,78:78)-SUMIF(77:77,C16,78:78)+100</f>
        <v>100</v>
      </c>
      <c r="I15" s="3268"/>
      <c r="J15" s="3267">
        <f>SUMIF(77:77,I16,78:78)-SUMIF(77:77,C16,78:78)+100</f>
        <v>100</v>
      </c>
      <c r="K15" s="3271"/>
      <c r="L15" s="3259"/>
      <c r="M15" s="3204"/>
      <c r="N15" s="3204"/>
      <c r="O15" s="3204"/>
      <c r="P15" s="3927" t="s">
        <v>3064</v>
      </c>
      <c r="Q15" s="3272" t="str">
        <f t="shared" si="6"/>
        <v>办公集聚程度</v>
      </c>
      <c r="R15" s="3273" t="s">
        <v>3054</v>
      </c>
      <c r="S15" s="3274">
        <f t="shared" si="0"/>
        <v>100</v>
      </c>
      <c r="T15" s="3273" t="s">
        <v>3054</v>
      </c>
      <c r="U15" s="3274">
        <f t="shared" si="1"/>
        <v>100</v>
      </c>
      <c r="V15" s="3273" t="s">
        <v>3054</v>
      </c>
      <c r="W15" s="3274">
        <f t="shared" si="2"/>
        <v>100</v>
      </c>
      <c r="X15" s="3205"/>
      <c r="Y15" s="3927" t="s">
        <v>3064</v>
      </c>
      <c r="Z15" s="3275" t="str">
        <f t="shared" si="7"/>
        <v>办公集聚程度</v>
      </c>
      <c r="AA15" s="3276">
        <f t="shared" si="3"/>
        <v>1</v>
      </c>
      <c r="AB15" s="3276">
        <f t="shared" si="4"/>
        <v>1</v>
      </c>
      <c r="AC15" s="3276">
        <f t="shared" si="5"/>
        <v>1</v>
      </c>
    </row>
    <row r="16" spans="1:29" ht="15">
      <c r="A16" s="3277"/>
      <c r="B16" s="3520"/>
      <c r="C16" s="3521" t="s">
        <v>3065</v>
      </c>
      <c r="D16" s="3280"/>
      <c r="E16" s="3279" t="s">
        <v>3065</v>
      </c>
      <c r="F16" s="3280"/>
      <c r="G16" s="3521" t="s">
        <v>3065</v>
      </c>
      <c r="H16" s="3282"/>
      <c r="I16" s="3279" t="s">
        <v>3065</v>
      </c>
      <c r="J16" s="3280"/>
      <c r="K16" s="3283"/>
      <c r="L16" s="3259"/>
      <c r="M16" s="3204"/>
      <c r="N16" s="3204"/>
      <c r="O16" s="3204"/>
      <c r="P16" s="3928"/>
      <c r="Q16" s="3272"/>
      <c r="R16" s="3273"/>
      <c r="S16" s="3274"/>
      <c r="T16" s="3273"/>
      <c r="U16" s="3274"/>
      <c r="V16" s="3273"/>
      <c r="W16" s="3274"/>
      <c r="X16" s="3205"/>
      <c r="Y16" s="3928"/>
      <c r="Z16" s="3275"/>
      <c r="AA16" s="3276">
        <v>1</v>
      </c>
      <c r="AB16" s="3276">
        <v>1</v>
      </c>
      <c r="AC16" s="3276">
        <v>1</v>
      </c>
    </row>
    <row r="17" spans="1:29" ht="15">
      <c r="A17" s="3277"/>
      <c r="B17" s="3522" t="s">
        <v>295</v>
      </c>
      <c r="C17" s="3523" t="str">
        <f>[4]估价对象房地状况!C6</f>
        <v>好</v>
      </c>
      <c r="D17" s="3282">
        <v>100</v>
      </c>
      <c r="E17" s="3288"/>
      <c r="F17" s="3282">
        <f>SUMIF(79:79,E18,80:80)-SUMIF(79:79,C18,80:80)+100</f>
        <v>99</v>
      </c>
      <c r="G17" s="3286"/>
      <c r="H17" s="3289">
        <f>SUMIF(79:79,G18,80:80)-SUMIF(79:79,C18,80:80)+100</f>
        <v>99</v>
      </c>
      <c r="I17" s="3286"/>
      <c r="J17" s="3289">
        <f>SUMIF(79:79,I18,80:80)-SUMIF(79:79,C18,80:80)+100</f>
        <v>99</v>
      </c>
      <c r="K17" s="3271">
        <v>1</v>
      </c>
      <c r="L17" s="3259"/>
      <c r="M17" s="3204"/>
      <c r="N17" s="3204"/>
      <c r="O17" s="3204"/>
      <c r="P17" s="3928"/>
      <c r="Q17" s="3272" t="str">
        <f>B17</f>
        <v>交通便捷度</v>
      </c>
      <c r="R17" s="3273" t="s">
        <v>3054</v>
      </c>
      <c r="S17" s="3274">
        <f>F17</f>
        <v>99</v>
      </c>
      <c r="T17" s="3273" t="s">
        <v>3054</v>
      </c>
      <c r="U17" s="3274">
        <f>H17</f>
        <v>99</v>
      </c>
      <c r="V17" s="3273" t="s">
        <v>3054</v>
      </c>
      <c r="W17" s="3274">
        <f>J17</f>
        <v>99</v>
      </c>
      <c r="X17" s="3205"/>
      <c r="Y17" s="3928"/>
      <c r="Z17" s="3275" t="str">
        <f>Q17</f>
        <v>交通便捷度</v>
      </c>
      <c r="AA17" s="3276">
        <f t="shared" si="3"/>
        <v>1.0101010101010102</v>
      </c>
      <c r="AB17" s="3276">
        <f t="shared" si="4"/>
        <v>1.0101010101010102</v>
      </c>
      <c r="AC17" s="3276">
        <f t="shared" si="5"/>
        <v>1.0101010101010102</v>
      </c>
    </row>
    <row r="18" spans="1:29" ht="15">
      <c r="A18" s="3277"/>
      <c r="B18" s="3524"/>
      <c r="C18" s="3525" t="s">
        <v>3066</v>
      </c>
      <c r="D18" s="3282"/>
      <c r="E18" s="3293" t="s">
        <v>3065</v>
      </c>
      <c r="F18" s="3282"/>
      <c r="G18" s="3292" t="s">
        <v>3065</v>
      </c>
      <c r="H18" s="3280"/>
      <c r="I18" s="3292" t="s">
        <v>3065</v>
      </c>
      <c r="J18" s="3280"/>
      <c r="K18" s="3283"/>
      <c r="L18" s="3259"/>
      <c r="M18" s="3204"/>
      <c r="N18" s="3204"/>
      <c r="O18" s="3204"/>
      <c r="P18" s="3928"/>
      <c r="Q18" s="3272"/>
      <c r="R18" s="3273"/>
      <c r="S18" s="3274"/>
      <c r="T18" s="3273"/>
      <c r="U18" s="3274"/>
      <c r="V18" s="3273"/>
      <c r="W18" s="3274"/>
      <c r="X18" s="3205"/>
      <c r="Y18" s="3928"/>
      <c r="Z18" s="3275"/>
      <c r="AA18" s="3276">
        <v>1</v>
      </c>
      <c r="AB18" s="3276">
        <v>1</v>
      </c>
      <c r="AC18" s="3276">
        <v>1</v>
      </c>
    </row>
    <row r="19" spans="1:29" ht="15">
      <c r="A19" s="3277"/>
      <c r="B19" s="3526" t="s">
        <v>3067</v>
      </c>
      <c r="C19" s="3523" t="str">
        <f>[4]估价对象房地状况!C7</f>
        <v>较好</v>
      </c>
      <c r="D19" s="3289">
        <v>100</v>
      </c>
      <c r="E19" s="3297"/>
      <c r="F19" s="3289">
        <f>SUMIF(81:81,E20,82:82)-SUMIF(81:81,C20,82:82)+100</f>
        <v>100</v>
      </c>
      <c r="G19" s="3295"/>
      <c r="H19" s="3282">
        <f>SUMIF(81:81,G20,82:82)-SUMIF(81:81,C20,82:82)+100</f>
        <v>100</v>
      </c>
      <c r="I19" s="3295"/>
      <c r="J19" s="3282">
        <f>SUMIF(81:81,I20,82:82)-SUMIF(81:81,C20,82:82)+100</f>
        <v>100</v>
      </c>
      <c r="K19" s="3271"/>
      <c r="L19" s="3259"/>
      <c r="M19" s="3204"/>
      <c r="N19" s="3204"/>
      <c r="O19" s="3204"/>
      <c r="P19" s="3928"/>
      <c r="Q19" s="3272" t="str">
        <f>B19</f>
        <v>公共配套设施</v>
      </c>
      <c r="R19" s="3273" t="s">
        <v>3054</v>
      </c>
      <c r="S19" s="3274">
        <f>F19</f>
        <v>100</v>
      </c>
      <c r="T19" s="3273" t="s">
        <v>3054</v>
      </c>
      <c r="U19" s="3274">
        <f>H19</f>
        <v>100</v>
      </c>
      <c r="V19" s="3273" t="s">
        <v>3062</v>
      </c>
      <c r="W19" s="3274">
        <f>J19</f>
        <v>100</v>
      </c>
      <c r="X19" s="3205"/>
      <c r="Y19" s="3928"/>
      <c r="Z19" s="3275" t="str">
        <f>Q19</f>
        <v>公共配套设施</v>
      </c>
      <c r="AA19" s="3276">
        <f t="shared" si="3"/>
        <v>1</v>
      </c>
      <c r="AB19" s="3276">
        <f t="shared" si="4"/>
        <v>1</v>
      </c>
      <c r="AC19" s="3276">
        <f t="shared" si="5"/>
        <v>1</v>
      </c>
    </row>
    <row r="20" spans="1:29" ht="15">
      <c r="A20" s="3277"/>
      <c r="B20" s="3524"/>
      <c r="C20" s="3521" t="s">
        <v>3065</v>
      </c>
      <c r="D20" s="3280"/>
      <c r="E20" s="3299" t="s">
        <v>3065</v>
      </c>
      <c r="F20" s="3280"/>
      <c r="G20" s="3298" t="s">
        <v>3065</v>
      </c>
      <c r="H20" s="3280"/>
      <c r="I20" s="3298" t="s">
        <v>3065</v>
      </c>
      <c r="J20" s="3280"/>
      <c r="K20" s="3283"/>
      <c r="L20" s="3259"/>
      <c r="M20" s="3204"/>
      <c r="N20" s="3204"/>
      <c r="O20" s="3204"/>
      <c r="P20" s="3928"/>
      <c r="Q20" s="3272"/>
      <c r="R20" s="3273"/>
      <c r="S20" s="3274"/>
      <c r="T20" s="3273"/>
      <c r="U20" s="3274"/>
      <c r="V20" s="3273"/>
      <c r="W20" s="3274"/>
      <c r="X20" s="3205"/>
      <c r="Y20" s="3928"/>
      <c r="Z20" s="3275"/>
      <c r="AA20" s="3276">
        <v>1</v>
      </c>
      <c r="AB20" s="3276">
        <v>1</v>
      </c>
      <c r="AC20" s="3276">
        <v>1</v>
      </c>
    </row>
    <row r="21" spans="1:29" ht="15" hidden="1">
      <c r="A21" s="3277"/>
      <c r="B21" s="3527" t="s">
        <v>3068</v>
      </c>
      <c r="C21" s="3523" t="str">
        <f>[4]估价对象房地状况!C8</f>
        <v>七通</v>
      </c>
      <c r="D21" s="3289">
        <v>100</v>
      </c>
      <c r="E21" s="3297"/>
      <c r="F21" s="3289">
        <f>SUMIF(83:83,E22,84:84)-SUMIF(83:83,C22,84:84)+100</f>
        <v>100</v>
      </c>
      <c r="G21" s="3295"/>
      <c r="H21" s="3289">
        <f>SUMIF(83:83,G22,84:84)-SUMIF(83:83,C22,84:84)+100</f>
        <v>100</v>
      </c>
      <c r="I21" s="3295"/>
      <c r="J21" s="3289">
        <f>SUMIF(83:83,I22,84:84)-SUMIF(83:83,C22,84:84)+100</f>
        <v>100</v>
      </c>
      <c r="K21" s="3271"/>
      <c r="L21" s="3259"/>
      <c r="M21" s="3204"/>
      <c r="N21" s="3204"/>
      <c r="O21" s="3204"/>
      <c r="P21" s="3928"/>
      <c r="Q21" s="3272" t="str">
        <f>B21</f>
        <v>基础设施水平</v>
      </c>
      <c r="R21" s="3273" t="s">
        <v>3054</v>
      </c>
      <c r="S21" s="3274">
        <f>F21</f>
        <v>100</v>
      </c>
      <c r="T21" s="3273" t="s">
        <v>3054</v>
      </c>
      <c r="U21" s="3274">
        <f>H21</f>
        <v>100</v>
      </c>
      <c r="V21" s="3273" t="s">
        <v>3054</v>
      </c>
      <c r="W21" s="3274">
        <f>J21</f>
        <v>100</v>
      </c>
      <c r="X21" s="3205"/>
      <c r="Y21" s="3928"/>
      <c r="Z21" s="3275" t="str">
        <f>Q21</f>
        <v>基础设施水平</v>
      </c>
      <c r="AA21" s="3276">
        <f>D21/F21</f>
        <v>1</v>
      </c>
      <c r="AB21" s="3276">
        <f>D21/H21</f>
        <v>1</v>
      </c>
      <c r="AC21" s="3276">
        <f>D21/J21</f>
        <v>1</v>
      </c>
    </row>
    <row r="22" spans="1:29" ht="15" hidden="1">
      <c r="A22" s="3277"/>
      <c r="B22" s="3528"/>
      <c r="C22" s="3525" t="s">
        <v>3069</v>
      </c>
      <c r="D22" s="3280"/>
      <c r="E22" s="3279" t="s">
        <v>3069</v>
      </c>
      <c r="F22" s="3280"/>
      <c r="G22" s="3521" t="s">
        <v>3069</v>
      </c>
      <c r="H22" s="3280"/>
      <c r="I22" s="3521" t="s">
        <v>3069</v>
      </c>
      <c r="J22" s="3280"/>
      <c r="K22" s="3302"/>
      <c r="L22" s="3259"/>
      <c r="M22" s="3204"/>
      <c r="N22" s="3204"/>
      <c r="O22" s="3204"/>
      <c r="P22" s="3928"/>
      <c r="Q22" s="3272"/>
      <c r="R22" s="3273"/>
      <c r="S22" s="3274"/>
      <c r="T22" s="3273"/>
      <c r="U22" s="3274"/>
      <c r="V22" s="3273"/>
      <c r="W22" s="3274"/>
      <c r="X22" s="3205"/>
      <c r="Y22" s="3928"/>
      <c r="Z22" s="3275"/>
      <c r="AA22" s="3276">
        <v>1</v>
      </c>
      <c r="AB22" s="3276">
        <v>1</v>
      </c>
      <c r="AC22" s="3276">
        <v>1</v>
      </c>
    </row>
    <row r="23" spans="1:29" ht="15">
      <c r="A23" s="3277"/>
      <c r="B23" s="3522" t="s">
        <v>3141</v>
      </c>
      <c r="C23" s="3523" t="str">
        <f>[4]估价对象房地状况!C9</f>
        <v>较好</v>
      </c>
      <c r="D23" s="3282">
        <v>100</v>
      </c>
      <c r="E23" s="3288"/>
      <c r="F23" s="3282">
        <f>SUMIF(85:85,E24,86:86)-SUMIF(85:85,C24,86:86)+100</f>
        <v>100</v>
      </c>
      <c r="G23" s="3286"/>
      <c r="H23" s="3282">
        <f>SUMIF(85:85,G24,86:86)-SUMIF(85:85,C24,86:86)+100</f>
        <v>100</v>
      </c>
      <c r="I23" s="3286"/>
      <c r="J23" s="3282">
        <f>SUMIF(85:85,I24,86:86)-SUMIF(85:85,C24,86:86)+100</f>
        <v>100</v>
      </c>
      <c r="K23" s="3271"/>
      <c r="L23" s="3259"/>
      <c r="M23" s="3204"/>
      <c r="N23" s="3204"/>
      <c r="O23" s="3204"/>
      <c r="P23" s="3928"/>
      <c r="Q23" s="3272" t="str">
        <f>B23</f>
        <v>环境质量</v>
      </c>
      <c r="R23" s="3273" t="s">
        <v>3054</v>
      </c>
      <c r="S23" s="3274">
        <f>F23</f>
        <v>100</v>
      </c>
      <c r="T23" s="3273" t="s">
        <v>3054</v>
      </c>
      <c r="U23" s="3274">
        <f>H23</f>
        <v>100</v>
      </c>
      <c r="V23" s="3273" t="s">
        <v>3054</v>
      </c>
      <c r="W23" s="3274">
        <f>J23</f>
        <v>100</v>
      </c>
      <c r="X23" s="3205"/>
      <c r="Y23" s="3928"/>
      <c r="Z23" s="3275" t="str">
        <f>Q23</f>
        <v>环境质量</v>
      </c>
      <c r="AA23" s="3276">
        <f t="shared" si="3"/>
        <v>1</v>
      </c>
      <c r="AB23" s="3276">
        <f t="shared" si="4"/>
        <v>1</v>
      </c>
      <c r="AC23" s="3276">
        <f t="shared" si="5"/>
        <v>1</v>
      </c>
    </row>
    <row r="24" spans="1:29" ht="15.75" thickBot="1">
      <c r="A24" s="3277"/>
      <c r="B24" s="3528"/>
      <c r="C24" s="3521" t="s">
        <v>3065</v>
      </c>
      <c r="D24" s="3280"/>
      <c r="E24" s="3299" t="s">
        <v>3065</v>
      </c>
      <c r="F24" s="3280"/>
      <c r="G24" s="3298" t="s">
        <v>3065</v>
      </c>
      <c r="H24" s="3280"/>
      <c r="I24" s="3298" t="s">
        <v>3065</v>
      </c>
      <c r="J24" s="3280"/>
      <c r="K24" s="3283"/>
      <c r="L24" s="3259"/>
      <c r="M24" s="3204"/>
      <c r="N24" s="3204"/>
      <c r="O24" s="3204"/>
      <c r="P24" s="3928"/>
      <c r="Q24" s="3272"/>
      <c r="R24" s="3273"/>
      <c r="S24" s="3274"/>
      <c r="T24" s="3273"/>
      <c r="U24" s="3274"/>
      <c r="V24" s="3273"/>
      <c r="W24" s="3274"/>
      <c r="X24" s="3205"/>
      <c r="Y24" s="3928"/>
      <c r="Z24" s="3275"/>
      <c r="AA24" s="3276">
        <v>1</v>
      </c>
      <c r="AB24" s="3276">
        <v>1</v>
      </c>
      <c r="AC24" s="3276">
        <v>1</v>
      </c>
    </row>
    <row r="25" spans="1:29" ht="27.75" hidden="1" thickBot="1">
      <c r="A25" s="3207"/>
      <c r="B25" s="3522" t="s">
        <v>3142</v>
      </c>
      <c r="C25" s="3256"/>
      <c r="D25" s="3258">
        <v>100</v>
      </c>
      <c r="E25" s="3255"/>
      <c r="F25" s="3258">
        <f>SUMIF(87:87,E26,88:88)-SUMIF(87:87,C26,88:88)+100</f>
        <v>100</v>
      </c>
      <c r="G25" s="3256"/>
      <c r="H25" s="3258">
        <f>SUMIF(87:87,G26,88:88)-SUMIF(87:87,C26,88:88)+100</f>
        <v>100</v>
      </c>
      <c r="I25" s="3255"/>
      <c r="J25" s="3258">
        <f>SUMIF(87:87,I26,88:88)-SUMIF(87:87,C26,88:88)+100</f>
        <v>100</v>
      </c>
      <c r="K25" s="3271"/>
      <c r="L25" s="3259"/>
      <c r="M25" s="3204"/>
      <c r="N25" s="3204"/>
      <c r="O25" s="3204"/>
      <c r="P25" s="3928"/>
      <c r="Q25" s="3272" t="str">
        <f>B25</f>
        <v>毗邻道路的类型与等级</v>
      </c>
      <c r="R25" s="3273" t="s">
        <v>3054</v>
      </c>
      <c r="S25" s="3274">
        <f>F25</f>
        <v>100</v>
      </c>
      <c r="T25" s="3273" t="s">
        <v>3054</v>
      </c>
      <c r="U25" s="3274">
        <f>H25</f>
        <v>100</v>
      </c>
      <c r="V25" s="3273" t="s">
        <v>3054</v>
      </c>
      <c r="W25" s="3274">
        <f>J25</f>
        <v>100</v>
      </c>
      <c r="X25" s="3205"/>
      <c r="Y25" s="3928"/>
      <c r="Z25" s="3275" t="str">
        <f>Q25</f>
        <v>毗邻道路的类型与等级</v>
      </c>
      <c r="AA25" s="3276">
        <f t="shared" si="3"/>
        <v>1</v>
      </c>
      <c r="AB25" s="3276">
        <f t="shared" si="4"/>
        <v>1</v>
      </c>
      <c r="AC25" s="3276">
        <f t="shared" si="5"/>
        <v>1</v>
      </c>
    </row>
    <row r="26" spans="1:29" ht="15.75" hidden="1" thickBot="1">
      <c r="A26" s="3207"/>
      <c r="B26" s="3524"/>
      <c r="C26" s="3529"/>
      <c r="D26" s="3258"/>
      <c r="E26" s="3305"/>
      <c r="F26" s="3258"/>
      <c r="G26" s="3529"/>
      <c r="H26" s="3258"/>
      <c r="I26" s="3305"/>
      <c r="J26" s="3258"/>
      <c r="K26" s="3283"/>
      <c r="L26" s="3259"/>
      <c r="M26" s="3204"/>
      <c r="N26" s="3204"/>
      <c r="O26" s="3204"/>
      <c r="P26" s="3928"/>
      <c r="Q26" s="3272"/>
      <c r="R26" s="3273"/>
      <c r="S26" s="3274"/>
      <c r="T26" s="3273"/>
      <c r="U26" s="3274"/>
      <c r="V26" s="3273"/>
      <c r="W26" s="3274"/>
      <c r="X26" s="3205"/>
      <c r="Y26" s="3928"/>
      <c r="Z26" s="3275"/>
      <c r="AA26" s="3276">
        <v>1</v>
      </c>
      <c r="AB26" s="3276">
        <v>1</v>
      </c>
      <c r="AC26" s="3276">
        <v>1</v>
      </c>
    </row>
    <row r="27" spans="1:29" ht="15.75" hidden="1" thickBot="1">
      <c r="A27" s="3277"/>
      <c r="B27" s="3524" t="s">
        <v>3075</v>
      </c>
      <c r="C27" s="3529"/>
      <c r="D27" s="3258">
        <v>100</v>
      </c>
      <c r="E27" s="3305"/>
      <c r="F27" s="3258">
        <f>SUMIF(89:89,E27,90:90)-SUMIF(89:89,C27,90:90)+100</f>
        <v>100</v>
      </c>
      <c r="G27" s="3529"/>
      <c r="H27" s="3258">
        <f>SUMIF(89:89,G27,90:90)-SUMIF(89:89,C27,90:90)+100</f>
        <v>100</v>
      </c>
      <c r="I27" s="3305"/>
      <c r="J27" s="3258">
        <f>SUMIF(89:89,I27,90:90)-SUMIF(89:89,C27,90:90)+100</f>
        <v>100</v>
      </c>
      <c r="K27" s="3241"/>
      <c r="L27" s="3259"/>
      <c r="M27" s="3204"/>
      <c r="N27" s="3204"/>
      <c r="O27" s="3204"/>
      <c r="P27" s="3928"/>
      <c r="Q27" s="3272" t="str">
        <f t="shared" ref="Q27:Q47" si="8">B27</f>
        <v>楼层</v>
      </c>
      <c r="R27" s="3273" t="s">
        <v>3054</v>
      </c>
      <c r="S27" s="3274">
        <f>F27</f>
        <v>100</v>
      </c>
      <c r="T27" s="3273" t="s">
        <v>3054</v>
      </c>
      <c r="U27" s="3274">
        <f>H27</f>
        <v>100</v>
      </c>
      <c r="V27" s="3273" t="s">
        <v>3054</v>
      </c>
      <c r="W27" s="3274">
        <f>J27</f>
        <v>100</v>
      </c>
      <c r="X27" s="3205"/>
      <c r="Y27" s="3928"/>
      <c r="Z27" s="3275" t="str">
        <f>Q27</f>
        <v>楼层</v>
      </c>
      <c r="AA27" s="3276">
        <f t="shared" si="3"/>
        <v>1</v>
      </c>
      <c r="AB27" s="3276">
        <f t="shared" si="4"/>
        <v>1</v>
      </c>
      <c r="AC27" s="3276">
        <f t="shared" si="5"/>
        <v>1</v>
      </c>
    </row>
    <row r="28" spans="1:29" s="3224" customFormat="1" ht="15.75" hidden="1" thickBot="1">
      <c r="A28" s="3308"/>
      <c r="B28" s="3522" t="s">
        <v>745</v>
      </c>
      <c r="C28" s="3530"/>
      <c r="D28" s="3310">
        <v>100</v>
      </c>
      <c r="E28" s="3309"/>
      <c r="F28" s="3310">
        <f>SUMIF(91:91,E28,92:92)-SUMIF(91:91,C28,92:92)+100</f>
        <v>100</v>
      </c>
      <c r="G28" s="3530"/>
      <c r="H28" s="3310">
        <f>SUMIF(91:91,G28,92:92)-SUMIF(91:91,C28,92:92)+100</f>
        <v>100</v>
      </c>
      <c r="I28" s="3309"/>
      <c r="J28" s="3310">
        <f>SUMIF(91:91,I28,92:92)-SUMIF(91:91,C28,92:92)+100</f>
        <v>100</v>
      </c>
      <c r="K28" s="3241"/>
      <c r="L28" s="3218"/>
      <c r="M28" s="3219"/>
      <c r="N28" s="3219"/>
      <c r="O28" s="3219"/>
      <c r="P28" s="3928"/>
      <c r="Q28" s="3235" t="str">
        <f t="shared" si="8"/>
        <v>朝向</v>
      </c>
      <c r="R28" s="3220" t="s">
        <v>3062</v>
      </c>
      <c r="S28" s="3221">
        <f>F28</f>
        <v>100</v>
      </c>
      <c r="T28" s="3220" t="s">
        <v>3054</v>
      </c>
      <c r="U28" s="3221">
        <f>H28</f>
        <v>100</v>
      </c>
      <c r="V28" s="3220" t="s">
        <v>3054</v>
      </c>
      <c r="W28" s="3221">
        <f>J28</f>
        <v>100</v>
      </c>
      <c r="X28" s="3222"/>
      <c r="Y28" s="3928"/>
      <c r="Z28" s="3236" t="str">
        <f>Q28</f>
        <v>朝向</v>
      </c>
      <c r="AA28" s="3276">
        <f>D28/F28</f>
        <v>1</v>
      </c>
      <c r="AB28" s="3276">
        <f>D28/H28</f>
        <v>1</v>
      </c>
      <c r="AC28" s="3276">
        <f>D28/J28</f>
        <v>1</v>
      </c>
    </row>
    <row r="29" spans="1:29" ht="15.75" hidden="1" thickBot="1">
      <c r="A29" s="3277"/>
      <c r="B29" s="3531">
        <v>111</v>
      </c>
      <c r="C29" s="3256"/>
      <c r="D29" s="3258">
        <v>100</v>
      </c>
      <c r="E29" s="3253"/>
      <c r="F29" s="3258">
        <f>SUMIF(93:93,E29,94:94)-SUMIF(93:93,C29,94:94)+100</f>
        <v>100</v>
      </c>
      <c r="G29" s="3516"/>
      <c r="H29" s="3258">
        <f>SUMIF(93:93,G29,94:94)-SUMIF(93:93,C29,94:94)+100</f>
        <v>100</v>
      </c>
      <c r="I29" s="3253"/>
      <c r="J29" s="3258">
        <f>SUMIF(93:93,I29,94:94)-SUMIF(93:93,C29,94:94)+100</f>
        <v>100</v>
      </c>
      <c r="K29" s="3257"/>
      <c r="L29" s="3259"/>
      <c r="M29" s="3204"/>
      <c r="N29" s="3204"/>
      <c r="O29" s="3204"/>
      <c r="P29" s="3928"/>
      <c r="Q29" s="3272">
        <f t="shared" si="8"/>
        <v>111</v>
      </c>
      <c r="R29" s="3273" t="s">
        <v>3048</v>
      </c>
      <c r="S29" s="3274">
        <f t="shared" ref="S29:S47" si="9">F29</f>
        <v>100</v>
      </c>
      <c r="T29" s="3273" t="s">
        <v>3062</v>
      </c>
      <c r="U29" s="3274">
        <f t="shared" ref="U29:U47" si="10">H29</f>
        <v>100</v>
      </c>
      <c r="V29" s="3273" t="s">
        <v>3054</v>
      </c>
      <c r="W29" s="3274">
        <f t="shared" ref="W29:W47" si="11">J29</f>
        <v>100</v>
      </c>
      <c r="X29" s="3205"/>
      <c r="Y29" s="3928"/>
      <c r="Z29" s="3275">
        <f t="shared" ref="Z29:Z47" si="12">Q29</f>
        <v>111</v>
      </c>
      <c r="AA29" s="3276">
        <f t="shared" si="3"/>
        <v>1</v>
      </c>
      <c r="AB29" s="3276">
        <f t="shared" si="4"/>
        <v>1</v>
      </c>
      <c r="AC29" s="3276">
        <f t="shared" si="5"/>
        <v>1</v>
      </c>
    </row>
    <row r="30" spans="1:29" ht="15.75" hidden="1" thickBot="1">
      <c r="A30" s="3277"/>
      <c r="B30" s="3531">
        <v>111</v>
      </c>
      <c r="C30" s="3256"/>
      <c r="D30" s="3258">
        <v>100</v>
      </c>
      <c r="E30" s="3253"/>
      <c r="F30" s="3258">
        <f>SUMIF(95:95,E30,96:96)-SUMIF(95:95,C30,96:96)+100</f>
        <v>100</v>
      </c>
      <c r="G30" s="3516"/>
      <c r="H30" s="3258">
        <f>SUMIF(95:95,G30,96:96)-SUMIF(95:95,C30,96:96)+100</f>
        <v>100</v>
      </c>
      <c r="I30" s="3253"/>
      <c r="J30" s="3258">
        <f>SUMIF(95:95,I30,96:96)-SUMIF(95:95,C30,96:96)+100</f>
        <v>100</v>
      </c>
      <c r="K30" s="3257"/>
      <c r="L30" s="3259"/>
      <c r="M30" s="3204"/>
      <c r="N30" s="3204"/>
      <c r="O30" s="3204"/>
      <c r="P30" s="3928"/>
      <c r="Q30" s="3272">
        <f t="shared" si="8"/>
        <v>111</v>
      </c>
      <c r="R30" s="3273" t="s">
        <v>3054</v>
      </c>
      <c r="S30" s="3274">
        <f t="shared" si="9"/>
        <v>100</v>
      </c>
      <c r="T30" s="3273" t="s">
        <v>3054</v>
      </c>
      <c r="U30" s="3274">
        <f t="shared" si="10"/>
        <v>100</v>
      </c>
      <c r="V30" s="3273" t="s">
        <v>3054</v>
      </c>
      <c r="W30" s="3274">
        <f t="shared" si="11"/>
        <v>100</v>
      </c>
      <c r="X30" s="3205"/>
      <c r="Y30" s="3928"/>
      <c r="Z30" s="3275">
        <f t="shared" si="12"/>
        <v>111</v>
      </c>
      <c r="AA30" s="3276">
        <f t="shared" si="3"/>
        <v>1</v>
      </c>
      <c r="AB30" s="3276">
        <f t="shared" si="4"/>
        <v>1</v>
      </c>
      <c r="AC30" s="3276">
        <f t="shared" si="5"/>
        <v>1</v>
      </c>
    </row>
    <row r="31" spans="1:29" ht="15.75" hidden="1" thickBot="1">
      <c r="A31" s="3277"/>
      <c r="B31" s="3531">
        <v>111</v>
      </c>
      <c r="C31" s="3256"/>
      <c r="D31" s="3258">
        <v>100</v>
      </c>
      <c r="E31" s="3253"/>
      <c r="F31" s="3258">
        <f>SUMIF(97:97,E31,98:98)-SUMIF(97:97,C31,98:98)+100</f>
        <v>100</v>
      </c>
      <c r="G31" s="3516"/>
      <c r="H31" s="3258">
        <f>SUMIF(97:97,G31,98:98)-SUMIF(97:97,C31,98:98)+100</f>
        <v>100</v>
      </c>
      <c r="I31" s="3253"/>
      <c r="J31" s="3258">
        <f>SUMIF(97:97,I31,98:98)-SUMIF(97:97,C31,98:98)+100</f>
        <v>100</v>
      </c>
      <c r="K31" s="3257"/>
      <c r="L31" s="3259"/>
      <c r="M31" s="3204"/>
      <c r="N31" s="3204"/>
      <c r="O31" s="3204"/>
      <c r="P31" s="3928"/>
      <c r="Q31" s="3272">
        <f t="shared" si="8"/>
        <v>111</v>
      </c>
      <c r="R31" s="3273" t="s">
        <v>3054</v>
      </c>
      <c r="S31" s="3274">
        <f t="shared" si="9"/>
        <v>100</v>
      </c>
      <c r="T31" s="3273" t="s">
        <v>3054</v>
      </c>
      <c r="U31" s="3274">
        <f t="shared" si="10"/>
        <v>100</v>
      </c>
      <c r="V31" s="3273" t="s">
        <v>3054</v>
      </c>
      <c r="W31" s="3274">
        <f t="shared" si="11"/>
        <v>100</v>
      </c>
      <c r="X31" s="3205"/>
      <c r="Y31" s="3928"/>
      <c r="Z31" s="3275">
        <f t="shared" si="12"/>
        <v>111</v>
      </c>
      <c r="AA31" s="3276">
        <f t="shared" si="3"/>
        <v>1</v>
      </c>
      <c r="AB31" s="3276">
        <f t="shared" si="4"/>
        <v>1</v>
      </c>
      <c r="AC31" s="3276">
        <f t="shared" si="5"/>
        <v>1</v>
      </c>
    </row>
    <row r="32" spans="1:29" ht="15.75" hidden="1" thickBot="1">
      <c r="A32" s="3312"/>
      <c r="B32" s="3532">
        <v>111</v>
      </c>
      <c r="C32" s="3533"/>
      <c r="D32" s="3263">
        <v>100</v>
      </c>
      <c r="E32" s="3517"/>
      <c r="F32" s="3263">
        <f>SUMIF(99:99,E32,100:100)-SUMIF(99:99,C32,100:100)+100</f>
        <v>100</v>
      </c>
      <c r="G32" s="3516"/>
      <c r="H32" s="3263">
        <f>SUMIF(99:99,G32,100:100)-SUMIF(99:99,C32,100:100)+100</f>
        <v>100</v>
      </c>
      <c r="I32" s="3253"/>
      <c r="J32" s="3263">
        <f>SUMIF(99:99,I32,100:100)-SUMIF(99:99,C32,100:100)+100</f>
        <v>100</v>
      </c>
      <c r="K32" s="3257"/>
      <c r="L32" s="3259"/>
      <c r="M32" s="3204"/>
      <c r="N32" s="3204"/>
      <c r="O32" s="3204"/>
      <c r="P32" s="3928"/>
      <c r="Q32" s="3272">
        <f t="shared" si="8"/>
        <v>111</v>
      </c>
      <c r="R32" s="3273" t="s">
        <v>3054</v>
      </c>
      <c r="S32" s="3274">
        <f t="shared" si="9"/>
        <v>100</v>
      </c>
      <c r="T32" s="3273" t="s">
        <v>3054</v>
      </c>
      <c r="U32" s="3274">
        <f t="shared" si="10"/>
        <v>100</v>
      </c>
      <c r="V32" s="3273" t="s">
        <v>3054</v>
      </c>
      <c r="W32" s="3274">
        <f t="shared" si="11"/>
        <v>100</v>
      </c>
      <c r="X32" s="3205"/>
      <c r="Y32" s="3928"/>
      <c r="Z32" s="3275">
        <f t="shared" si="12"/>
        <v>111</v>
      </c>
      <c r="AA32" s="3276">
        <f t="shared" si="3"/>
        <v>1</v>
      </c>
      <c r="AB32" s="3276">
        <f t="shared" si="4"/>
        <v>1</v>
      </c>
      <c r="AC32" s="3276">
        <f t="shared" si="5"/>
        <v>1</v>
      </c>
    </row>
    <row r="33" spans="1:29" ht="15">
      <c r="A33" s="3314" t="s">
        <v>3143</v>
      </c>
      <c r="B33" s="3315" t="s">
        <v>3144</v>
      </c>
      <c r="C33" s="3534" t="s">
        <v>3145</v>
      </c>
      <c r="D33" s="3317">
        <v>100</v>
      </c>
      <c r="E33" s="3534" t="s">
        <v>3145</v>
      </c>
      <c r="F33" s="3306">
        <f>SUMIF(101:101,E33,102:102)-SUMIF(101:101,C33,102:102)+100</f>
        <v>100</v>
      </c>
      <c r="G33" s="3534" t="s">
        <v>3145</v>
      </c>
      <c r="H33" s="3258">
        <f>SUMIF(101:101,G33,102:102)-SUMIF(101:101,C33,102:102)+100</f>
        <v>100</v>
      </c>
      <c r="I33" s="3534" t="s">
        <v>3145</v>
      </c>
      <c r="J33" s="3317">
        <f>SUMIF(101:101,I33,102:102)-SUMIF(101:101,C33,102:102)+100</f>
        <v>100</v>
      </c>
      <c r="K33" s="3241"/>
      <c r="L33" s="3259"/>
      <c r="M33" s="3204"/>
      <c r="N33" s="3204"/>
      <c r="O33" s="3204"/>
      <c r="P33" s="3929" t="s">
        <v>3146</v>
      </c>
      <c r="Q33" s="3272" t="str">
        <f t="shared" si="8"/>
        <v>建筑类型</v>
      </c>
      <c r="R33" s="3273" t="s">
        <v>3054</v>
      </c>
      <c r="S33" s="3274">
        <f t="shared" si="9"/>
        <v>100</v>
      </c>
      <c r="T33" s="3273" t="s">
        <v>3054</v>
      </c>
      <c r="U33" s="3274">
        <f t="shared" si="10"/>
        <v>100</v>
      </c>
      <c r="V33" s="3273" t="s">
        <v>3054</v>
      </c>
      <c r="W33" s="3274">
        <f t="shared" si="11"/>
        <v>100</v>
      </c>
      <c r="X33" s="3205"/>
      <c r="Y33" s="3930" t="s">
        <v>3078</v>
      </c>
      <c r="Z33" s="3275" t="str">
        <f t="shared" si="12"/>
        <v>建筑类型</v>
      </c>
      <c r="AA33" s="3276">
        <f t="shared" si="3"/>
        <v>1</v>
      </c>
      <c r="AB33" s="3276">
        <f t="shared" si="4"/>
        <v>1</v>
      </c>
      <c r="AC33" s="3276">
        <f t="shared" si="5"/>
        <v>1</v>
      </c>
    </row>
    <row r="34" spans="1:29" s="3328" customFormat="1" ht="15" hidden="1">
      <c r="A34" s="3318"/>
      <c r="B34" s="3304" t="s">
        <v>725</v>
      </c>
      <c r="C34" s="3319">
        <v>100</v>
      </c>
      <c r="D34" s="3239">
        <v>100</v>
      </c>
      <c r="E34" s="3248">
        <f>C34</f>
        <v>100</v>
      </c>
      <c r="F34" s="3320">
        <f>LOOKUP(E34,104:104,105:105)-LOOKUP(C34,104:104,105:105)+100</f>
        <v>100</v>
      </c>
      <c r="G34" s="3247">
        <f>C34</f>
        <v>100</v>
      </c>
      <c r="H34" s="3239">
        <f>LOOKUP(G34,104:104,105:105)-LOOKUP(C34,104:104,105:105)+100</f>
        <v>100</v>
      </c>
      <c r="I34" s="3247">
        <f>C34</f>
        <v>100</v>
      </c>
      <c r="J34" s="3239">
        <f>LOOKUP(I34,104:104,105:105)-LOOKUP(C34,104:104,105:105)+100</f>
        <v>100</v>
      </c>
      <c r="K34" s="3257"/>
      <c r="L34" s="3249"/>
      <c r="M34" s="3321"/>
      <c r="N34" s="3321"/>
      <c r="O34" s="3321"/>
      <c r="P34" s="3930"/>
      <c r="Q34" s="3323" t="str">
        <f t="shared" si="8"/>
        <v>项目建筑规模</v>
      </c>
      <c r="R34" s="3324" t="s">
        <v>3054</v>
      </c>
      <c r="S34" s="3325">
        <f t="shared" si="9"/>
        <v>100</v>
      </c>
      <c r="T34" s="3324" t="s">
        <v>3054</v>
      </c>
      <c r="U34" s="3325">
        <f t="shared" si="10"/>
        <v>100</v>
      </c>
      <c r="V34" s="3324" t="s">
        <v>3054</v>
      </c>
      <c r="W34" s="3325">
        <f t="shared" si="11"/>
        <v>100</v>
      </c>
      <c r="X34" s="3326"/>
      <c r="Y34" s="3930"/>
      <c r="Z34" s="3327" t="str">
        <f t="shared" si="12"/>
        <v>项目建筑规模</v>
      </c>
      <c r="AA34" s="3276">
        <f t="shared" si="3"/>
        <v>1</v>
      </c>
      <c r="AB34" s="3276">
        <f t="shared" si="4"/>
        <v>1</v>
      </c>
      <c r="AC34" s="3276">
        <f t="shared" si="5"/>
        <v>1</v>
      </c>
    </row>
    <row r="35" spans="1:29" ht="15">
      <c r="A35" s="3329"/>
      <c r="B35" s="3304" t="s">
        <v>726</v>
      </c>
      <c r="C35" s="3535" t="s">
        <v>3020</v>
      </c>
      <c r="D35" s="3258">
        <v>100</v>
      </c>
      <c r="E35" s="3535" t="s">
        <v>3020</v>
      </c>
      <c r="F35" s="3306">
        <f>SUMIF(106:106,E35,107:107)-SUMIF(106:106,C35,107:107)+100</f>
        <v>100</v>
      </c>
      <c r="G35" s="3535" t="s">
        <v>3020</v>
      </c>
      <c r="H35" s="3258">
        <f>SUMIF(106:106,G35,107:107)-SUMIF(106:106,C35,107:107)+100</f>
        <v>100</v>
      </c>
      <c r="I35" s="3535" t="s">
        <v>3020</v>
      </c>
      <c r="J35" s="3258">
        <f>SUMIF(106:106,I35,107:107)-SUMIF(106:106,C35,107:107)+100</f>
        <v>100</v>
      </c>
      <c r="K35" s="3241"/>
      <c r="L35" s="3259"/>
      <c r="M35" s="3204"/>
      <c r="N35" s="3204"/>
      <c r="O35" s="3204"/>
      <c r="P35" s="3930"/>
      <c r="Q35" s="3272" t="str">
        <f t="shared" si="8"/>
        <v>建筑结构</v>
      </c>
      <c r="R35" s="3273" t="s">
        <v>3048</v>
      </c>
      <c r="S35" s="3274">
        <f t="shared" si="9"/>
        <v>100</v>
      </c>
      <c r="T35" s="3273" t="s">
        <v>3048</v>
      </c>
      <c r="U35" s="3274">
        <f t="shared" si="10"/>
        <v>100</v>
      </c>
      <c r="V35" s="3273" t="s">
        <v>3048</v>
      </c>
      <c r="W35" s="3274">
        <f t="shared" si="11"/>
        <v>100</v>
      </c>
      <c r="X35" s="3205"/>
      <c r="Y35" s="3930"/>
      <c r="Z35" s="3275" t="str">
        <f t="shared" si="12"/>
        <v>建筑结构</v>
      </c>
      <c r="AA35" s="3276">
        <f t="shared" si="3"/>
        <v>1</v>
      </c>
      <c r="AB35" s="3276">
        <f t="shared" si="4"/>
        <v>1</v>
      </c>
      <c r="AC35" s="3276">
        <f t="shared" si="5"/>
        <v>1</v>
      </c>
    </row>
    <row r="36" spans="1:29" ht="15">
      <c r="A36" s="3329"/>
      <c r="B36" s="3304" t="s">
        <v>3079</v>
      </c>
      <c r="C36" s="3535" t="s">
        <v>3080</v>
      </c>
      <c r="D36" s="3258">
        <v>100</v>
      </c>
      <c r="E36" s="3535" t="s">
        <v>3147</v>
      </c>
      <c r="F36" s="3306">
        <f>SUMIF(108:108,E36,109:109)-SUMIF(108:108,C36,109:109)+100</f>
        <v>102</v>
      </c>
      <c r="G36" s="3535" t="s">
        <v>3080</v>
      </c>
      <c r="H36" s="3258">
        <f>SUMIF(108:108,G36,109:109)-SUMIF(108:108,C36,109:109)+100</f>
        <v>100</v>
      </c>
      <c r="I36" s="3535" t="s">
        <v>3080</v>
      </c>
      <c r="J36" s="3258">
        <f>SUMIF(108:108,I36,109:109)-SUMIF(108:108,C36,109:109)+100</f>
        <v>100</v>
      </c>
      <c r="K36" s="3241">
        <v>2</v>
      </c>
      <c r="L36" s="3259"/>
      <c r="M36" s="3204"/>
      <c r="N36" s="3204"/>
      <c r="O36" s="3204"/>
      <c r="P36" s="3930"/>
      <c r="Q36" s="3272" t="str">
        <f t="shared" si="8"/>
        <v>公共部分装修</v>
      </c>
      <c r="R36" s="3273" t="s">
        <v>3054</v>
      </c>
      <c r="S36" s="3274">
        <f t="shared" si="9"/>
        <v>102</v>
      </c>
      <c r="T36" s="3273" t="s">
        <v>3054</v>
      </c>
      <c r="U36" s="3274">
        <f t="shared" si="10"/>
        <v>100</v>
      </c>
      <c r="V36" s="3273" t="s">
        <v>3054</v>
      </c>
      <c r="W36" s="3274">
        <f t="shared" si="11"/>
        <v>100</v>
      </c>
      <c r="X36" s="3205"/>
      <c r="Y36" s="3930"/>
      <c r="Z36" s="3275" t="str">
        <f t="shared" si="12"/>
        <v>公共部分装修</v>
      </c>
      <c r="AA36" s="3276">
        <f t="shared" si="3"/>
        <v>0.98039215686274506</v>
      </c>
      <c r="AB36" s="3276">
        <f t="shared" si="4"/>
        <v>1</v>
      </c>
      <c r="AC36" s="3276">
        <f t="shared" si="5"/>
        <v>1</v>
      </c>
    </row>
    <row r="37" spans="1:29" ht="15">
      <c r="A37" s="3329"/>
      <c r="B37" s="3304" t="s">
        <v>3081</v>
      </c>
      <c r="C37" s="3333">
        <v>1</v>
      </c>
      <c r="D37" s="3258">
        <v>100</v>
      </c>
      <c r="E37" s="3333">
        <v>0.85</v>
      </c>
      <c r="F37" s="3306">
        <f>LOOKUP(E37,111:111,112:112)-LOOKUP(C37,111:111,112:112)+100</f>
        <v>99</v>
      </c>
      <c r="G37" s="3333">
        <v>0.85</v>
      </c>
      <c r="H37" s="3306">
        <f>LOOKUP(G37,111:111,112:112)-LOOKUP(C37,111:111,112:112)+100</f>
        <v>99</v>
      </c>
      <c r="I37" s="3333">
        <v>0.85</v>
      </c>
      <c r="J37" s="3258">
        <f>LOOKUP(I37,111:111,112:112)-LOOKUP(C37,111:111,112:112)+100</f>
        <v>99</v>
      </c>
      <c r="K37" s="3241">
        <v>1</v>
      </c>
      <c r="L37" s="3259"/>
      <c r="M37" s="3204"/>
      <c r="N37" s="3204"/>
      <c r="O37" s="3204"/>
      <c r="P37" s="3930"/>
      <c r="Q37" s="3272" t="str">
        <f t="shared" si="8"/>
        <v>成新度</v>
      </c>
      <c r="R37" s="3273" t="s">
        <v>3054</v>
      </c>
      <c r="S37" s="3274">
        <f t="shared" si="9"/>
        <v>99</v>
      </c>
      <c r="T37" s="3273" t="s">
        <v>3054</v>
      </c>
      <c r="U37" s="3274">
        <f t="shared" si="10"/>
        <v>99</v>
      </c>
      <c r="V37" s="3273" t="s">
        <v>3054</v>
      </c>
      <c r="W37" s="3274">
        <f t="shared" si="11"/>
        <v>99</v>
      </c>
      <c r="X37" s="3205"/>
      <c r="Y37" s="3930"/>
      <c r="Z37" s="3275" t="str">
        <f t="shared" si="12"/>
        <v>成新度</v>
      </c>
      <c r="AA37" s="3276">
        <f t="shared" si="3"/>
        <v>1.0101010101010102</v>
      </c>
      <c r="AB37" s="3276">
        <f t="shared" si="4"/>
        <v>1.0101010101010102</v>
      </c>
      <c r="AC37" s="3276">
        <f t="shared" si="5"/>
        <v>1.0101010101010102</v>
      </c>
    </row>
    <row r="38" spans="1:29" s="3224" customFormat="1" ht="15" hidden="1">
      <c r="A38" s="3334"/>
      <c r="B38" s="3304" t="s">
        <v>3148</v>
      </c>
      <c r="C38" s="3535"/>
      <c r="D38" s="3239">
        <v>100</v>
      </c>
      <c r="E38" s="3535"/>
      <c r="F38" s="3306">
        <f>SUMIF(113:113,E38,114:114)-SUMIF(113:113,C38,114:114)+100</f>
        <v>100</v>
      </c>
      <c r="G38" s="3535"/>
      <c r="H38" s="3258">
        <f>SUMIF(113:113,G38,114:114)-SUMIF(113:113,C38,114:114)+100</f>
        <v>100</v>
      </c>
      <c r="I38" s="3535"/>
      <c r="J38" s="3258">
        <f>SUMIF(113:113,I38,114:114)-SUMIF(113:113,C38,114:114)+100</f>
        <v>100</v>
      </c>
      <c r="K38" s="3241"/>
      <c r="L38" s="3218"/>
      <c r="M38" s="3219"/>
      <c r="N38" s="3219"/>
      <c r="O38" s="3219"/>
      <c r="P38" s="3930"/>
      <c r="Q38" s="3235" t="str">
        <f t="shared" si="8"/>
        <v>写字楼等级</v>
      </c>
      <c r="R38" s="3220" t="s">
        <v>3054</v>
      </c>
      <c r="S38" s="3221">
        <f t="shared" si="9"/>
        <v>100</v>
      </c>
      <c r="T38" s="3220" t="s">
        <v>3054</v>
      </c>
      <c r="U38" s="3221">
        <f t="shared" si="10"/>
        <v>100</v>
      </c>
      <c r="V38" s="3220" t="s">
        <v>3054</v>
      </c>
      <c r="W38" s="3221">
        <f t="shared" si="11"/>
        <v>100</v>
      </c>
      <c r="X38" s="3222"/>
      <c r="Y38" s="3930"/>
      <c r="Z38" s="3236" t="str">
        <f t="shared" si="12"/>
        <v>写字楼等级</v>
      </c>
      <c r="AA38" s="3223">
        <f t="shared" si="3"/>
        <v>1</v>
      </c>
      <c r="AB38" s="3223">
        <f t="shared" si="4"/>
        <v>1</v>
      </c>
      <c r="AC38" s="3223">
        <f t="shared" si="5"/>
        <v>1</v>
      </c>
    </row>
    <row r="39" spans="1:29" ht="15">
      <c r="A39" s="3329"/>
      <c r="B39" s="3304" t="s">
        <v>752</v>
      </c>
      <c r="C39" s="3535" t="s">
        <v>3149</v>
      </c>
      <c r="D39" s="3258">
        <v>100</v>
      </c>
      <c r="E39" s="3535" t="s">
        <v>3149</v>
      </c>
      <c r="F39" s="3306">
        <f>SUMIF(115:115,E39,116:116)-SUMIF(115:115,C39,116:116)+100</f>
        <v>100</v>
      </c>
      <c r="G39" s="3535" t="s">
        <v>3149</v>
      </c>
      <c r="H39" s="3258">
        <f>SUMIF(115:115,G39,116:116)-SUMIF(115:115,C39,116:116)+100</f>
        <v>100</v>
      </c>
      <c r="I39" s="3535" t="s">
        <v>3149</v>
      </c>
      <c r="J39" s="3258">
        <f>SUMIF(115:115,I39,116:116)-SUMIF(115:115,C39,116:116)+100</f>
        <v>100</v>
      </c>
      <c r="K39" s="3241"/>
      <c r="L39" s="3259"/>
      <c r="M39" s="3204"/>
      <c r="N39" s="3204"/>
      <c r="O39" s="3204"/>
      <c r="P39" s="3930" t="s">
        <v>549</v>
      </c>
      <c r="Q39" s="3272" t="str">
        <f t="shared" si="8"/>
        <v>物业管理</v>
      </c>
      <c r="R39" s="3273" t="s">
        <v>3062</v>
      </c>
      <c r="S39" s="3274">
        <f t="shared" si="9"/>
        <v>100</v>
      </c>
      <c r="T39" s="3273" t="s">
        <v>3062</v>
      </c>
      <c r="U39" s="3274">
        <f t="shared" si="10"/>
        <v>100</v>
      </c>
      <c r="V39" s="3273" t="s">
        <v>3062</v>
      </c>
      <c r="W39" s="3274">
        <f t="shared" si="11"/>
        <v>100</v>
      </c>
      <c r="X39" s="3205"/>
      <c r="Y39" s="3930" t="s">
        <v>549</v>
      </c>
      <c r="Z39" s="3275" t="str">
        <f t="shared" si="12"/>
        <v>物业管理</v>
      </c>
      <c r="AA39" s="3276">
        <f t="shared" si="3"/>
        <v>1</v>
      </c>
      <c r="AB39" s="3276">
        <f t="shared" si="4"/>
        <v>1</v>
      </c>
      <c r="AC39" s="3276">
        <f t="shared" si="5"/>
        <v>1</v>
      </c>
    </row>
    <row r="40" spans="1:29" ht="15">
      <c r="A40" s="3329"/>
      <c r="B40" s="3335" t="s">
        <v>3082</v>
      </c>
      <c r="C40" s="3535" t="s">
        <v>3069</v>
      </c>
      <c r="D40" s="3258">
        <v>100</v>
      </c>
      <c r="E40" s="3535" t="s">
        <v>3069</v>
      </c>
      <c r="F40" s="3306">
        <f>SUMIF(117:117,E40,118:118)-SUMIF(117:117,C40,118:118)+100</f>
        <v>100</v>
      </c>
      <c r="G40" s="3535" t="s">
        <v>3069</v>
      </c>
      <c r="H40" s="3258">
        <f>SUMIF(117:117,G40,118:118)-SUMIF(117:117,C40,118:118)+100</f>
        <v>100</v>
      </c>
      <c r="I40" s="3535" t="s">
        <v>3069</v>
      </c>
      <c r="J40" s="3258">
        <f>SUMIF(117:117,I40,118:118)-SUMIF(117:117,C40,118:118)+100</f>
        <v>100</v>
      </c>
      <c r="K40" s="3241"/>
      <c r="L40" s="3259"/>
      <c r="M40" s="3204"/>
      <c r="N40" s="3204"/>
      <c r="O40" s="3204"/>
      <c r="P40" s="3930"/>
      <c r="Q40" s="3272" t="str">
        <f t="shared" si="8"/>
        <v>市政基础设施</v>
      </c>
      <c r="R40" s="3273" t="s">
        <v>3054</v>
      </c>
      <c r="S40" s="3274">
        <f t="shared" si="9"/>
        <v>100</v>
      </c>
      <c r="T40" s="3273" t="s">
        <v>3054</v>
      </c>
      <c r="U40" s="3274">
        <f t="shared" si="10"/>
        <v>100</v>
      </c>
      <c r="V40" s="3273" t="s">
        <v>3054</v>
      </c>
      <c r="W40" s="3274">
        <f t="shared" si="11"/>
        <v>100</v>
      </c>
      <c r="X40" s="3205"/>
      <c r="Y40" s="3930"/>
      <c r="Z40" s="3275" t="str">
        <f t="shared" si="12"/>
        <v>市政基础设施</v>
      </c>
      <c r="AA40" s="3276">
        <f t="shared" si="3"/>
        <v>1</v>
      </c>
      <c r="AB40" s="3276">
        <f t="shared" si="4"/>
        <v>1</v>
      </c>
      <c r="AC40" s="3276">
        <f t="shared" si="5"/>
        <v>1</v>
      </c>
    </row>
    <row r="41" spans="1:29" ht="15.75" thickBot="1">
      <c r="A41" s="3329"/>
      <c r="B41" s="3304" t="s">
        <v>3084</v>
      </c>
      <c r="C41" s="3305" t="s">
        <v>3085</v>
      </c>
      <c r="D41" s="3258">
        <v>100</v>
      </c>
      <c r="E41" s="3305" t="s">
        <v>3085</v>
      </c>
      <c r="F41" s="3306">
        <f>SUMIF(119:119,E41,120:120)-SUMIF(119:119,C41,120:120)+100</f>
        <v>100</v>
      </c>
      <c r="G41" s="3305" t="s">
        <v>3150</v>
      </c>
      <c r="H41" s="3258">
        <f>SUMIF(119:119,G41,120:120)-SUMIF(119:119,C41,120:120)+100</f>
        <v>110</v>
      </c>
      <c r="I41" s="3305" t="s">
        <v>3150</v>
      </c>
      <c r="J41" s="3258">
        <f>SUMIF(119:119,I41,120:120)-SUMIF(119:119,C41,120:120)+100</f>
        <v>110</v>
      </c>
      <c r="K41" s="3241">
        <v>10</v>
      </c>
      <c r="L41" s="3259"/>
      <c r="M41" s="3204"/>
      <c r="N41" s="3204"/>
      <c r="O41" s="3204"/>
      <c r="P41" s="3930"/>
      <c r="Q41" s="3272" t="str">
        <f t="shared" si="8"/>
        <v>层高</v>
      </c>
      <c r="R41" s="3273" t="s">
        <v>3054</v>
      </c>
      <c r="S41" s="3274">
        <f t="shared" si="9"/>
        <v>100</v>
      </c>
      <c r="T41" s="3273" t="s">
        <v>3054</v>
      </c>
      <c r="U41" s="3274">
        <f t="shared" si="10"/>
        <v>110</v>
      </c>
      <c r="V41" s="3273" t="s">
        <v>3054</v>
      </c>
      <c r="W41" s="3274">
        <f t="shared" si="11"/>
        <v>110</v>
      </c>
      <c r="X41" s="3205"/>
      <c r="Y41" s="3930"/>
      <c r="Z41" s="3275" t="str">
        <f t="shared" si="12"/>
        <v>层高</v>
      </c>
      <c r="AA41" s="3276">
        <f t="shared" si="3"/>
        <v>1</v>
      </c>
      <c r="AB41" s="3276">
        <f t="shared" si="4"/>
        <v>0.90909090909090906</v>
      </c>
      <c r="AC41" s="3276">
        <f t="shared" si="5"/>
        <v>0.90909090909090906</v>
      </c>
    </row>
    <row r="42" spans="1:29" s="3328" customFormat="1" ht="15.75" hidden="1" thickBot="1">
      <c r="A42" s="3318"/>
      <c r="B42" s="3338" t="s">
        <v>3151</v>
      </c>
      <c r="C42" s="3255"/>
      <c r="D42" s="3258">
        <v>100</v>
      </c>
      <c r="E42" s="3255"/>
      <c r="F42" s="3306">
        <f>SUMIF(121:121,E42,122:122)-SUMIF(121:121,C42,122:122)+100</f>
        <v>100</v>
      </c>
      <c r="G42" s="3255"/>
      <c r="H42" s="3258">
        <f>SUMIF(121:121,G42,122:122)-SUMIF(121:121,C42,122:122)+100</f>
        <v>100</v>
      </c>
      <c r="I42" s="3255"/>
      <c r="J42" s="3258">
        <f>SUMIF(121:121,I42,122:122)-SUMIF(121:121,C42,122:122)+100</f>
        <v>100</v>
      </c>
      <c r="K42" s="3257"/>
      <c r="L42" s="3249"/>
      <c r="M42" s="3321"/>
      <c r="N42" s="3321"/>
      <c r="O42" s="3321"/>
      <c r="P42" s="3930"/>
      <c r="Q42" s="3323" t="str">
        <f t="shared" si="8"/>
        <v>单套建筑面积</v>
      </c>
      <c r="R42" s="3324" t="s">
        <v>3054</v>
      </c>
      <c r="S42" s="3325">
        <f t="shared" si="9"/>
        <v>100</v>
      </c>
      <c r="T42" s="3324" t="s">
        <v>3054</v>
      </c>
      <c r="U42" s="3325">
        <f t="shared" si="10"/>
        <v>100</v>
      </c>
      <c r="V42" s="3324" t="s">
        <v>3054</v>
      </c>
      <c r="W42" s="3325">
        <f t="shared" si="11"/>
        <v>100</v>
      </c>
      <c r="X42" s="3326"/>
      <c r="Y42" s="3930"/>
      <c r="Z42" s="3327" t="str">
        <f t="shared" si="12"/>
        <v>单套建筑面积</v>
      </c>
      <c r="AA42" s="3276">
        <f t="shared" si="3"/>
        <v>1</v>
      </c>
      <c r="AB42" s="3276">
        <f t="shared" si="4"/>
        <v>1</v>
      </c>
      <c r="AC42" s="3276">
        <f t="shared" si="5"/>
        <v>1</v>
      </c>
    </row>
    <row r="43" spans="1:29" ht="15.75" hidden="1" thickBot="1">
      <c r="A43" s="3329"/>
      <c r="B43" s="3304" t="s">
        <v>754</v>
      </c>
      <c r="C43" s="3535"/>
      <c r="D43" s="3258">
        <v>100</v>
      </c>
      <c r="E43" s="3535"/>
      <c r="F43" s="3306">
        <f>SUMIF(123:123,E43,124:124)-SUMIF(123:123,C43,124:124)+100</f>
        <v>100</v>
      </c>
      <c r="G43" s="3535"/>
      <c r="H43" s="3258">
        <f>SUMIF(123:123,G43,124:124)-SUMIF(123:123,C43,124:124)+100</f>
        <v>100</v>
      </c>
      <c r="I43" s="3535"/>
      <c r="J43" s="3258">
        <f>SUMIF(123:123,I43,124:124)-SUMIF(123:123,C43,124:124)+100</f>
        <v>100</v>
      </c>
      <c r="K43" s="3241"/>
      <c r="L43" s="3259"/>
      <c r="M43" s="3204"/>
      <c r="N43" s="3204"/>
      <c r="O43" s="3204"/>
      <c r="P43" s="3930"/>
      <c r="Q43" s="3272" t="str">
        <f t="shared" si="8"/>
        <v>内部装修</v>
      </c>
      <c r="R43" s="3273" t="s">
        <v>3152</v>
      </c>
      <c r="S43" s="3274">
        <f t="shared" si="9"/>
        <v>100</v>
      </c>
      <c r="T43" s="3273" t="s">
        <v>3062</v>
      </c>
      <c r="U43" s="3274">
        <f t="shared" si="10"/>
        <v>100</v>
      </c>
      <c r="V43" s="3273" t="s">
        <v>3062</v>
      </c>
      <c r="W43" s="3274">
        <f t="shared" si="11"/>
        <v>100</v>
      </c>
      <c r="X43" s="3205"/>
      <c r="Y43" s="3930"/>
      <c r="Z43" s="3275" t="str">
        <f t="shared" si="12"/>
        <v>内部装修</v>
      </c>
      <c r="AA43" s="3276">
        <f t="shared" si="3"/>
        <v>1</v>
      </c>
      <c r="AB43" s="3276">
        <f t="shared" si="4"/>
        <v>1</v>
      </c>
      <c r="AC43" s="3276">
        <f t="shared" si="5"/>
        <v>1</v>
      </c>
    </row>
    <row r="44" spans="1:29" ht="27.75" hidden="1" thickBot="1">
      <c r="A44" s="3329"/>
      <c r="B44" s="3304" t="s">
        <v>734</v>
      </c>
      <c r="C44" s="3535"/>
      <c r="D44" s="3258">
        <v>100</v>
      </c>
      <c r="E44" s="3332"/>
      <c r="F44" s="3306">
        <f>SUMIF(125:125,E44,126:126)-SUMIF(125:125,C44,126:126)+100</f>
        <v>100</v>
      </c>
      <c r="G44" s="3332"/>
      <c r="H44" s="3258">
        <f>SUMIF(125:125,G44,126:126)-SUMIF(125:125,C44,126:126)+100</f>
        <v>100</v>
      </c>
      <c r="I44" s="3332"/>
      <c r="J44" s="3258">
        <f>SUMIF(125:125,I44,126:126)-SUMIF(125:125,C44,126:126)+100</f>
        <v>100</v>
      </c>
      <c r="K44" s="3241"/>
      <c r="L44" s="3259"/>
      <c r="M44" s="3204"/>
      <c r="N44" s="3204"/>
      <c r="O44" s="3204"/>
      <c r="P44" s="3930"/>
      <c r="Q44" s="3272" t="str">
        <f t="shared" si="8"/>
        <v>内部装修维护情况</v>
      </c>
      <c r="R44" s="3273" t="s">
        <v>3062</v>
      </c>
      <c r="S44" s="3274">
        <f t="shared" si="9"/>
        <v>100</v>
      </c>
      <c r="T44" s="3273" t="s">
        <v>3062</v>
      </c>
      <c r="U44" s="3274">
        <f t="shared" si="10"/>
        <v>100</v>
      </c>
      <c r="V44" s="3273" t="s">
        <v>3062</v>
      </c>
      <c r="W44" s="3274">
        <f t="shared" si="11"/>
        <v>100</v>
      </c>
      <c r="X44" s="3205"/>
      <c r="Y44" s="3930"/>
      <c r="Z44" s="3275" t="str">
        <f t="shared" si="12"/>
        <v>内部装修维护情况</v>
      </c>
      <c r="AA44" s="3276">
        <f t="shared" si="3"/>
        <v>1</v>
      </c>
      <c r="AB44" s="3276">
        <f t="shared" si="4"/>
        <v>1</v>
      </c>
      <c r="AC44" s="3276">
        <f t="shared" si="5"/>
        <v>1</v>
      </c>
    </row>
    <row r="45" spans="1:29" s="3224" customFormat="1" ht="15.75" hidden="1" thickBot="1">
      <c r="A45" s="3334"/>
      <c r="B45" s="3307">
        <v>111</v>
      </c>
      <c r="C45" s="3319"/>
      <c r="D45" s="3239">
        <v>100</v>
      </c>
      <c r="E45" s="3253"/>
      <c r="F45" s="3320">
        <f>SUMIF(127:127,E45,128:128)-SUMIF(127:127,C45,128:128)+100</f>
        <v>100</v>
      </c>
      <c r="G45" s="3253"/>
      <c r="H45" s="3239">
        <f>SUMIF(127:127,G45,128:128)-SUMIF(127:127,C45,128:128)+100</f>
        <v>100</v>
      </c>
      <c r="I45" s="3253"/>
      <c r="J45" s="3239">
        <f>SUMIF(127:127,I45,128:128)-SUMIF(127:127,C45,128:128)+100</f>
        <v>100</v>
      </c>
      <c r="K45" s="3257"/>
      <c r="L45" s="3218"/>
      <c r="M45" s="3219"/>
      <c r="N45" s="3219"/>
      <c r="O45" s="3219"/>
      <c r="P45" s="3930"/>
      <c r="Q45" s="3235">
        <f t="shared" si="8"/>
        <v>111</v>
      </c>
      <c r="R45" s="3220" t="s">
        <v>3062</v>
      </c>
      <c r="S45" s="3221">
        <f t="shared" si="9"/>
        <v>100</v>
      </c>
      <c r="T45" s="3220" t="s">
        <v>3062</v>
      </c>
      <c r="U45" s="3221">
        <f t="shared" si="10"/>
        <v>100</v>
      </c>
      <c r="V45" s="3220" t="s">
        <v>3062</v>
      </c>
      <c r="W45" s="3221">
        <f t="shared" si="11"/>
        <v>100</v>
      </c>
      <c r="X45" s="3222"/>
      <c r="Y45" s="3930"/>
      <c r="Z45" s="3236">
        <f t="shared" si="12"/>
        <v>111</v>
      </c>
      <c r="AA45" s="3223">
        <f t="shared" si="3"/>
        <v>1</v>
      </c>
      <c r="AB45" s="3223">
        <f t="shared" si="4"/>
        <v>1</v>
      </c>
      <c r="AC45" s="3223">
        <f t="shared" si="5"/>
        <v>1</v>
      </c>
    </row>
    <row r="46" spans="1:29" ht="15.75" hidden="1" thickBot="1">
      <c r="A46" s="3329"/>
      <c r="B46" s="3307">
        <v>111</v>
      </c>
      <c r="C46" s="3255"/>
      <c r="D46" s="3258">
        <v>100</v>
      </c>
      <c r="E46" s="3253"/>
      <c r="F46" s="3306">
        <f>SUMIF(129:129,E46,130:130)-SUMIF(129:129,C46,130:130)+100</f>
        <v>100</v>
      </c>
      <c r="G46" s="3253"/>
      <c r="H46" s="3258">
        <f>SUMIF(129:129,G46,130:130)-SUMIF(129:129,C46,130:130)+100</f>
        <v>100</v>
      </c>
      <c r="I46" s="3253"/>
      <c r="J46" s="3258">
        <f>SUMIF(129:129,I46,130:130)-SUMIF(129:129,C46,130:130)+100</f>
        <v>100</v>
      </c>
      <c r="K46" s="3257"/>
      <c r="L46" s="3259"/>
      <c r="M46" s="3204"/>
      <c r="N46" s="3204"/>
      <c r="O46" s="3204"/>
      <c r="P46" s="3930"/>
      <c r="Q46" s="3272">
        <f t="shared" si="8"/>
        <v>111</v>
      </c>
      <c r="R46" s="3273" t="s">
        <v>3062</v>
      </c>
      <c r="S46" s="3274">
        <f t="shared" si="9"/>
        <v>100</v>
      </c>
      <c r="T46" s="3273" t="s">
        <v>3062</v>
      </c>
      <c r="U46" s="3274">
        <f t="shared" si="10"/>
        <v>100</v>
      </c>
      <c r="V46" s="3273" t="s">
        <v>3062</v>
      </c>
      <c r="W46" s="3274">
        <f t="shared" si="11"/>
        <v>100</v>
      </c>
      <c r="X46" s="3205"/>
      <c r="Y46" s="3930"/>
      <c r="Z46" s="3275">
        <f t="shared" si="12"/>
        <v>111</v>
      </c>
      <c r="AA46" s="3276">
        <f t="shared" si="3"/>
        <v>1</v>
      </c>
      <c r="AB46" s="3276">
        <f t="shared" si="4"/>
        <v>1</v>
      </c>
      <c r="AC46" s="3276">
        <f t="shared" si="5"/>
        <v>1</v>
      </c>
    </row>
    <row r="47" spans="1:29" ht="15.75" hidden="1" thickBot="1">
      <c r="A47" s="3339"/>
      <c r="B47" s="3340">
        <v>111</v>
      </c>
      <c r="C47" s="3262"/>
      <c r="D47" s="3263">
        <v>100</v>
      </c>
      <c r="E47" s="3253"/>
      <c r="F47" s="3313">
        <f>SUMIF(131:131,E47,132:132)-SUMIF(131:131,C47,132:132)+100</f>
        <v>100</v>
      </c>
      <c r="G47" s="3253"/>
      <c r="H47" s="3263">
        <f>SUMIF(131:131,G47,132:132)-SUMIF(131:131,C47,132:132)+100</f>
        <v>100</v>
      </c>
      <c r="I47" s="3253"/>
      <c r="J47" s="3263">
        <f>SUMIF(131:131,I47,132:132)-SUMIF(131:131,C47,132:132)+100</f>
        <v>100</v>
      </c>
      <c r="K47" s="3257"/>
      <c r="L47" s="3259"/>
      <c r="M47" s="3204"/>
      <c r="N47" s="3204"/>
      <c r="O47" s="3204"/>
      <c r="P47" s="3931"/>
      <c r="Q47" s="3272">
        <f t="shared" si="8"/>
        <v>111</v>
      </c>
      <c r="R47" s="3273" t="s">
        <v>3062</v>
      </c>
      <c r="S47" s="3274">
        <f t="shared" si="9"/>
        <v>100</v>
      </c>
      <c r="T47" s="3273" t="s">
        <v>3062</v>
      </c>
      <c r="U47" s="3274">
        <f t="shared" si="10"/>
        <v>100</v>
      </c>
      <c r="V47" s="3273" t="s">
        <v>3062</v>
      </c>
      <c r="W47" s="3274">
        <f t="shared" si="11"/>
        <v>100</v>
      </c>
      <c r="X47" s="3205"/>
      <c r="Y47" s="3931"/>
      <c r="Z47" s="3275">
        <f t="shared" si="12"/>
        <v>111</v>
      </c>
      <c r="AA47" s="3276">
        <f t="shared" si="3"/>
        <v>1</v>
      </c>
      <c r="AB47" s="3276">
        <f t="shared" si="4"/>
        <v>1</v>
      </c>
      <c r="AC47" s="3276">
        <f t="shared" si="5"/>
        <v>1</v>
      </c>
    </row>
    <row r="48" spans="1:29" ht="15">
      <c r="A48" s="3341" t="s">
        <v>735</v>
      </c>
      <c r="B48" s="3342"/>
      <c r="C48" s="3343" t="s">
        <v>1742</v>
      </c>
      <c r="D48" s="3344"/>
      <c r="E48" s="3349">
        <f>ROUND(11500/93/30,1)</f>
        <v>4.0999999999999996</v>
      </c>
      <c r="F48" s="3346"/>
      <c r="G48" s="3347">
        <f>ROUND(7000/55/30,1)</f>
        <v>4.2</v>
      </c>
      <c r="H48" s="3348"/>
      <c r="I48" s="3349">
        <f>ROUND(7000/55/30,1)</f>
        <v>4.2</v>
      </c>
      <c r="J48" s="3348"/>
      <c r="K48" s="3350"/>
      <c r="L48" s="3351"/>
      <c r="M48" s="3204"/>
      <c r="N48" s="3204"/>
      <c r="O48" s="3204"/>
      <c r="P48" s="3934" t="str">
        <f>A48</f>
        <v>成交单价（元/平方米）</v>
      </c>
      <c r="Q48" s="3925"/>
      <c r="R48" s="3932">
        <f>E48</f>
        <v>4.0999999999999996</v>
      </c>
      <c r="S48" s="3932"/>
      <c r="T48" s="3932">
        <f>G48</f>
        <v>4.2</v>
      </c>
      <c r="U48" s="3932"/>
      <c r="V48" s="3932">
        <f>I48</f>
        <v>4.2</v>
      </c>
      <c r="W48" s="3932"/>
      <c r="X48" s="3353"/>
      <c r="Y48" s="3354"/>
      <c r="Z48" s="3353"/>
      <c r="AA48" s="3353"/>
      <c r="AB48" s="3353"/>
      <c r="AC48" s="3353"/>
    </row>
    <row r="49" spans="1:29" ht="15.75" thickBot="1">
      <c r="A49" s="3355" t="s">
        <v>3087</v>
      </c>
      <c r="B49" s="3356"/>
      <c r="C49" s="3357">
        <f>R50</f>
        <v>4</v>
      </c>
      <c r="D49" s="3358"/>
      <c r="E49" s="3359">
        <f>R49</f>
        <v>4.0999999999999996</v>
      </c>
      <c r="F49" s="3359"/>
      <c r="G49" s="3357">
        <f>T49</f>
        <v>3.9</v>
      </c>
      <c r="H49" s="3358"/>
      <c r="I49" s="3359">
        <f>V49</f>
        <v>3.9</v>
      </c>
      <c r="J49" s="3358"/>
      <c r="K49" s="3360"/>
      <c r="L49" s="3351"/>
      <c r="M49" s="3204"/>
      <c r="N49" s="3204"/>
      <c r="O49" s="3204"/>
      <c r="P49" s="3934" t="str">
        <f>A49</f>
        <v>比较价格（元/平方米）</v>
      </c>
      <c r="Q49" s="3925"/>
      <c r="R49" s="3932">
        <f>IF(F1="售价",ROUND(PRODUCT(R48,AA7:AA47),0),ROUND(PRODUCT(R48,AA7:AA47),1))</f>
        <v>4.0999999999999996</v>
      </c>
      <c r="S49" s="3932"/>
      <c r="T49" s="3932">
        <f>IF(F1="售价",ROUND(PRODUCT(T48,AB7:AB47),0),ROUND(PRODUCT(T48,AB7:AB47),1))</f>
        <v>3.9</v>
      </c>
      <c r="U49" s="3932"/>
      <c r="V49" s="3932">
        <f>IF(F1="售价",ROUND(PRODUCT(V48,AC7:AC47),0),ROUND(PRODUCT(V48,AC7:AC47),1))</f>
        <v>3.9</v>
      </c>
      <c r="W49" s="3932"/>
      <c r="X49" s="3353"/>
      <c r="Y49" s="3353"/>
      <c r="Z49" s="3353"/>
      <c r="AA49" s="3353"/>
      <c r="AB49" s="3353"/>
      <c r="AC49" s="3353"/>
    </row>
    <row r="50" spans="1:29" ht="15.75" thickBot="1">
      <c r="A50" s="3361" t="s">
        <v>3153</v>
      </c>
      <c r="B50" s="3362"/>
      <c r="C50" s="3363">
        <f>R50</f>
        <v>4</v>
      </c>
      <c r="D50" s="3363"/>
      <c r="E50" s="3363"/>
      <c r="F50" s="3363"/>
      <c r="G50" s="3363"/>
      <c r="H50" s="3363"/>
      <c r="I50" s="3363"/>
      <c r="J50" s="3363"/>
      <c r="K50" s="3364"/>
      <c r="L50" s="3351"/>
      <c r="M50" s="3204"/>
      <c r="N50" s="3204"/>
      <c r="O50" s="3204"/>
      <c r="P50" s="3940" t="str">
        <f>A50</f>
        <v>估价对象办公用房的比较价格（楼面单价，元/平方米）</v>
      </c>
      <c r="Q50" s="3934"/>
      <c r="R50" s="3935">
        <f>IF(F1="售价",ROUND(AVERAGE(R49:V49),0),ROUND(AVERAGE(R49:V49),1))</f>
        <v>4</v>
      </c>
      <c r="S50" s="3935"/>
      <c r="T50" s="3935"/>
      <c r="U50" s="3935"/>
      <c r="V50" s="3935"/>
      <c r="W50" s="3935"/>
      <c r="X50" s="3353"/>
      <c r="Y50" s="3353"/>
      <c r="Z50" s="3353"/>
      <c r="AA50" s="3353"/>
      <c r="AB50" s="3353"/>
      <c r="AC50" s="3353"/>
    </row>
    <row r="51" spans="1:29">
      <c r="A51" s="3352"/>
      <c r="B51" s="3352"/>
      <c r="C51" s="3352"/>
      <c r="D51" s="3352"/>
      <c r="E51" s="3352"/>
      <c r="F51" s="3352"/>
      <c r="G51" s="3365"/>
      <c r="H51" s="3352"/>
      <c r="I51" s="3352"/>
      <c r="J51" s="3352"/>
      <c r="K51" s="3366"/>
      <c r="L51" s="3367"/>
      <c r="M51" s="3352"/>
      <c r="N51" s="3352"/>
      <c r="O51" s="3352"/>
      <c r="P51" s="3536"/>
      <c r="Q51" s="3352"/>
      <c r="R51" s="3352"/>
      <c r="S51" s="3352"/>
      <c r="T51" s="3352"/>
      <c r="U51" s="3352"/>
      <c r="V51" s="3352"/>
      <c r="W51" s="3352"/>
      <c r="X51" s="3352"/>
      <c r="Y51" s="3352"/>
      <c r="Z51" s="3352"/>
      <c r="AA51" s="3352"/>
      <c r="AB51" s="3352"/>
      <c r="AC51" s="3352"/>
    </row>
    <row r="52" spans="1:29">
      <c r="A52" s="3352"/>
      <c r="B52" s="3352"/>
      <c r="C52" s="3352"/>
      <c r="D52" s="3352"/>
      <c r="E52" s="3352"/>
      <c r="F52" s="3352"/>
      <c r="G52" s="3352"/>
      <c r="H52" s="3352"/>
      <c r="I52" s="3352"/>
      <c r="J52" s="3352"/>
      <c r="K52" s="3366"/>
      <c r="L52" s="3367"/>
      <c r="M52" s="3352"/>
      <c r="N52" s="3352"/>
      <c r="O52" s="3352"/>
      <c r="P52" s="3536"/>
      <c r="Q52" s="3352"/>
      <c r="R52" s="3352"/>
      <c r="S52" s="3352"/>
      <c r="T52" s="3352"/>
      <c r="U52" s="3352"/>
      <c r="V52" s="3352"/>
      <c r="W52" s="3352"/>
      <c r="X52" s="3352"/>
      <c r="Y52" s="3352"/>
      <c r="Z52" s="3352"/>
      <c r="AA52" s="3352"/>
      <c r="AB52" s="3352"/>
      <c r="AC52" s="3352"/>
    </row>
    <row r="53" spans="1:29" ht="13.5" customHeight="1">
      <c r="A53" s="3352"/>
      <c r="B53" s="3352"/>
      <c r="C53" s="3368" t="s">
        <v>3089</v>
      </c>
      <c r="D53" s="3369"/>
      <c r="E53" s="3370">
        <f>IF(E48&lt;E49,E49/E48-1,E48/E49-1)</f>
        <v>0</v>
      </c>
      <c r="F53" s="3371" t="str">
        <f>IF(OR(E53&gt;=0.3,E53&lt;=-0.3),"超过30%","")</f>
        <v/>
      </c>
      <c r="G53" s="3370">
        <f>IF(G48&lt;G49,G49/G48-1,G48/G49-1)</f>
        <v>7.6923076923077094E-2</v>
      </c>
      <c r="H53" s="3371" t="str">
        <f>IF(OR(G53&gt;=0.3,G53&lt;=-0.3),"超过30%","")</f>
        <v/>
      </c>
      <c r="I53" s="3370">
        <f>IF(I48&lt;I49,I49/I48-1,I48/I49-1)</f>
        <v>7.6923076923077094E-2</v>
      </c>
      <c r="J53" s="3371" t="str">
        <f>IF(OR(I53&gt;=0.3,I53&lt;=-0.3),"超过30%","")</f>
        <v/>
      </c>
      <c r="K53" s="3366"/>
      <c r="L53" s="3367"/>
      <c r="M53" s="3352"/>
      <c r="N53" s="3352"/>
      <c r="O53" s="3352"/>
      <c r="P53" s="3536"/>
      <c r="Q53" s="3352"/>
      <c r="R53" s="3352"/>
      <c r="S53" s="3352"/>
      <c r="T53" s="3352"/>
      <c r="U53" s="3352"/>
      <c r="V53" s="3352"/>
      <c r="W53" s="3352"/>
      <c r="X53" s="3352"/>
      <c r="Y53" s="3352"/>
      <c r="Z53" s="3352"/>
      <c r="AA53" s="3352"/>
      <c r="AB53" s="3352"/>
      <c r="AC53" s="3352"/>
    </row>
    <row r="54" spans="1:29" ht="13.5" customHeight="1">
      <c r="A54" s="3352"/>
      <c r="B54" s="3352"/>
      <c r="C54" s="3368" t="s">
        <v>3090</v>
      </c>
      <c r="D54" s="3372"/>
      <c r="E54" s="3370">
        <f>IF(E49&lt;G49,G49/E49-1,E49/G49-1)</f>
        <v>5.1282051282051322E-2</v>
      </c>
      <c r="F54" s="3371" t="str">
        <f>IF(OR(E54&gt;=0.2,E54&lt;=-0.2),"超过20%","")</f>
        <v/>
      </c>
      <c r="G54" s="3370">
        <f>IF(G49&lt;I49,I49/G49-1,G49/I49-1)</f>
        <v>0</v>
      </c>
      <c r="H54" s="3371" t="str">
        <f>IF(OR(G54&gt;=0.2,G54&lt;=-0.2),"超过20%","")</f>
        <v/>
      </c>
      <c r="I54" s="3370">
        <f>IF(I49&lt;E49,E49/I49-1,I49/E49-1)</f>
        <v>5.1282051282051322E-2</v>
      </c>
      <c r="J54" s="3371" t="str">
        <f>IF(OR(I54&gt;=0.2,I54&lt;=-0.2),"超过20%","")</f>
        <v/>
      </c>
      <c r="K54" s="3366"/>
      <c r="L54" s="3367"/>
      <c r="M54" s="3352"/>
      <c r="N54" s="3352"/>
      <c r="O54" s="3352"/>
      <c r="P54" s="3536"/>
      <c r="Q54" s="3352"/>
      <c r="R54" s="3352"/>
      <c r="S54" s="3352"/>
      <c r="T54" s="3352"/>
      <c r="U54" s="3352"/>
      <c r="V54" s="3352"/>
      <c r="W54" s="3352"/>
      <c r="X54" s="3352"/>
      <c r="Y54" s="3352"/>
      <c r="Z54" s="3352"/>
      <c r="AA54" s="3352"/>
      <c r="AB54" s="3352"/>
      <c r="AC54" s="3352"/>
    </row>
    <row r="55" spans="1:29" s="3376" customFormat="1" ht="13.5" customHeight="1">
      <c r="A55" s="3373"/>
      <c r="B55" s="3373"/>
      <c r="C55" s="3368" t="s">
        <v>3091</v>
      </c>
      <c r="D55" s="3372"/>
      <c r="E55" s="3370">
        <f>IF(E48&lt;G48,G48/E48-1,E48/G48-1)</f>
        <v>2.4390243902439046E-2</v>
      </c>
      <c r="F55" s="3371" t="str">
        <f>IF(OR(E55&gt;=0.3,E55&lt;=-0.3),"超过30%","")</f>
        <v/>
      </c>
      <c r="G55" s="3370">
        <f>IF(G48&lt;I48,I48/G48-1,G48/I48-1)</f>
        <v>0</v>
      </c>
      <c r="H55" s="3371" t="str">
        <f>IF(OR(G55&gt;=0.3,G55&lt;=-0.3),"超过30%","")</f>
        <v/>
      </c>
      <c r="I55" s="3370">
        <f>IF(I48&lt;E48,E48/I48-1,I48/E48-1)</f>
        <v>2.4390243902439046E-2</v>
      </c>
      <c r="J55" s="3371" t="str">
        <f>IF(OR(I55&gt;=0.3,I55&lt;=-0.3),"超过30%","")</f>
        <v/>
      </c>
      <c r="K55" s="3374"/>
      <c r="L55" s="3375"/>
      <c r="M55" s="3373"/>
      <c r="N55" s="3373"/>
      <c r="O55" s="3373"/>
      <c r="P55" s="3537"/>
      <c r="Q55" s="3373"/>
      <c r="R55" s="3373"/>
      <c r="S55" s="3373"/>
      <c r="T55" s="3373"/>
      <c r="U55" s="3373"/>
      <c r="V55" s="3373"/>
      <c r="W55" s="3373"/>
      <c r="X55" s="3373"/>
      <c r="Y55" s="3373"/>
      <c r="Z55" s="3373"/>
      <c r="AA55" s="3373"/>
      <c r="AB55" s="3373"/>
      <c r="AC55" s="3373"/>
    </row>
    <row r="56" spans="1:29" s="3376" customFormat="1">
      <c r="A56" s="3373"/>
      <c r="B56" s="3377"/>
      <c r="C56" s="3378"/>
      <c r="D56" s="3373"/>
      <c r="E56" s="3373"/>
      <c r="F56" s="3373"/>
      <c r="G56" s="3373"/>
      <c r="H56" s="3373"/>
      <c r="I56" s="3373"/>
      <c r="J56" s="3373"/>
      <c r="K56" s="3374"/>
      <c r="L56" s="3375"/>
      <c r="M56" s="3373"/>
      <c r="N56" s="3373"/>
      <c r="O56" s="3373"/>
      <c r="P56" s="3537"/>
      <c r="Q56" s="3373"/>
      <c r="R56" s="3373"/>
      <c r="S56" s="3373"/>
      <c r="T56" s="3373"/>
      <c r="U56" s="3373"/>
      <c r="V56" s="3373"/>
      <c r="W56" s="3373"/>
      <c r="X56" s="3373"/>
      <c r="Y56" s="3373"/>
      <c r="Z56" s="3373"/>
      <c r="AA56" s="3373"/>
      <c r="AB56" s="3373"/>
      <c r="AC56" s="3373"/>
    </row>
    <row r="57" spans="1:29">
      <c r="A57" s="3352"/>
      <c r="B57" s="3377"/>
      <c r="C57" s="3378"/>
      <c r="D57" s="3352"/>
      <c r="E57" s="3352"/>
      <c r="F57" s="3352"/>
      <c r="G57" s="3352"/>
      <c r="H57" s="3352"/>
      <c r="I57" s="3352"/>
      <c r="J57" s="3352"/>
      <c r="K57" s="3366"/>
      <c r="L57" s="3367"/>
      <c r="M57" s="3352"/>
      <c r="N57" s="3352"/>
      <c r="O57" s="3352"/>
      <c r="P57" s="3536"/>
      <c r="Q57" s="3352"/>
      <c r="R57" s="3352"/>
      <c r="S57" s="3352"/>
      <c r="T57" s="3352"/>
      <c r="U57" s="3352"/>
      <c r="V57" s="3352"/>
      <c r="W57" s="3352"/>
      <c r="X57" s="3352"/>
      <c r="Y57" s="3352"/>
      <c r="Z57" s="3352"/>
      <c r="AA57" s="3352"/>
      <c r="AB57" s="3352"/>
      <c r="AC57" s="3352"/>
    </row>
    <row r="58" spans="1:29" ht="21.75" thickBot="1">
      <c r="A58" s="3379" t="s">
        <v>3092</v>
      </c>
      <c r="B58" s="3353"/>
      <c r="C58" s="3380"/>
      <c r="D58" s="3380"/>
      <c r="E58" s="3380"/>
      <c r="F58" s="3381"/>
      <c r="G58" s="3381"/>
      <c r="H58" s="3380"/>
      <c r="I58" s="3380"/>
      <c r="J58" s="3380"/>
      <c r="K58" s="3382"/>
      <c r="L58" s="3383"/>
      <c r="M58" s="3380"/>
      <c r="N58" s="3380"/>
      <c r="O58" s="3380"/>
      <c r="P58" s="3538"/>
      <c r="Q58" s="3385"/>
      <c r="R58" s="3352"/>
      <c r="S58" s="3352"/>
      <c r="T58" s="3352"/>
      <c r="U58" s="3352"/>
      <c r="V58" s="3352"/>
      <c r="W58" s="3352"/>
      <c r="X58" s="3352"/>
      <c r="Y58" s="3352"/>
      <c r="Z58" s="3352"/>
      <c r="AA58" s="3352"/>
      <c r="AB58" s="3352"/>
      <c r="AC58" s="3352"/>
    </row>
    <row r="59" spans="1:29" s="3392" customFormat="1" ht="15">
      <c r="A59" s="3386" t="s">
        <v>3046</v>
      </c>
      <c r="B59" s="3387"/>
      <c r="C59" s="3388" t="str">
        <f>YEAR(C7)&amp;"-"&amp;MONTH(C7)</f>
        <v>2020-3</v>
      </c>
      <c r="D59" s="3389">
        <f>EDATE(C59,-1)</f>
        <v>43862</v>
      </c>
      <c r="E59" s="3389">
        <f t="shared" ref="E59:O59" si="13">EDATE(D59,-1)</f>
        <v>43831</v>
      </c>
      <c r="F59" s="3389">
        <f t="shared" si="13"/>
        <v>43800</v>
      </c>
      <c r="G59" s="3389">
        <f t="shared" si="13"/>
        <v>43770</v>
      </c>
      <c r="H59" s="3389">
        <f t="shared" si="13"/>
        <v>43739</v>
      </c>
      <c r="I59" s="3389">
        <f t="shared" si="13"/>
        <v>43709</v>
      </c>
      <c r="J59" s="3389">
        <f t="shared" si="13"/>
        <v>43678</v>
      </c>
      <c r="K59" s="3389">
        <f t="shared" si="13"/>
        <v>43647</v>
      </c>
      <c r="L59" s="3389">
        <f t="shared" si="13"/>
        <v>43617</v>
      </c>
      <c r="M59" s="3389">
        <f t="shared" si="13"/>
        <v>43586</v>
      </c>
      <c r="N59" s="3389">
        <f t="shared" si="13"/>
        <v>43556</v>
      </c>
      <c r="O59" s="3389">
        <f t="shared" si="13"/>
        <v>43525</v>
      </c>
      <c r="P59" s="3539"/>
      <c r="Q59" s="3391"/>
      <c r="R59" s="3391"/>
      <c r="S59" s="3391"/>
      <c r="T59" s="3391"/>
      <c r="U59" s="3391"/>
      <c r="V59" s="3391"/>
      <c r="W59" s="3391"/>
      <c r="X59" s="3391"/>
      <c r="Y59" s="3391"/>
      <c r="Z59" s="3391"/>
      <c r="AA59" s="3391"/>
      <c r="AB59" s="3391"/>
      <c r="AC59" s="3391"/>
    </row>
    <row r="60" spans="1:29" s="3224" customFormat="1" ht="15">
      <c r="A60" s="3393"/>
      <c r="B60" s="3394"/>
      <c r="C60" s="3395">
        <v>100</v>
      </c>
      <c r="D60" s="3396"/>
      <c r="E60" s="3396"/>
      <c r="F60" s="3396"/>
      <c r="G60" s="3396"/>
      <c r="H60" s="3396"/>
      <c r="I60" s="3396"/>
      <c r="J60" s="3396"/>
      <c r="K60" s="3396"/>
      <c r="L60" s="3396"/>
      <c r="M60" s="3397"/>
      <c r="N60" s="3396"/>
      <c r="O60" s="3397"/>
      <c r="P60" s="3540"/>
      <c r="Q60" s="3399"/>
      <c r="R60" s="3399"/>
      <c r="S60" s="3399"/>
      <c r="T60" s="3399"/>
      <c r="U60" s="3399"/>
      <c r="V60" s="3399"/>
      <c r="W60" s="3399"/>
      <c r="X60" s="3399"/>
      <c r="Y60" s="3399"/>
      <c r="Z60" s="3399"/>
      <c r="AA60" s="3399"/>
      <c r="AB60" s="3399"/>
      <c r="AC60" s="3399"/>
    </row>
    <row r="61" spans="1:29" s="3224" customFormat="1" ht="15.75" thickBot="1">
      <c r="A61" s="3400" t="s">
        <v>3093</v>
      </c>
      <c r="B61" s="3401"/>
      <c r="C61" s="3402"/>
      <c r="D61" s="3403"/>
      <c r="E61" s="3403"/>
      <c r="F61" s="3403"/>
      <c r="G61" s="3403"/>
      <c r="H61" s="3403"/>
      <c r="I61" s="3403"/>
      <c r="J61" s="3403"/>
      <c r="K61" s="3403"/>
      <c r="L61" s="3403"/>
      <c r="M61" s="3404"/>
      <c r="N61" s="3403"/>
      <c r="O61" s="3404"/>
      <c r="P61" s="3540"/>
      <c r="Q61" s="3385"/>
      <c r="R61" s="3399"/>
      <c r="S61" s="3399"/>
      <c r="T61" s="3399"/>
      <c r="U61" s="3399"/>
      <c r="V61" s="3399"/>
      <c r="W61" s="3399"/>
      <c r="X61" s="3399"/>
      <c r="Y61" s="3399"/>
      <c r="Z61" s="3399"/>
      <c r="AA61" s="3399"/>
      <c r="AB61" s="3399"/>
      <c r="AC61" s="3399"/>
    </row>
    <row r="62" spans="1:29" s="3224" customFormat="1" ht="15">
      <c r="A62" s="3406" t="s">
        <v>3050</v>
      </c>
      <c r="B62" s="3394"/>
      <c r="C62" s="3407" t="s">
        <v>3051</v>
      </c>
      <c r="D62" s="3408"/>
      <c r="E62" s="3408"/>
      <c r="F62" s="3408"/>
      <c r="G62" s="3408"/>
      <c r="H62" s="3408"/>
      <c r="I62" s="3408"/>
      <c r="J62" s="3408"/>
      <c r="K62" s="3408"/>
      <c r="L62" s="3409"/>
      <c r="M62" s="3410"/>
      <c r="N62" s="3411"/>
      <c r="O62" s="3411"/>
      <c r="P62" s="3541"/>
      <c r="Q62" s="3385"/>
      <c r="R62" s="3399"/>
      <c r="S62" s="3399"/>
      <c r="T62" s="3399"/>
      <c r="U62" s="3399"/>
      <c r="V62" s="3399"/>
      <c r="W62" s="3399"/>
      <c r="X62" s="3399"/>
      <c r="Y62" s="3399"/>
      <c r="Z62" s="3399"/>
      <c r="AA62" s="3399"/>
      <c r="AB62" s="3399"/>
      <c r="AC62" s="3399"/>
    </row>
    <row r="63" spans="1:29" s="3224" customFormat="1" ht="15.75" thickBot="1">
      <c r="A63" s="3406"/>
      <c r="B63" s="3394"/>
      <c r="C63" s="3413">
        <v>100</v>
      </c>
      <c r="D63" s="3396"/>
      <c r="E63" s="3396"/>
      <c r="F63" s="3396"/>
      <c r="G63" s="3396"/>
      <c r="H63" s="3396"/>
      <c r="I63" s="3396"/>
      <c r="J63" s="3396"/>
      <c r="K63" s="3396"/>
      <c r="L63" s="3396"/>
      <c r="M63" s="3398"/>
      <c r="N63" s="3411"/>
      <c r="O63" s="3411"/>
      <c r="P63" s="3540"/>
      <c r="Q63" s="3385"/>
      <c r="R63" s="3399"/>
      <c r="S63" s="3399"/>
      <c r="T63" s="3399"/>
      <c r="U63" s="3399"/>
      <c r="V63" s="3399"/>
      <c r="W63" s="3399"/>
      <c r="X63" s="3399"/>
      <c r="Y63" s="3399"/>
      <c r="Z63" s="3399"/>
      <c r="AA63" s="3399"/>
      <c r="AB63" s="3399"/>
      <c r="AC63" s="3399"/>
    </row>
    <row r="64" spans="1:29">
      <c r="A64" s="3415" t="s">
        <v>3094</v>
      </c>
      <c r="B64" s="3416" t="s">
        <v>3095</v>
      </c>
      <c r="C64" s="3417" t="str">
        <f>C9</f>
        <v>商务办公</v>
      </c>
      <c r="D64" s="3418"/>
      <c r="E64" s="3418"/>
      <c r="F64" s="3418"/>
      <c r="G64" s="3418"/>
      <c r="H64" s="3418"/>
      <c r="I64" s="3418"/>
      <c r="J64" s="3418"/>
      <c r="K64" s="3419"/>
      <c r="L64" s="3420"/>
      <c r="M64" s="3421"/>
      <c r="N64" s="3422"/>
      <c r="O64" s="3422"/>
      <c r="P64" s="3542"/>
      <c r="Q64" s="3385"/>
      <c r="R64" s="3352"/>
      <c r="S64" s="3352"/>
      <c r="T64" s="3352"/>
      <c r="U64" s="3352"/>
      <c r="V64" s="3352"/>
      <c r="W64" s="3352"/>
      <c r="X64" s="3352"/>
      <c r="Y64" s="3352"/>
      <c r="Z64" s="3352"/>
      <c r="AA64" s="3352"/>
      <c r="AB64" s="3352"/>
      <c r="AC64" s="3352"/>
    </row>
    <row r="65" spans="1:29" ht="15.75" thickBot="1">
      <c r="A65" s="3424"/>
      <c r="B65" s="3425"/>
      <c r="C65" s="3426"/>
      <c r="D65" s="3426"/>
      <c r="E65" s="3426"/>
      <c r="F65" s="3426"/>
      <c r="G65" s="3426"/>
      <c r="H65" s="3426"/>
      <c r="I65" s="3426"/>
      <c r="J65" s="3426"/>
      <c r="K65" s="3426"/>
      <c r="L65" s="3426"/>
      <c r="M65" s="3427"/>
      <c r="N65" s="3428"/>
      <c r="O65" s="3428"/>
      <c r="P65" s="3542"/>
      <c r="Q65" s="3385"/>
      <c r="R65" s="3352"/>
      <c r="S65" s="3352"/>
      <c r="T65" s="3352"/>
      <c r="U65" s="3352"/>
      <c r="V65" s="3352"/>
      <c r="W65" s="3352"/>
      <c r="X65" s="3352"/>
      <c r="Y65" s="3352"/>
      <c r="Z65" s="3352"/>
      <c r="AA65" s="3352"/>
      <c r="AB65" s="3352"/>
      <c r="AC65" s="3352"/>
    </row>
    <row r="66" spans="1:29" ht="27.75" thickTop="1">
      <c r="A66" s="3424"/>
      <c r="B66" s="3429" t="s">
        <v>3096</v>
      </c>
      <c r="C66" s="3430" t="s">
        <v>3097</v>
      </c>
      <c r="D66" s="3430" t="s">
        <v>3098</v>
      </c>
      <c r="E66" s="3430" t="s">
        <v>3099</v>
      </c>
      <c r="F66" s="3430" t="s">
        <v>3100</v>
      </c>
      <c r="G66" s="3430" t="s">
        <v>3101</v>
      </c>
      <c r="H66" s="3430" t="s">
        <v>3102</v>
      </c>
      <c r="I66" s="3430" t="s">
        <v>3103</v>
      </c>
      <c r="J66" s="3430"/>
      <c r="K66" s="3431"/>
      <c r="L66" s="3432"/>
      <c r="M66" s="3433"/>
      <c r="N66" s="3422"/>
      <c r="O66" s="3422"/>
      <c r="P66" s="3542"/>
      <c r="Q66" s="3385"/>
      <c r="R66" s="3352"/>
      <c r="S66" s="3352"/>
      <c r="T66" s="3352"/>
      <c r="U66" s="3352"/>
      <c r="V66" s="3352"/>
      <c r="W66" s="3352"/>
      <c r="X66" s="3352"/>
      <c r="Y66" s="3352"/>
      <c r="Z66" s="3352"/>
      <c r="AA66" s="3352"/>
      <c r="AB66" s="3352"/>
      <c r="AC66" s="3352"/>
    </row>
    <row r="67" spans="1:29" ht="15.75" thickBot="1">
      <c r="A67" s="3424"/>
      <c r="B67" s="3434"/>
      <c r="C67" s="3435" t="s">
        <v>3104</v>
      </c>
      <c r="D67" s="3435" t="s">
        <v>3104</v>
      </c>
      <c r="E67" s="3435">
        <v>100</v>
      </c>
      <c r="F67" s="3435">
        <f>E67-$K10</f>
        <v>100</v>
      </c>
      <c r="G67" s="3435">
        <f>F67-$K10</f>
        <v>100</v>
      </c>
      <c r="H67" s="3435">
        <f>G67-$K10</f>
        <v>100</v>
      </c>
      <c r="I67" s="3435">
        <f>H67-$K10</f>
        <v>100</v>
      </c>
      <c r="J67" s="3435"/>
      <c r="K67" s="3435"/>
      <c r="L67" s="3435"/>
      <c r="M67" s="3436"/>
      <c r="N67" s="3428"/>
      <c r="O67" s="3428"/>
      <c r="P67" s="3542"/>
      <c r="Q67" s="3385"/>
      <c r="R67" s="3352"/>
      <c r="S67" s="3352"/>
      <c r="T67" s="3352"/>
      <c r="U67" s="3352"/>
      <c r="V67" s="3352"/>
      <c r="W67" s="3352"/>
      <c r="X67" s="3352"/>
      <c r="Y67" s="3352"/>
      <c r="Z67" s="3352"/>
      <c r="AA67" s="3352"/>
      <c r="AB67" s="3352"/>
      <c r="AC67" s="3352"/>
    </row>
    <row r="68" spans="1:29" ht="15.75" thickTop="1">
      <c r="A68" s="3424"/>
      <c r="B68" s="3437" t="s">
        <v>3105</v>
      </c>
      <c r="C68" s="3438" t="str">
        <f>C69&amp;"（含）"&amp;"-"&amp;D69</f>
        <v>1（含）-3</v>
      </c>
      <c r="D68" s="3438" t="str">
        <f t="shared" ref="D68:L68" si="14">D69&amp;"（含）"&amp;"-"&amp;E69</f>
        <v>3（含）-</v>
      </c>
      <c r="E68" s="3438" t="str">
        <f t="shared" si="14"/>
        <v>（含）-</v>
      </c>
      <c r="F68" s="3438" t="str">
        <f t="shared" si="14"/>
        <v>（含）-</v>
      </c>
      <c r="G68" s="3438" t="str">
        <f t="shared" si="14"/>
        <v>（含）-</v>
      </c>
      <c r="H68" s="3438" t="str">
        <f t="shared" si="14"/>
        <v>（含）-</v>
      </c>
      <c r="I68" s="3438" t="str">
        <f t="shared" si="14"/>
        <v>（含）-</v>
      </c>
      <c r="J68" s="3438" t="str">
        <f t="shared" si="14"/>
        <v>（含）-</v>
      </c>
      <c r="K68" s="3438" t="str">
        <f t="shared" si="14"/>
        <v>（含）-</v>
      </c>
      <c r="L68" s="3438" t="str">
        <f t="shared" si="14"/>
        <v>（含）-</v>
      </c>
      <c r="M68" s="3280" t="str">
        <f>M69&amp;"（含）"&amp;"-"&amp;P69</f>
        <v>（含）-</v>
      </c>
      <c r="N68" s="3428"/>
      <c r="O68" s="3428"/>
      <c r="P68" s="3542"/>
      <c r="Q68" s="3385"/>
      <c r="R68" s="3352"/>
      <c r="S68" s="3352"/>
      <c r="T68" s="3352"/>
      <c r="U68" s="3352"/>
      <c r="V68" s="3352"/>
      <c r="W68" s="3352"/>
      <c r="X68" s="3352"/>
      <c r="Y68" s="3352"/>
      <c r="Z68" s="3352"/>
      <c r="AA68" s="3352"/>
      <c r="AB68" s="3352"/>
      <c r="AC68" s="3352"/>
    </row>
    <row r="69" spans="1:29" ht="15">
      <c r="A69" s="3424"/>
      <c r="B69" s="3439"/>
      <c r="C69" s="3440">
        <v>1</v>
      </c>
      <c r="D69" s="3440">
        <v>3</v>
      </c>
      <c r="E69" s="3440"/>
      <c r="F69" s="3440"/>
      <c r="G69" s="3440"/>
      <c r="H69" s="3440"/>
      <c r="I69" s="3440"/>
      <c r="J69" s="3440"/>
      <c r="K69" s="3441"/>
      <c r="L69" s="3442"/>
      <c r="M69" s="3443"/>
      <c r="N69" s="3422"/>
      <c r="O69" s="3422"/>
      <c r="P69" s="3542"/>
      <c r="Q69" s="3385"/>
      <c r="R69" s="3352"/>
      <c r="S69" s="3352"/>
      <c r="T69" s="3352"/>
      <c r="U69" s="3352"/>
      <c r="V69" s="3352"/>
      <c r="W69" s="3352"/>
      <c r="X69" s="3352"/>
      <c r="Y69" s="3352"/>
      <c r="Z69" s="3352"/>
      <c r="AA69" s="3352"/>
      <c r="AB69" s="3352"/>
      <c r="AC69" s="3352"/>
    </row>
    <row r="70" spans="1:29" ht="15.75" thickBot="1">
      <c r="A70" s="3424"/>
      <c r="B70" s="3425"/>
      <c r="C70" s="3435">
        <v>100</v>
      </c>
      <c r="D70" s="3435">
        <f t="shared" ref="D70:M70" si="15">C70-$K11</f>
        <v>100</v>
      </c>
      <c r="E70" s="3435">
        <f t="shared" si="15"/>
        <v>100</v>
      </c>
      <c r="F70" s="3435">
        <f t="shared" si="15"/>
        <v>100</v>
      </c>
      <c r="G70" s="3435">
        <f t="shared" si="15"/>
        <v>100</v>
      </c>
      <c r="H70" s="3435">
        <f t="shared" si="15"/>
        <v>100</v>
      </c>
      <c r="I70" s="3435">
        <f t="shared" si="15"/>
        <v>100</v>
      </c>
      <c r="J70" s="3435">
        <f t="shared" si="15"/>
        <v>100</v>
      </c>
      <c r="K70" s="3435">
        <f t="shared" si="15"/>
        <v>100</v>
      </c>
      <c r="L70" s="3435">
        <f t="shared" si="15"/>
        <v>100</v>
      </c>
      <c r="M70" s="3436">
        <f t="shared" si="15"/>
        <v>100</v>
      </c>
      <c r="N70" s="3428"/>
      <c r="O70" s="3428"/>
      <c r="P70" s="3542"/>
      <c r="Q70" s="3385"/>
      <c r="R70" s="3352"/>
      <c r="S70" s="3352"/>
      <c r="T70" s="3352"/>
      <c r="U70" s="3352"/>
      <c r="V70" s="3352"/>
      <c r="W70" s="3352"/>
      <c r="X70" s="3352"/>
      <c r="Y70" s="3352"/>
      <c r="Z70" s="3352"/>
      <c r="AA70" s="3352"/>
      <c r="AB70" s="3352"/>
      <c r="AC70" s="3352"/>
    </row>
    <row r="71" spans="1:29" s="3328" customFormat="1" ht="15.75" thickTop="1">
      <c r="A71" s="3444"/>
      <c r="B71" s="3429">
        <f>B12</f>
        <v>111</v>
      </c>
      <c r="C71" s="3445"/>
      <c r="D71" s="3445"/>
      <c r="E71" s="3445"/>
      <c r="F71" s="3445"/>
      <c r="G71" s="3445"/>
      <c r="H71" s="3446"/>
      <c r="I71" s="3446"/>
      <c r="J71" s="3446"/>
      <c r="K71" s="3446"/>
      <c r="L71" s="3447"/>
      <c r="M71" s="3448"/>
      <c r="N71" s="3449"/>
      <c r="O71" s="3449"/>
      <c r="P71" s="3543"/>
      <c r="Q71" s="3451"/>
      <c r="R71" s="3452"/>
      <c r="S71" s="3452"/>
      <c r="T71" s="3452"/>
      <c r="U71" s="3452"/>
      <c r="V71" s="3452"/>
      <c r="W71" s="3452"/>
      <c r="X71" s="3452"/>
      <c r="Y71" s="3452"/>
      <c r="Z71" s="3452"/>
      <c r="AA71" s="3452"/>
      <c r="AB71" s="3452"/>
      <c r="AC71" s="3452"/>
    </row>
    <row r="72" spans="1:29" s="3328" customFormat="1" ht="15.75" thickBot="1">
      <c r="A72" s="3444"/>
      <c r="B72" s="3434"/>
      <c r="C72" s="3453"/>
      <c r="D72" s="3426"/>
      <c r="E72" s="3426"/>
      <c r="F72" s="3426"/>
      <c r="G72" s="3426"/>
      <c r="H72" s="3426"/>
      <c r="I72" s="3426"/>
      <c r="J72" s="3426"/>
      <c r="K72" s="3426"/>
      <c r="L72" s="3426"/>
      <c r="M72" s="3427"/>
      <c r="N72" s="3428"/>
      <c r="O72" s="3428"/>
      <c r="P72" s="3543"/>
      <c r="Q72" s="3451"/>
      <c r="R72" s="3452"/>
      <c r="S72" s="3452"/>
      <c r="T72" s="3452"/>
      <c r="U72" s="3452"/>
      <c r="V72" s="3452"/>
      <c r="W72" s="3452"/>
      <c r="X72" s="3452"/>
      <c r="Y72" s="3452"/>
      <c r="Z72" s="3452"/>
      <c r="AA72" s="3452"/>
      <c r="AB72" s="3452"/>
      <c r="AC72" s="3452"/>
    </row>
    <row r="73" spans="1:29" s="3328" customFormat="1" ht="15.75" thickTop="1">
      <c r="A73" s="3444"/>
      <c r="B73" s="3429">
        <f>B13</f>
        <v>111</v>
      </c>
      <c r="C73" s="3445"/>
      <c r="D73" s="3445"/>
      <c r="E73" s="3445"/>
      <c r="F73" s="3445"/>
      <c r="G73" s="3445"/>
      <c r="H73" s="3446"/>
      <c r="I73" s="3446"/>
      <c r="J73" s="3446"/>
      <c r="K73" s="3446"/>
      <c r="L73" s="3447"/>
      <c r="M73" s="3448"/>
      <c r="N73" s="3449"/>
      <c r="O73" s="3449"/>
      <c r="P73" s="3544"/>
      <c r="Q73" s="3454"/>
      <c r="R73" s="3452"/>
      <c r="S73" s="3452"/>
      <c r="T73" s="3452"/>
      <c r="U73" s="3452"/>
      <c r="V73" s="3452"/>
      <c r="W73" s="3452"/>
      <c r="X73" s="3452"/>
      <c r="Y73" s="3452"/>
      <c r="Z73" s="3452"/>
      <c r="AA73" s="3452"/>
      <c r="AB73" s="3452"/>
      <c r="AC73" s="3452"/>
    </row>
    <row r="74" spans="1:29" s="3328" customFormat="1" ht="15.75" thickBot="1">
      <c r="A74" s="3444"/>
      <c r="B74" s="3434"/>
      <c r="C74" s="3453"/>
      <c r="D74" s="3453"/>
      <c r="E74" s="3453"/>
      <c r="F74" s="3453"/>
      <c r="G74" s="3453"/>
      <c r="H74" s="3455"/>
      <c r="I74" s="3455"/>
      <c r="J74" s="3455"/>
      <c r="K74" s="3455"/>
      <c r="L74" s="3455"/>
      <c r="M74" s="3456"/>
      <c r="N74" s="3449"/>
      <c r="O74" s="3449"/>
      <c r="P74" s="3543"/>
      <c r="Q74" s="3451"/>
      <c r="R74" s="3452"/>
      <c r="S74" s="3452"/>
      <c r="T74" s="3452"/>
      <c r="U74" s="3452"/>
      <c r="V74" s="3452"/>
      <c r="W74" s="3452"/>
      <c r="X74" s="3452"/>
      <c r="Y74" s="3452"/>
      <c r="Z74" s="3452"/>
      <c r="AA74" s="3452"/>
      <c r="AB74" s="3452"/>
      <c r="AC74" s="3452"/>
    </row>
    <row r="75" spans="1:29" s="3328" customFormat="1" ht="15.75" thickTop="1">
      <c r="A75" s="3444"/>
      <c r="B75" s="3437">
        <f>B14</f>
        <v>111</v>
      </c>
      <c r="C75" s="3408"/>
      <c r="D75" s="3408"/>
      <c r="E75" s="3408"/>
      <c r="F75" s="3408"/>
      <c r="G75" s="3408"/>
      <c r="H75" s="3457"/>
      <c r="I75" s="3457"/>
      <c r="J75" s="3457"/>
      <c r="K75" s="3457"/>
      <c r="L75" s="3458"/>
      <c r="M75" s="3459"/>
      <c r="N75" s="3449"/>
      <c r="O75" s="3449"/>
      <c r="P75" s="3545"/>
      <c r="Q75" s="3451"/>
      <c r="R75" s="3452"/>
      <c r="S75" s="3452"/>
      <c r="T75" s="3452"/>
      <c r="U75" s="3452"/>
      <c r="V75" s="3452"/>
      <c r="W75" s="3452"/>
      <c r="X75" s="3452"/>
      <c r="Y75" s="3452"/>
      <c r="Z75" s="3452"/>
      <c r="AA75" s="3452"/>
      <c r="AB75" s="3452"/>
      <c r="AC75" s="3452"/>
    </row>
    <row r="76" spans="1:29" s="3328" customFormat="1" ht="15.75" thickBot="1">
      <c r="A76" s="3461"/>
      <c r="B76" s="3462"/>
      <c r="C76" s="3463"/>
      <c r="D76" s="3463"/>
      <c r="E76" s="3463"/>
      <c r="F76" s="3463"/>
      <c r="G76" s="3463"/>
      <c r="H76" s="3464"/>
      <c r="I76" s="3464"/>
      <c r="J76" s="3464"/>
      <c r="K76" s="3464"/>
      <c r="L76" s="3464"/>
      <c r="M76" s="3465"/>
      <c r="N76" s="3449"/>
      <c r="O76" s="3449"/>
      <c r="P76" s="3543"/>
      <c r="Q76" s="3451"/>
      <c r="R76" s="3452"/>
      <c r="S76" s="3452"/>
      <c r="T76" s="3452"/>
      <c r="U76" s="3452"/>
      <c r="V76" s="3452"/>
      <c r="W76" s="3452"/>
      <c r="X76" s="3452"/>
      <c r="Y76" s="3452"/>
      <c r="Z76" s="3452"/>
      <c r="AA76" s="3452"/>
      <c r="AB76" s="3452"/>
      <c r="AC76" s="3452"/>
    </row>
    <row r="77" spans="1:29">
      <c r="A77" s="3415" t="s">
        <v>3106</v>
      </c>
      <c r="B77" s="3416" t="s">
        <v>3154</v>
      </c>
      <c r="C77" s="3466" t="s">
        <v>3108</v>
      </c>
      <c r="D77" s="3466" t="s">
        <v>3109</v>
      </c>
      <c r="E77" s="3466" t="s">
        <v>3110</v>
      </c>
      <c r="F77" s="3466" t="s">
        <v>3111</v>
      </c>
      <c r="G77" s="3466" t="s">
        <v>3112</v>
      </c>
      <c r="H77" s="3417"/>
      <c r="I77" s="3417"/>
      <c r="J77" s="3417"/>
      <c r="K77" s="3467"/>
      <c r="L77" s="3468"/>
      <c r="M77" s="3469"/>
      <c r="N77" s="3422"/>
      <c r="O77" s="3422"/>
      <c r="P77" s="3546"/>
      <c r="Q77" s="3385"/>
      <c r="R77" s="3352"/>
      <c r="S77" s="3352"/>
      <c r="T77" s="3352"/>
      <c r="U77" s="3352"/>
      <c r="V77" s="3352"/>
      <c r="W77" s="3352"/>
      <c r="X77" s="3352"/>
      <c r="Y77" s="3352"/>
      <c r="Z77" s="3352"/>
      <c r="AA77" s="3352"/>
      <c r="AB77" s="3352"/>
      <c r="AC77" s="3352"/>
    </row>
    <row r="78" spans="1:29" ht="15.75" thickBot="1">
      <c r="A78" s="3424"/>
      <c r="B78" s="3434"/>
      <c r="C78" s="3435">
        <v>100</v>
      </c>
      <c r="D78" s="3435">
        <f>C78-$K15</f>
        <v>100</v>
      </c>
      <c r="E78" s="3435">
        <f>D78-$K15</f>
        <v>100</v>
      </c>
      <c r="F78" s="3435">
        <f>E78-$K15</f>
        <v>100</v>
      </c>
      <c r="G78" s="3435">
        <f>F78-$K15</f>
        <v>100</v>
      </c>
      <c r="H78" s="3435"/>
      <c r="I78" s="3435"/>
      <c r="J78" s="3435"/>
      <c r="K78" s="3435"/>
      <c r="L78" s="3435"/>
      <c r="M78" s="3436"/>
      <c r="N78" s="3428"/>
      <c r="O78" s="3428"/>
      <c r="P78" s="3542"/>
      <c r="Q78" s="3385"/>
      <c r="R78" s="3352"/>
      <c r="S78" s="3352"/>
      <c r="T78" s="3352"/>
      <c r="U78" s="3352"/>
      <c r="V78" s="3352"/>
      <c r="W78" s="3352"/>
      <c r="X78" s="3352"/>
      <c r="Y78" s="3352"/>
      <c r="Z78" s="3352"/>
      <c r="AA78" s="3352"/>
      <c r="AB78" s="3352"/>
      <c r="AC78" s="3352"/>
    </row>
    <row r="79" spans="1:29" ht="15.75" thickTop="1">
      <c r="A79" s="3424"/>
      <c r="B79" s="3429" t="s">
        <v>3113</v>
      </c>
      <c r="C79" s="3471" t="s">
        <v>3108</v>
      </c>
      <c r="D79" s="3471" t="s">
        <v>3109</v>
      </c>
      <c r="E79" s="3471" t="s">
        <v>3110</v>
      </c>
      <c r="F79" s="3471" t="s">
        <v>3111</v>
      </c>
      <c r="G79" s="3471" t="s">
        <v>3112</v>
      </c>
      <c r="H79" s="3430"/>
      <c r="I79" s="3430"/>
      <c r="J79" s="3430"/>
      <c r="K79" s="3431"/>
      <c r="L79" s="3432"/>
      <c r="M79" s="3433"/>
      <c r="N79" s="3422"/>
      <c r="O79" s="3422"/>
      <c r="P79" s="3542"/>
      <c r="Q79" s="3385"/>
      <c r="R79" s="3352"/>
      <c r="S79" s="3352"/>
      <c r="T79" s="3352"/>
      <c r="U79" s="3352"/>
      <c r="V79" s="3352"/>
      <c r="W79" s="3352"/>
      <c r="X79" s="3352"/>
      <c r="Y79" s="3352"/>
      <c r="Z79" s="3352"/>
      <c r="AA79" s="3352"/>
      <c r="AB79" s="3352"/>
      <c r="AC79" s="3352"/>
    </row>
    <row r="80" spans="1:29" ht="15.75" thickBot="1">
      <c r="A80" s="3424"/>
      <c r="B80" s="3434"/>
      <c r="C80" s="3435">
        <v>100</v>
      </c>
      <c r="D80" s="3435">
        <f>C80-$K17</f>
        <v>99</v>
      </c>
      <c r="E80" s="3435">
        <f>D80-$K17</f>
        <v>98</v>
      </c>
      <c r="F80" s="3435">
        <f>E80-$K17</f>
        <v>97</v>
      </c>
      <c r="G80" s="3435">
        <f>F80-$K17</f>
        <v>96</v>
      </c>
      <c r="H80" s="3435"/>
      <c r="I80" s="3435"/>
      <c r="J80" s="3435"/>
      <c r="K80" s="3435"/>
      <c r="L80" s="3435"/>
      <c r="M80" s="3436"/>
      <c r="N80" s="3428"/>
      <c r="O80" s="3428"/>
      <c r="P80" s="3542"/>
      <c r="Q80" s="3385"/>
      <c r="R80" s="3352"/>
      <c r="S80" s="3352"/>
      <c r="T80" s="3352"/>
      <c r="U80" s="3352"/>
      <c r="V80" s="3352"/>
      <c r="W80" s="3352"/>
      <c r="X80" s="3352"/>
      <c r="Y80" s="3352"/>
      <c r="Z80" s="3352"/>
      <c r="AA80" s="3352"/>
      <c r="AB80" s="3352"/>
      <c r="AC80" s="3352"/>
    </row>
    <row r="81" spans="1:29" ht="15.75" thickTop="1">
      <c r="A81" s="3424"/>
      <c r="B81" s="3472" t="s">
        <v>3067</v>
      </c>
      <c r="C81" s="3471" t="s">
        <v>3108</v>
      </c>
      <c r="D81" s="3471" t="s">
        <v>3109</v>
      </c>
      <c r="E81" s="3471" t="s">
        <v>3110</v>
      </c>
      <c r="F81" s="3471" t="s">
        <v>3111</v>
      </c>
      <c r="G81" s="3471" t="s">
        <v>3112</v>
      </c>
      <c r="H81" s="3430"/>
      <c r="I81" s="3430"/>
      <c r="J81" s="3430"/>
      <c r="K81" s="3431"/>
      <c r="L81" s="3432"/>
      <c r="M81" s="3433"/>
      <c r="N81" s="3422"/>
      <c r="O81" s="3422"/>
      <c r="P81" s="3542"/>
      <c r="Q81" s="3385"/>
      <c r="R81" s="3352"/>
      <c r="S81" s="3352"/>
      <c r="T81" s="3352"/>
      <c r="U81" s="3352"/>
      <c r="V81" s="3352"/>
      <c r="W81" s="3352"/>
      <c r="X81" s="3352"/>
      <c r="Y81" s="3352"/>
      <c r="Z81" s="3352"/>
      <c r="AA81" s="3352"/>
      <c r="AB81" s="3352"/>
      <c r="AC81" s="3352"/>
    </row>
    <row r="82" spans="1:29" ht="15.75" thickBot="1">
      <c r="A82" s="3424"/>
      <c r="B82" s="3434"/>
      <c r="C82" s="3435">
        <v>100</v>
      </c>
      <c r="D82" s="3435">
        <f>C82-$K19</f>
        <v>100</v>
      </c>
      <c r="E82" s="3435">
        <f>D82-$K19</f>
        <v>100</v>
      </c>
      <c r="F82" s="3435">
        <f>E82-$K19</f>
        <v>100</v>
      </c>
      <c r="G82" s="3435">
        <f>F82-$K19</f>
        <v>100</v>
      </c>
      <c r="H82" s="3435"/>
      <c r="I82" s="3435"/>
      <c r="J82" s="3435"/>
      <c r="K82" s="3435"/>
      <c r="L82" s="3435"/>
      <c r="M82" s="3436"/>
      <c r="N82" s="3428"/>
      <c r="O82" s="3428"/>
      <c r="P82" s="3542"/>
      <c r="Q82" s="3385"/>
      <c r="R82" s="3352"/>
      <c r="S82" s="3352"/>
      <c r="T82" s="3352"/>
      <c r="U82" s="3352"/>
      <c r="V82" s="3352"/>
      <c r="W82" s="3352"/>
      <c r="X82" s="3352"/>
      <c r="Y82" s="3352"/>
      <c r="Z82" s="3352"/>
      <c r="AA82" s="3352"/>
      <c r="AB82" s="3352"/>
      <c r="AC82" s="3352"/>
    </row>
    <row r="83" spans="1:29" ht="15.75" thickTop="1">
      <c r="A83" s="3424"/>
      <c r="B83" s="3473" t="s">
        <v>3068</v>
      </c>
      <c r="C83" s="3474" t="s">
        <v>3114</v>
      </c>
      <c r="D83" s="3474" t="s">
        <v>3115</v>
      </c>
      <c r="E83" s="3474" t="s">
        <v>3116</v>
      </c>
      <c r="F83" s="3474" t="s">
        <v>3117</v>
      </c>
      <c r="G83" s="3474" t="s">
        <v>3118</v>
      </c>
      <c r="H83" s="3430"/>
      <c r="I83" s="3430"/>
      <c r="J83" s="3430"/>
      <c r="K83" s="3430"/>
      <c r="L83" s="3430"/>
      <c r="M83" s="3475"/>
      <c r="N83" s="3428"/>
      <c r="O83" s="3428"/>
      <c r="P83" s="3542"/>
      <c r="Q83" s="3385"/>
      <c r="R83" s="3352"/>
      <c r="S83" s="3352"/>
      <c r="T83" s="3352"/>
      <c r="U83" s="3352"/>
      <c r="V83" s="3352"/>
      <c r="W83" s="3352"/>
      <c r="X83" s="3352"/>
      <c r="Y83" s="3352"/>
      <c r="Z83" s="3352"/>
      <c r="AA83" s="3352"/>
      <c r="AB83" s="3352"/>
      <c r="AC83" s="3352"/>
    </row>
    <row r="84" spans="1:29" ht="15.75" thickBot="1">
      <c r="A84" s="3424"/>
      <c r="B84" s="3437"/>
      <c r="C84" s="3435">
        <v>100</v>
      </c>
      <c r="D84" s="3435">
        <f>C84-$K21</f>
        <v>100</v>
      </c>
      <c r="E84" s="3435">
        <f>D84-$K21</f>
        <v>100</v>
      </c>
      <c r="F84" s="3435">
        <f>E84-$K21</f>
        <v>100</v>
      </c>
      <c r="G84" s="3435">
        <f>F84-$K21</f>
        <v>100</v>
      </c>
      <c r="H84" s="3476"/>
      <c r="I84" s="3476"/>
      <c r="J84" s="3476"/>
      <c r="K84" s="3476"/>
      <c r="L84" s="3476"/>
      <c r="M84" s="3282"/>
      <c r="N84" s="3428"/>
      <c r="O84" s="3428"/>
      <c r="P84" s="3542"/>
      <c r="Q84" s="3385"/>
      <c r="R84" s="3352"/>
      <c r="S84" s="3352"/>
      <c r="T84" s="3352"/>
      <c r="U84" s="3352"/>
      <c r="V84" s="3352"/>
      <c r="W84" s="3352"/>
      <c r="X84" s="3352"/>
      <c r="Y84" s="3352"/>
      <c r="Z84" s="3352"/>
      <c r="AA84" s="3352"/>
      <c r="AB84" s="3352"/>
      <c r="AC84" s="3352"/>
    </row>
    <row r="85" spans="1:29" ht="15.75" thickTop="1">
      <c r="A85" s="3424"/>
      <c r="B85" s="3429" t="s">
        <v>3141</v>
      </c>
      <c r="C85" s="3471" t="s">
        <v>3108</v>
      </c>
      <c r="D85" s="3471" t="s">
        <v>3109</v>
      </c>
      <c r="E85" s="3471" t="s">
        <v>3110</v>
      </c>
      <c r="F85" s="3471" t="s">
        <v>3111</v>
      </c>
      <c r="G85" s="3471" t="s">
        <v>3112</v>
      </c>
      <c r="H85" s="3430"/>
      <c r="I85" s="3430"/>
      <c r="J85" s="3430"/>
      <c r="K85" s="3431"/>
      <c r="L85" s="3432"/>
      <c r="M85" s="3433"/>
      <c r="N85" s="3422"/>
      <c r="O85" s="3422"/>
      <c r="P85" s="3542"/>
      <c r="Q85" s="3385"/>
      <c r="R85" s="3352"/>
      <c r="S85" s="3352"/>
      <c r="T85" s="3352"/>
      <c r="U85" s="3352"/>
      <c r="V85" s="3352"/>
      <c r="W85" s="3352"/>
      <c r="X85" s="3352"/>
      <c r="Y85" s="3352"/>
      <c r="Z85" s="3352"/>
      <c r="AA85" s="3352"/>
      <c r="AB85" s="3352"/>
      <c r="AC85" s="3352"/>
    </row>
    <row r="86" spans="1:29" ht="15.75" thickBot="1">
      <c r="A86" s="3424"/>
      <c r="B86" s="3434"/>
      <c r="C86" s="3435">
        <v>100</v>
      </c>
      <c r="D86" s="3435">
        <f>C86-$K23</f>
        <v>100</v>
      </c>
      <c r="E86" s="3435">
        <f>D86-$K23</f>
        <v>100</v>
      </c>
      <c r="F86" s="3435">
        <f>E86-$K23</f>
        <v>100</v>
      </c>
      <c r="G86" s="3435">
        <f>F86-$K23</f>
        <v>100</v>
      </c>
      <c r="H86" s="3435"/>
      <c r="I86" s="3435"/>
      <c r="J86" s="3435"/>
      <c r="K86" s="3435"/>
      <c r="L86" s="3435"/>
      <c r="M86" s="3436"/>
      <c r="N86" s="3428"/>
      <c r="O86" s="3428"/>
      <c r="P86" s="3542"/>
      <c r="Q86" s="3385"/>
      <c r="R86" s="3352"/>
      <c r="S86" s="3352"/>
      <c r="T86" s="3352"/>
      <c r="U86" s="3352"/>
      <c r="V86" s="3352"/>
      <c r="W86" s="3352"/>
      <c r="X86" s="3352"/>
      <c r="Y86" s="3352"/>
      <c r="Z86" s="3352"/>
      <c r="AA86" s="3352"/>
      <c r="AB86" s="3352"/>
      <c r="AC86" s="3352"/>
    </row>
    <row r="87" spans="1:29" s="3224" customFormat="1" ht="27.75" thickTop="1">
      <c r="A87" s="3477"/>
      <c r="B87" s="3429" t="s">
        <v>3142</v>
      </c>
      <c r="C87" s="3445"/>
      <c r="D87" s="3445"/>
      <c r="E87" s="3445"/>
      <c r="F87" s="3445"/>
      <c r="G87" s="3445"/>
      <c r="H87" s="3445"/>
      <c r="I87" s="3445"/>
      <c r="J87" s="3445"/>
      <c r="K87" s="3445"/>
      <c r="L87" s="3479"/>
      <c r="M87" s="3480"/>
      <c r="N87" s="3411"/>
      <c r="O87" s="3411"/>
      <c r="P87" s="3542"/>
      <c r="Q87" s="3385"/>
      <c r="R87" s="3399"/>
      <c r="S87" s="3399"/>
      <c r="T87" s="3399"/>
      <c r="U87" s="3399"/>
      <c r="V87" s="3399"/>
      <c r="W87" s="3399"/>
      <c r="X87" s="3399"/>
      <c r="Y87" s="3399"/>
      <c r="Z87" s="3399"/>
      <c r="AA87" s="3399"/>
      <c r="AB87" s="3399"/>
      <c r="AC87" s="3399"/>
    </row>
    <row r="88" spans="1:29" s="3224" customFormat="1" ht="15.75" thickBot="1">
      <c r="A88" s="3477"/>
      <c r="B88" s="3434"/>
      <c r="C88" s="3481">
        <v>100</v>
      </c>
      <c r="D88" s="3435">
        <f t="shared" ref="D88:M88" si="16">C88-$K25</f>
        <v>100</v>
      </c>
      <c r="E88" s="3435">
        <f t="shared" si="16"/>
        <v>100</v>
      </c>
      <c r="F88" s="3435">
        <f t="shared" si="16"/>
        <v>100</v>
      </c>
      <c r="G88" s="3435">
        <f t="shared" si="16"/>
        <v>100</v>
      </c>
      <c r="H88" s="3435">
        <f t="shared" si="16"/>
        <v>100</v>
      </c>
      <c r="I88" s="3435">
        <f t="shared" si="16"/>
        <v>100</v>
      </c>
      <c r="J88" s="3435">
        <f t="shared" si="16"/>
        <v>100</v>
      </c>
      <c r="K88" s="3435">
        <f t="shared" si="16"/>
        <v>100</v>
      </c>
      <c r="L88" s="3435">
        <f t="shared" si="16"/>
        <v>100</v>
      </c>
      <c r="M88" s="3435">
        <f t="shared" si="16"/>
        <v>100</v>
      </c>
      <c r="N88" s="3428"/>
      <c r="O88" s="3428"/>
      <c r="P88" s="3542"/>
      <c r="Q88" s="3385"/>
      <c r="R88" s="3399"/>
      <c r="S88" s="3399"/>
      <c r="T88" s="3399"/>
      <c r="U88" s="3399"/>
      <c r="V88" s="3399"/>
      <c r="W88" s="3399"/>
      <c r="X88" s="3399"/>
      <c r="Y88" s="3399"/>
      <c r="Z88" s="3399"/>
      <c r="AA88" s="3399"/>
      <c r="AB88" s="3399"/>
      <c r="AC88" s="3399"/>
    </row>
    <row r="89" spans="1:29" s="3224" customFormat="1" ht="15.75" thickTop="1">
      <c r="A89" s="3477"/>
      <c r="B89" s="3429" t="str">
        <f>B27</f>
        <v>楼层</v>
      </c>
      <c r="C89" s="3445"/>
      <c r="D89" s="3445"/>
      <c r="E89" s="3445"/>
      <c r="F89" s="3482"/>
      <c r="G89" s="3445"/>
      <c r="H89" s="3445"/>
      <c r="I89" s="3445"/>
      <c r="J89" s="3445"/>
      <c r="K89" s="3445"/>
      <c r="L89" s="3445"/>
      <c r="M89" s="3480"/>
      <c r="N89" s="3411"/>
      <c r="O89" s="3411"/>
      <c r="P89" s="3542"/>
      <c r="Q89" s="3385"/>
      <c r="R89" s="3399"/>
      <c r="S89" s="3399"/>
      <c r="T89" s="3399"/>
      <c r="U89" s="3399"/>
      <c r="V89" s="3399"/>
      <c r="W89" s="3399"/>
      <c r="X89" s="3399"/>
      <c r="Y89" s="3399"/>
      <c r="Z89" s="3399"/>
      <c r="AA89" s="3399"/>
      <c r="AB89" s="3399"/>
      <c r="AC89" s="3399"/>
    </row>
    <row r="90" spans="1:29" s="3224" customFormat="1" ht="15.75" thickBot="1">
      <c r="A90" s="3477"/>
      <c r="B90" s="3434"/>
      <c r="C90" s="3481">
        <v>100</v>
      </c>
      <c r="D90" s="3435">
        <f>C90-$K27</f>
        <v>100</v>
      </c>
      <c r="E90" s="3435">
        <f t="shared" ref="E90:M90" si="17">D90-$K27</f>
        <v>100</v>
      </c>
      <c r="F90" s="3435">
        <f t="shared" si="17"/>
        <v>100</v>
      </c>
      <c r="G90" s="3435">
        <f t="shared" si="17"/>
        <v>100</v>
      </c>
      <c r="H90" s="3435">
        <f t="shared" si="17"/>
        <v>100</v>
      </c>
      <c r="I90" s="3435">
        <f t="shared" si="17"/>
        <v>100</v>
      </c>
      <c r="J90" s="3435">
        <f t="shared" si="17"/>
        <v>100</v>
      </c>
      <c r="K90" s="3435">
        <f t="shared" si="17"/>
        <v>100</v>
      </c>
      <c r="L90" s="3435">
        <f t="shared" si="17"/>
        <v>100</v>
      </c>
      <c r="M90" s="3435">
        <f t="shared" si="17"/>
        <v>100</v>
      </c>
      <c r="N90" s="3428"/>
      <c r="O90" s="3428"/>
      <c r="P90" s="3542"/>
      <c r="Q90" s="3385"/>
      <c r="R90" s="3399"/>
      <c r="S90" s="3399"/>
      <c r="T90" s="3399"/>
      <c r="U90" s="3399"/>
      <c r="V90" s="3399"/>
      <c r="W90" s="3399"/>
      <c r="X90" s="3399"/>
      <c r="Y90" s="3399"/>
      <c r="Z90" s="3399"/>
      <c r="AA90" s="3399"/>
      <c r="AB90" s="3399"/>
      <c r="AC90" s="3399"/>
    </row>
    <row r="91" spans="1:29" s="3328" customFormat="1" ht="15.75" thickTop="1">
      <c r="A91" s="3444"/>
      <c r="B91" s="3429" t="str">
        <f>B28</f>
        <v>朝向</v>
      </c>
      <c r="C91" s="3445"/>
      <c r="D91" s="3445"/>
      <c r="E91" s="3445"/>
      <c r="F91" s="3445"/>
      <c r="G91" s="3445"/>
      <c r="H91" s="3446"/>
      <c r="I91" s="3446"/>
      <c r="J91" s="3446"/>
      <c r="K91" s="3446"/>
      <c r="L91" s="3447"/>
      <c r="M91" s="3448"/>
      <c r="N91" s="3449"/>
      <c r="O91" s="3449"/>
      <c r="P91" s="3543"/>
      <c r="Q91" s="3451"/>
      <c r="R91" s="3452"/>
      <c r="S91" s="3452"/>
      <c r="T91" s="3452"/>
      <c r="U91" s="3452"/>
      <c r="V91" s="3452"/>
      <c r="W91" s="3452"/>
      <c r="X91" s="3452"/>
      <c r="Y91" s="3452"/>
      <c r="Z91" s="3452"/>
      <c r="AA91" s="3452"/>
      <c r="AB91" s="3452"/>
      <c r="AC91" s="3452"/>
    </row>
    <row r="92" spans="1:29" s="3328" customFormat="1" ht="15.75" thickBot="1">
      <c r="A92" s="3444"/>
      <c r="B92" s="3434"/>
      <c r="C92" s="3481">
        <v>100</v>
      </c>
      <c r="D92" s="3435">
        <f t="shared" ref="D92:M92" si="18">C92-$K28</f>
        <v>100</v>
      </c>
      <c r="E92" s="3435">
        <f t="shared" si="18"/>
        <v>100</v>
      </c>
      <c r="F92" s="3435">
        <f t="shared" si="18"/>
        <v>100</v>
      </c>
      <c r="G92" s="3435">
        <f t="shared" si="18"/>
        <v>100</v>
      </c>
      <c r="H92" s="3435">
        <f t="shared" si="18"/>
        <v>100</v>
      </c>
      <c r="I92" s="3435">
        <f t="shared" si="18"/>
        <v>100</v>
      </c>
      <c r="J92" s="3435">
        <f t="shared" si="18"/>
        <v>100</v>
      </c>
      <c r="K92" s="3435">
        <f t="shared" si="18"/>
        <v>100</v>
      </c>
      <c r="L92" s="3435">
        <f t="shared" si="18"/>
        <v>100</v>
      </c>
      <c r="M92" s="3435">
        <f t="shared" si="18"/>
        <v>100</v>
      </c>
      <c r="N92" s="3449"/>
      <c r="O92" s="3449"/>
      <c r="P92" s="3543"/>
      <c r="Q92" s="3451"/>
      <c r="R92" s="3452"/>
      <c r="S92" s="3452"/>
      <c r="T92" s="3452"/>
      <c r="U92" s="3452"/>
      <c r="V92" s="3452"/>
      <c r="W92" s="3452"/>
      <c r="X92" s="3452"/>
      <c r="Y92" s="3452"/>
      <c r="Z92" s="3452"/>
      <c r="AA92" s="3452"/>
      <c r="AB92" s="3452"/>
      <c r="AC92" s="3452"/>
    </row>
    <row r="93" spans="1:29" ht="15.75" thickTop="1">
      <c r="A93" s="3424"/>
      <c r="B93" s="3429">
        <f>B29</f>
        <v>111</v>
      </c>
      <c r="C93" s="3445"/>
      <c r="D93" s="3445"/>
      <c r="E93" s="3445"/>
      <c r="F93" s="3445"/>
      <c r="G93" s="3445"/>
      <c r="H93" s="3445"/>
      <c r="I93" s="3445"/>
      <c r="J93" s="3445"/>
      <c r="K93" s="3445"/>
      <c r="L93" s="3479"/>
      <c r="M93" s="3480"/>
      <c r="N93" s="3422"/>
      <c r="O93" s="3422"/>
      <c r="P93" s="3542"/>
      <c r="Q93" s="3385"/>
      <c r="R93" s="3352"/>
      <c r="S93" s="3352"/>
      <c r="T93" s="3352"/>
      <c r="U93" s="3352"/>
      <c r="V93" s="3352"/>
      <c r="W93" s="3352"/>
      <c r="X93" s="3352"/>
      <c r="Y93" s="3352"/>
      <c r="Z93" s="3352"/>
      <c r="AA93" s="3352"/>
      <c r="AB93" s="3352"/>
      <c r="AC93" s="3352"/>
    </row>
    <row r="94" spans="1:29" ht="15.75" thickBot="1">
      <c r="A94" s="3424"/>
      <c r="B94" s="3434"/>
      <c r="C94" s="3453"/>
      <c r="D94" s="3426"/>
      <c r="E94" s="3426"/>
      <c r="F94" s="3426"/>
      <c r="G94" s="3426"/>
      <c r="H94" s="3426"/>
      <c r="I94" s="3426"/>
      <c r="J94" s="3426"/>
      <c r="K94" s="3426"/>
      <c r="L94" s="3426"/>
      <c r="M94" s="3427"/>
      <c r="N94" s="3428"/>
      <c r="O94" s="3428"/>
      <c r="P94" s="3542"/>
      <c r="Q94" s="3385"/>
      <c r="R94" s="3352"/>
      <c r="S94" s="3352"/>
      <c r="T94" s="3352"/>
      <c r="U94" s="3352"/>
      <c r="V94" s="3352"/>
      <c r="W94" s="3352"/>
      <c r="X94" s="3352"/>
      <c r="Y94" s="3352"/>
      <c r="Z94" s="3352"/>
      <c r="AA94" s="3352"/>
      <c r="AB94" s="3352"/>
      <c r="AC94" s="3352"/>
    </row>
    <row r="95" spans="1:29" ht="15.75" thickTop="1">
      <c r="A95" s="3424"/>
      <c r="B95" s="3429">
        <f>B30</f>
        <v>111</v>
      </c>
      <c r="C95" s="3445"/>
      <c r="D95" s="3445"/>
      <c r="E95" s="3445"/>
      <c r="F95" s="3445"/>
      <c r="G95" s="3483"/>
      <c r="H95" s="3483"/>
      <c r="I95" s="3483"/>
      <c r="J95" s="3483"/>
      <c r="K95" s="3484"/>
      <c r="L95" s="3485"/>
      <c r="M95" s="3486"/>
      <c r="N95" s="3422"/>
      <c r="O95" s="3422"/>
      <c r="P95" s="3542"/>
      <c r="Q95" s="3385"/>
      <c r="R95" s="3352"/>
      <c r="S95" s="3352"/>
      <c r="T95" s="3352"/>
      <c r="U95" s="3352"/>
      <c r="V95" s="3352"/>
      <c r="W95" s="3352"/>
      <c r="X95" s="3352"/>
      <c r="Y95" s="3352"/>
      <c r="Z95" s="3352"/>
      <c r="AA95" s="3352"/>
      <c r="AB95" s="3352"/>
      <c r="AC95" s="3352"/>
    </row>
    <row r="96" spans="1:29" ht="15.75" thickBot="1">
      <c r="A96" s="3424"/>
      <c r="B96" s="3434"/>
      <c r="C96" s="3453"/>
      <c r="D96" s="3453"/>
      <c r="E96" s="3453"/>
      <c r="F96" s="3453"/>
      <c r="G96" s="3426"/>
      <c r="H96" s="3426"/>
      <c r="I96" s="3426"/>
      <c r="J96" s="3426"/>
      <c r="K96" s="3426"/>
      <c r="L96" s="3426"/>
      <c r="M96" s="3427"/>
      <c r="N96" s="3428"/>
      <c r="O96" s="3428"/>
      <c r="P96" s="3542"/>
      <c r="Q96" s="3385"/>
      <c r="R96" s="3352"/>
      <c r="S96" s="3352"/>
      <c r="T96" s="3352"/>
      <c r="U96" s="3352"/>
      <c r="V96" s="3352"/>
      <c r="W96" s="3352"/>
      <c r="X96" s="3352"/>
      <c r="Y96" s="3352"/>
      <c r="Z96" s="3352"/>
      <c r="AA96" s="3352"/>
      <c r="AB96" s="3352"/>
      <c r="AC96" s="3352"/>
    </row>
    <row r="97" spans="1:29" ht="15.75" thickTop="1">
      <c r="A97" s="3424"/>
      <c r="B97" s="3429">
        <f>B31</f>
        <v>111</v>
      </c>
      <c r="C97" s="3445"/>
      <c r="D97" s="3445"/>
      <c r="E97" s="3445"/>
      <c r="F97" s="3445"/>
      <c r="G97" s="3483"/>
      <c r="H97" s="3483"/>
      <c r="I97" s="3483"/>
      <c r="J97" s="3483"/>
      <c r="K97" s="3484"/>
      <c r="L97" s="3485"/>
      <c r="M97" s="3486"/>
      <c r="N97" s="3422"/>
      <c r="O97" s="3422"/>
      <c r="P97" s="3542"/>
      <c r="Q97" s="3385"/>
      <c r="R97" s="3352"/>
      <c r="S97" s="3352"/>
      <c r="T97" s="3352"/>
      <c r="U97" s="3352"/>
      <c r="V97" s="3352"/>
      <c r="W97" s="3352"/>
      <c r="X97" s="3352"/>
      <c r="Y97" s="3352"/>
      <c r="Z97" s="3352"/>
      <c r="AA97" s="3352"/>
      <c r="AB97" s="3352"/>
      <c r="AC97" s="3352"/>
    </row>
    <row r="98" spans="1:29" ht="15.75" thickBot="1">
      <c r="A98" s="3424"/>
      <c r="B98" s="3434"/>
      <c r="C98" s="3453"/>
      <c r="D98" s="3426"/>
      <c r="E98" s="3426"/>
      <c r="F98" s="3426"/>
      <c r="G98" s="3426"/>
      <c r="H98" s="3426"/>
      <c r="I98" s="3426"/>
      <c r="J98" s="3426"/>
      <c r="K98" s="3426"/>
      <c r="L98" s="3426"/>
      <c r="M98" s="3427"/>
      <c r="N98" s="3428"/>
      <c r="O98" s="3428"/>
      <c r="P98" s="3542"/>
      <c r="Q98" s="3385"/>
      <c r="R98" s="3352"/>
      <c r="S98" s="3352"/>
      <c r="T98" s="3352"/>
      <c r="U98" s="3352"/>
      <c r="V98" s="3352"/>
      <c r="W98" s="3352"/>
      <c r="X98" s="3352"/>
      <c r="Y98" s="3352"/>
      <c r="Z98" s="3352"/>
      <c r="AA98" s="3352"/>
      <c r="AB98" s="3352"/>
      <c r="AC98" s="3352"/>
    </row>
    <row r="99" spans="1:29" ht="15.75" thickTop="1">
      <c r="A99" s="3424"/>
      <c r="B99" s="3437">
        <f>B32</f>
        <v>111</v>
      </c>
      <c r="C99" s="3408"/>
      <c r="D99" s="3408"/>
      <c r="E99" s="3408"/>
      <c r="F99" s="3408"/>
      <c r="G99" s="3487"/>
      <c r="H99" s="3487"/>
      <c r="I99" s="3487"/>
      <c r="J99" s="3487"/>
      <c r="K99" s="3488"/>
      <c r="L99" s="3489"/>
      <c r="M99" s="3490"/>
      <c r="N99" s="3422"/>
      <c r="O99" s="3422"/>
      <c r="P99" s="3542"/>
      <c r="Q99" s="3385"/>
      <c r="R99" s="3352"/>
      <c r="S99" s="3352"/>
      <c r="T99" s="3352"/>
      <c r="U99" s="3352"/>
      <c r="V99" s="3352"/>
      <c r="W99" s="3352"/>
      <c r="X99" s="3352"/>
      <c r="Y99" s="3352"/>
      <c r="Z99" s="3352"/>
      <c r="AA99" s="3352"/>
      <c r="AB99" s="3352"/>
      <c r="AC99" s="3352"/>
    </row>
    <row r="100" spans="1:29" ht="15.75" thickBot="1">
      <c r="A100" s="3491"/>
      <c r="B100" s="3462"/>
      <c r="C100" s="3463"/>
      <c r="D100" s="3463"/>
      <c r="E100" s="3463"/>
      <c r="F100" s="3463"/>
      <c r="G100" s="3492"/>
      <c r="H100" s="3492"/>
      <c r="I100" s="3492"/>
      <c r="J100" s="3492"/>
      <c r="K100" s="3492"/>
      <c r="L100" s="3492"/>
      <c r="M100" s="3493"/>
      <c r="N100" s="3428"/>
      <c r="O100" s="3428"/>
      <c r="P100" s="3542"/>
      <c r="Q100" s="3385"/>
      <c r="R100" s="3352"/>
      <c r="S100" s="3352"/>
      <c r="T100" s="3352"/>
      <c r="U100" s="3352"/>
      <c r="V100" s="3352"/>
      <c r="W100" s="3352"/>
      <c r="X100" s="3352"/>
      <c r="Y100" s="3352"/>
      <c r="Z100" s="3352"/>
      <c r="AA100" s="3352"/>
      <c r="AB100" s="3352"/>
      <c r="AC100" s="3352"/>
    </row>
    <row r="101" spans="1:29">
      <c r="A101" s="3415" t="s">
        <v>3123</v>
      </c>
      <c r="B101" s="3416" t="s">
        <v>3144</v>
      </c>
      <c r="C101" s="3494" t="s">
        <v>3155</v>
      </c>
      <c r="D101" s="3418"/>
      <c r="E101" s="3418"/>
      <c r="F101" s="3418"/>
      <c r="G101" s="3418"/>
      <c r="H101" s="3418"/>
      <c r="I101" s="3418"/>
      <c r="J101" s="3418"/>
      <c r="K101" s="3419"/>
      <c r="L101" s="3420"/>
      <c r="M101" s="3421"/>
      <c r="N101" s="3422"/>
      <c r="O101" s="3422"/>
      <c r="P101" s="3542"/>
      <c r="Q101" s="3385"/>
      <c r="R101" s="3352"/>
      <c r="S101" s="3352"/>
      <c r="T101" s="3352"/>
      <c r="U101" s="3352"/>
      <c r="V101" s="3352"/>
      <c r="W101" s="3352"/>
      <c r="X101" s="3352"/>
      <c r="Y101" s="3352"/>
      <c r="Z101" s="3352"/>
      <c r="AA101" s="3352"/>
      <c r="AB101" s="3352"/>
      <c r="AC101" s="3352"/>
    </row>
    <row r="102" spans="1:29" ht="15.75" thickBot="1">
      <c r="A102" s="3424"/>
      <c r="B102" s="3434"/>
      <c r="C102" s="3435">
        <v>100</v>
      </c>
      <c r="D102" s="3435">
        <f t="shared" ref="D102:M102" si="19">C102-$K33</f>
        <v>100</v>
      </c>
      <c r="E102" s="3435">
        <f t="shared" si="19"/>
        <v>100</v>
      </c>
      <c r="F102" s="3435">
        <f t="shared" si="19"/>
        <v>100</v>
      </c>
      <c r="G102" s="3435">
        <f t="shared" si="19"/>
        <v>100</v>
      </c>
      <c r="H102" s="3435">
        <f t="shared" si="19"/>
        <v>100</v>
      </c>
      <c r="I102" s="3435">
        <f t="shared" si="19"/>
        <v>100</v>
      </c>
      <c r="J102" s="3435">
        <f t="shared" si="19"/>
        <v>100</v>
      </c>
      <c r="K102" s="3435">
        <f t="shared" si="19"/>
        <v>100</v>
      </c>
      <c r="L102" s="3435">
        <f t="shared" si="19"/>
        <v>100</v>
      </c>
      <c r="M102" s="3436">
        <f t="shared" si="19"/>
        <v>100</v>
      </c>
      <c r="N102" s="3428"/>
      <c r="O102" s="3428"/>
      <c r="P102" s="3542"/>
      <c r="Q102" s="3385"/>
      <c r="R102" s="3352"/>
      <c r="S102" s="3352"/>
      <c r="T102" s="3352"/>
      <c r="U102" s="3352"/>
      <c r="V102" s="3352"/>
      <c r="W102" s="3352"/>
      <c r="X102" s="3352"/>
      <c r="Y102" s="3352"/>
      <c r="Z102" s="3352"/>
      <c r="AA102" s="3352"/>
      <c r="AB102" s="3352"/>
      <c r="AC102" s="3352"/>
    </row>
    <row r="103" spans="1:29" ht="15.75" thickTop="1">
      <c r="A103" s="3424"/>
      <c r="B103" s="3429" t="s">
        <v>3126</v>
      </c>
      <c r="C103" s="3471" t="str">
        <f>C104&amp;"(含)"&amp;"-"&amp;D104</f>
        <v>1(含)-200</v>
      </c>
      <c r="D103" s="3471" t="str">
        <f t="shared" ref="D103:L103" si="20">D104&amp;"(含)"&amp;"-"&amp;E104</f>
        <v>200(含)-</v>
      </c>
      <c r="E103" s="3471" t="str">
        <f t="shared" si="20"/>
        <v>(含)-</v>
      </c>
      <c r="F103" s="3471" t="str">
        <f t="shared" si="20"/>
        <v>(含)-</v>
      </c>
      <c r="G103" s="3471" t="str">
        <f t="shared" si="20"/>
        <v>(含)-</v>
      </c>
      <c r="H103" s="3471" t="str">
        <f t="shared" si="20"/>
        <v>(含)-</v>
      </c>
      <c r="I103" s="3471" t="str">
        <f t="shared" si="20"/>
        <v>(含)-</v>
      </c>
      <c r="J103" s="3471" t="str">
        <f t="shared" si="20"/>
        <v>(含)-</v>
      </c>
      <c r="K103" s="3471" t="str">
        <f t="shared" si="20"/>
        <v>(含)-</v>
      </c>
      <c r="L103" s="3471" t="str">
        <f t="shared" si="20"/>
        <v>(含)-</v>
      </c>
      <c r="M103" s="3495" t="str">
        <f>M104&amp;"(含)"&amp;"-"&amp;P104</f>
        <v>(含)-</v>
      </c>
      <c r="N103" s="3411"/>
      <c r="O103" s="3411"/>
      <c r="P103" s="3542"/>
      <c r="Q103" s="3385"/>
      <c r="R103" s="3352"/>
      <c r="S103" s="3352"/>
      <c r="T103" s="3352"/>
      <c r="U103" s="3352"/>
      <c r="V103" s="3352"/>
      <c r="W103" s="3352"/>
      <c r="X103" s="3352"/>
      <c r="Y103" s="3352"/>
      <c r="Z103" s="3352"/>
      <c r="AA103" s="3352"/>
      <c r="AB103" s="3352"/>
      <c r="AC103" s="3352"/>
    </row>
    <row r="104" spans="1:29" s="3328" customFormat="1">
      <c r="A104" s="3496"/>
      <c r="B104" s="3497"/>
      <c r="C104" s="3498">
        <v>1</v>
      </c>
      <c r="D104" s="3498">
        <v>200</v>
      </c>
      <c r="E104" s="3498"/>
      <c r="F104" s="3498"/>
      <c r="G104" s="3498"/>
      <c r="H104" s="3498"/>
      <c r="I104" s="3498"/>
      <c r="J104" s="3499"/>
      <c r="K104" s="3499"/>
      <c r="L104" s="3500"/>
      <c r="M104" s="3501"/>
      <c r="N104" s="3449"/>
      <c r="O104" s="3449"/>
      <c r="P104" s="3543"/>
      <c r="Q104" s="3451"/>
      <c r="R104" s="3452"/>
      <c r="S104" s="3452"/>
      <c r="T104" s="3452"/>
      <c r="U104" s="3452"/>
      <c r="V104" s="3452"/>
      <c r="W104" s="3452"/>
      <c r="X104" s="3452"/>
      <c r="Y104" s="3452"/>
      <c r="Z104" s="3452"/>
      <c r="AA104" s="3452"/>
      <c r="AB104" s="3452"/>
      <c r="AC104" s="3452"/>
    </row>
    <row r="105" spans="1:29" s="3328" customFormat="1" ht="15.75" thickBot="1">
      <c r="A105" s="3444"/>
      <c r="B105" s="3434"/>
      <c r="C105" s="3453">
        <v>100</v>
      </c>
      <c r="D105" s="3426"/>
      <c r="E105" s="3426"/>
      <c r="F105" s="3426"/>
      <c r="G105" s="3426"/>
      <c r="H105" s="3426"/>
      <c r="I105" s="3426"/>
      <c r="J105" s="3426"/>
      <c r="K105" s="3426"/>
      <c r="L105" s="3426"/>
      <c r="M105" s="3427"/>
      <c r="N105" s="3428"/>
      <c r="O105" s="3428"/>
      <c r="P105" s="3543"/>
      <c r="Q105" s="3451"/>
      <c r="R105" s="3452"/>
      <c r="S105" s="3452"/>
      <c r="T105" s="3452"/>
      <c r="U105" s="3452"/>
      <c r="V105" s="3452"/>
      <c r="W105" s="3452"/>
      <c r="X105" s="3452"/>
      <c r="Y105" s="3452"/>
      <c r="Z105" s="3452"/>
      <c r="AA105" s="3452"/>
      <c r="AB105" s="3452"/>
      <c r="AC105" s="3452"/>
    </row>
    <row r="106" spans="1:29" ht="15" thickTop="1">
      <c r="A106" s="3502"/>
      <c r="B106" s="3429" t="s">
        <v>3127</v>
      </c>
      <c r="C106" s="3478" t="s">
        <v>3128</v>
      </c>
      <c r="D106" s="3445"/>
      <c r="E106" s="3483"/>
      <c r="F106" s="3483"/>
      <c r="G106" s="3483"/>
      <c r="H106" s="3483"/>
      <c r="I106" s="3483"/>
      <c r="J106" s="3483"/>
      <c r="K106" s="3484"/>
      <c r="L106" s="3485"/>
      <c r="M106" s="3486"/>
      <c r="N106" s="3422"/>
      <c r="O106" s="3422"/>
      <c r="P106" s="3542"/>
      <c r="Q106" s="3385"/>
      <c r="R106" s="3352"/>
      <c r="S106" s="3352"/>
      <c r="T106" s="3352"/>
      <c r="U106" s="3352"/>
      <c r="V106" s="3352"/>
      <c r="W106" s="3352"/>
      <c r="X106" s="3352"/>
      <c r="Y106" s="3352"/>
      <c r="Z106" s="3352"/>
      <c r="AA106" s="3352"/>
      <c r="AB106" s="3352"/>
      <c r="AC106" s="3352"/>
    </row>
    <row r="107" spans="1:29" ht="15.75" thickBot="1">
      <c r="A107" s="3424"/>
      <c r="B107" s="3434"/>
      <c r="C107" s="3435">
        <v>100</v>
      </c>
      <c r="D107" s="3435">
        <f t="shared" ref="D107:M107" si="21">C107-$K35</f>
        <v>100</v>
      </c>
      <c r="E107" s="3435">
        <f t="shared" si="21"/>
        <v>100</v>
      </c>
      <c r="F107" s="3435">
        <f t="shared" si="21"/>
        <v>100</v>
      </c>
      <c r="G107" s="3435">
        <f t="shared" si="21"/>
        <v>100</v>
      </c>
      <c r="H107" s="3435">
        <f t="shared" si="21"/>
        <v>100</v>
      </c>
      <c r="I107" s="3435">
        <f t="shared" si="21"/>
        <v>100</v>
      </c>
      <c r="J107" s="3435">
        <f t="shared" si="21"/>
        <v>100</v>
      </c>
      <c r="K107" s="3435">
        <f t="shared" si="21"/>
        <v>100</v>
      </c>
      <c r="L107" s="3435">
        <f t="shared" si="21"/>
        <v>100</v>
      </c>
      <c r="M107" s="3436">
        <f t="shared" si="21"/>
        <v>100</v>
      </c>
      <c r="N107" s="3428"/>
      <c r="O107" s="3428"/>
      <c r="P107" s="3542"/>
      <c r="Q107" s="3385"/>
      <c r="R107" s="3352"/>
      <c r="S107" s="3352"/>
      <c r="T107" s="3352"/>
      <c r="U107" s="3352"/>
      <c r="V107" s="3352"/>
      <c r="W107" s="3352"/>
      <c r="X107" s="3352"/>
      <c r="Y107" s="3352"/>
      <c r="Z107" s="3352"/>
      <c r="AA107" s="3352"/>
      <c r="AB107" s="3352"/>
      <c r="AC107" s="3352"/>
    </row>
    <row r="108" spans="1:29" ht="15" thickTop="1">
      <c r="A108" s="3502"/>
      <c r="B108" s="3429" t="s">
        <v>3079</v>
      </c>
      <c r="C108" s="3478" t="s">
        <v>3156</v>
      </c>
      <c r="D108" s="3478" t="s">
        <v>3129</v>
      </c>
      <c r="E108" s="3445"/>
      <c r="F108" s="3483"/>
      <c r="G108" s="3483"/>
      <c r="H108" s="3483"/>
      <c r="I108" s="3483"/>
      <c r="J108" s="3483"/>
      <c r="K108" s="3484"/>
      <c r="L108" s="3485"/>
      <c r="M108" s="3486"/>
      <c r="N108" s="3422"/>
      <c r="O108" s="3422"/>
      <c r="P108" s="3542"/>
      <c r="Q108" s="3385"/>
      <c r="R108" s="3352"/>
      <c r="S108" s="3352"/>
      <c r="T108" s="3352"/>
      <c r="U108" s="3352"/>
      <c r="V108" s="3352"/>
      <c r="W108" s="3352"/>
      <c r="X108" s="3352"/>
      <c r="Y108" s="3352"/>
      <c r="Z108" s="3352"/>
      <c r="AA108" s="3352"/>
      <c r="AB108" s="3352"/>
      <c r="AC108" s="3352"/>
    </row>
    <row r="109" spans="1:29" ht="15.75" thickBot="1">
      <c r="A109" s="3424"/>
      <c r="B109" s="3434"/>
      <c r="C109" s="3435">
        <v>100</v>
      </c>
      <c r="D109" s="3435">
        <f t="shared" ref="D109:M109" si="22">C109-$K36</f>
        <v>98</v>
      </c>
      <c r="E109" s="3435">
        <f t="shared" si="22"/>
        <v>96</v>
      </c>
      <c r="F109" s="3435">
        <f t="shared" si="22"/>
        <v>94</v>
      </c>
      <c r="G109" s="3435">
        <f t="shared" si="22"/>
        <v>92</v>
      </c>
      <c r="H109" s="3435">
        <f t="shared" si="22"/>
        <v>90</v>
      </c>
      <c r="I109" s="3435">
        <f t="shared" si="22"/>
        <v>88</v>
      </c>
      <c r="J109" s="3435">
        <f t="shared" si="22"/>
        <v>86</v>
      </c>
      <c r="K109" s="3435">
        <f t="shared" si="22"/>
        <v>84</v>
      </c>
      <c r="L109" s="3435">
        <f t="shared" si="22"/>
        <v>82</v>
      </c>
      <c r="M109" s="3436">
        <f t="shared" si="22"/>
        <v>80</v>
      </c>
      <c r="N109" s="3428"/>
      <c r="O109" s="3428"/>
      <c r="P109" s="3542"/>
      <c r="Q109" s="3385"/>
      <c r="R109" s="3352"/>
      <c r="S109" s="3352"/>
      <c r="T109" s="3352"/>
      <c r="U109" s="3352"/>
      <c r="V109" s="3352"/>
      <c r="W109" s="3352"/>
      <c r="X109" s="3352"/>
      <c r="Y109" s="3352"/>
      <c r="Z109" s="3352"/>
      <c r="AA109" s="3352"/>
      <c r="AB109" s="3352"/>
      <c r="AC109" s="3352"/>
    </row>
    <row r="110" spans="1:29" ht="15" thickTop="1">
      <c r="A110" s="3502"/>
      <c r="B110" s="3429" t="s">
        <v>3081</v>
      </c>
      <c r="C110" s="3471" t="str">
        <f>C111&amp;"(含)"&amp;"-"&amp;D111</f>
        <v>0.5(含)-0.6</v>
      </c>
      <c r="D110" s="3471" t="str">
        <f>D111&amp;"(含)"&amp;"-"&amp;E111</f>
        <v>0.6(含)-0.7</v>
      </c>
      <c r="E110" s="3471" t="str">
        <f>E111&amp;"(含)"&amp;"-"&amp;F111</f>
        <v>0.7(含)-0.8</v>
      </c>
      <c r="F110" s="3471" t="str">
        <f>F111&amp;"(含)"&amp;"-"&amp;G111</f>
        <v>0.8(含)-0.9</v>
      </c>
      <c r="G110" s="3471" t="str">
        <f>G111&amp;"(含)"&amp;"-"&amp;ROUND(H111,0)</f>
        <v>0.9(含)-1</v>
      </c>
      <c r="H110" s="3471"/>
      <c r="I110" s="3483"/>
      <c r="J110" s="3483"/>
      <c r="K110" s="3484"/>
      <c r="L110" s="3485"/>
      <c r="M110" s="3486"/>
      <c r="N110" s="3422"/>
      <c r="O110" s="3422"/>
      <c r="P110" s="3542"/>
      <c r="Q110" s="3385"/>
      <c r="R110" s="3352"/>
      <c r="S110" s="3352"/>
      <c r="T110" s="3352"/>
      <c r="U110" s="3352"/>
      <c r="V110" s="3352"/>
      <c r="W110" s="3352"/>
      <c r="X110" s="3352"/>
      <c r="Y110" s="3352"/>
      <c r="Z110" s="3352"/>
      <c r="AA110" s="3352"/>
      <c r="AB110" s="3352"/>
      <c r="AC110" s="3352"/>
    </row>
    <row r="111" spans="1:29">
      <c r="A111" s="3502"/>
      <c r="B111" s="3437"/>
      <c r="C111" s="3503">
        <v>0.5</v>
      </c>
      <c r="D111" s="3503">
        <v>0.6</v>
      </c>
      <c r="E111" s="3503">
        <v>0.7</v>
      </c>
      <c r="F111" s="3503">
        <v>0.8</v>
      </c>
      <c r="G111" s="3503">
        <v>0.9</v>
      </c>
      <c r="H111" s="3503">
        <v>1.0001</v>
      </c>
      <c r="I111" s="3504"/>
      <c r="J111" s="3504"/>
      <c r="K111" s="3505"/>
      <c r="L111" s="3506"/>
      <c r="M111" s="3507"/>
      <c r="N111" s="3422"/>
      <c r="O111" s="3422"/>
      <c r="P111" s="3542"/>
      <c r="Q111" s="3385"/>
      <c r="R111" s="3352"/>
      <c r="S111" s="3352"/>
      <c r="T111" s="3352"/>
      <c r="U111" s="3352"/>
      <c r="V111" s="3352"/>
      <c r="W111" s="3352"/>
      <c r="X111" s="3352"/>
      <c r="Y111" s="3352"/>
      <c r="Z111" s="3352"/>
      <c r="AA111" s="3352"/>
      <c r="AB111" s="3352"/>
      <c r="AC111" s="3352"/>
    </row>
    <row r="112" spans="1:29" ht="15.75" thickBot="1">
      <c r="A112" s="3424"/>
      <c r="B112" s="3434"/>
      <c r="C112" s="3481">
        <v>100</v>
      </c>
      <c r="D112" s="3435">
        <f>C112+$K37</f>
        <v>101</v>
      </c>
      <c r="E112" s="3435">
        <f t="shared" ref="E112:M112" si="23">D112+$K37</f>
        <v>102</v>
      </c>
      <c r="F112" s="3435">
        <f t="shared" si="23"/>
        <v>103</v>
      </c>
      <c r="G112" s="3435">
        <f t="shared" si="23"/>
        <v>104</v>
      </c>
      <c r="H112" s="3435">
        <f t="shared" si="23"/>
        <v>105</v>
      </c>
      <c r="I112" s="3435">
        <f t="shared" si="23"/>
        <v>106</v>
      </c>
      <c r="J112" s="3435">
        <f t="shared" si="23"/>
        <v>107</v>
      </c>
      <c r="K112" s="3435">
        <f t="shared" si="23"/>
        <v>108</v>
      </c>
      <c r="L112" s="3435">
        <f t="shared" si="23"/>
        <v>109</v>
      </c>
      <c r="M112" s="3435">
        <f t="shared" si="23"/>
        <v>110</v>
      </c>
      <c r="N112" s="3428"/>
      <c r="O112" s="3428"/>
      <c r="P112" s="3542"/>
      <c r="Q112" s="3385"/>
      <c r="R112" s="3352"/>
      <c r="S112" s="3352"/>
      <c r="T112" s="3352"/>
      <c r="U112" s="3352"/>
      <c r="V112" s="3352"/>
      <c r="W112" s="3352"/>
      <c r="X112" s="3352"/>
      <c r="Y112" s="3352"/>
      <c r="Z112" s="3352"/>
      <c r="AA112" s="3352"/>
      <c r="AB112" s="3352"/>
      <c r="AC112" s="3352"/>
    </row>
    <row r="113" spans="1:29" s="3328" customFormat="1" ht="15" thickTop="1">
      <c r="A113" s="3496"/>
      <c r="B113" s="3429" t="s">
        <v>3148</v>
      </c>
      <c r="C113" s="3445"/>
      <c r="D113" s="3445"/>
      <c r="E113" s="3445"/>
      <c r="F113" s="3445"/>
      <c r="G113" s="3445"/>
      <c r="H113" s="3483"/>
      <c r="I113" s="3483"/>
      <c r="J113" s="3483"/>
      <c r="K113" s="3484"/>
      <c r="L113" s="3485"/>
      <c r="M113" s="3486"/>
      <c r="N113" s="3449"/>
      <c r="O113" s="3449"/>
      <c r="P113" s="3543"/>
      <c r="Q113" s="3451"/>
      <c r="R113" s="3452"/>
      <c r="S113" s="3452"/>
      <c r="T113" s="3452"/>
      <c r="U113" s="3452"/>
      <c r="V113" s="3452"/>
      <c r="W113" s="3452"/>
      <c r="X113" s="3452"/>
      <c r="Y113" s="3452"/>
      <c r="Z113" s="3452"/>
      <c r="AA113" s="3452"/>
      <c r="AB113" s="3452"/>
      <c r="AC113" s="3452"/>
    </row>
    <row r="114" spans="1:29" s="3328" customFormat="1" ht="15.75" thickBot="1">
      <c r="A114" s="3444"/>
      <c r="B114" s="3434"/>
      <c r="C114" s="3435">
        <v>100</v>
      </c>
      <c r="D114" s="3435">
        <f>C114-$K38</f>
        <v>100</v>
      </c>
      <c r="E114" s="3435">
        <f t="shared" ref="E114:M114" si="24">D114-$K38</f>
        <v>100</v>
      </c>
      <c r="F114" s="3435">
        <f t="shared" si="24"/>
        <v>100</v>
      </c>
      <c r="G114" s="3435">
        <f t="shared" si="24"/>
        <v>100</v>
      </c>
      <c r="H114" s="3435">
        <f t="shared" si="24"/>
        <v>100</v>
      </c>
      <c r="I114" s="3435">
        <f t="shared" si="24"/>
        <v>100</v>
      </c>
      <c r="J114" s="3435">
        <f t="shared" si="24"/>
        <v>100</v>
      </c>
      <c r="K114" s="3435">
        <f t="shared" si="24"/>
        <v>100</v>
      </c>
      <c r="L114" s="3435">
        <f t="shared" si="24"/>
        <v>100</v>
      </c>
      <c r="M114" s="3435">
        <f t="shared" si="24"/>
        <v>100</v>
      </c>
      <c r="N114" s="3449"/>
      <c r="O114" s="3449"/>
      <c r="P114" s="3543"/>
      <c r="Q114" s="3451"/>
      <c r="R114" s="3452"/>
      <c r="S114" s="3452"/>
      <c r="T114" s="3452"/>
      <c r="U114" s="3452"/>
      <c r="V114" s="3452"/>
      <c r="W114" s="3452"/>
      <c r="X114" s="3452"/>
      <c r="Y114" s="3452"/>
      <c r="Z114" s="3452"/>
      <c r="AA114" s="3452"/>
      <c r="AB114" s="3452"/>
      <c r="AC114" s="3452"/>
    </row>
    <row r="115" spans="1:29" ht="15" thickTop="1">
      <c r="A115" s="3502"/>
      <c r="B115" s="3429" t="s">
        <v>3157</v>
      </c>
      <c r="C115" s="3478" t="s">
        <v>3158</v>
      </c>
      <c r="D115" s="3445"/>
      <c r="E115" s="3483"/>
      <c r="F115" s="3483"/>
      <c r="G115" s="3483"/>
      <c r="H115" s="3483"/>
      <c r="I115" s="3483"/>
      <c r="J115" s="3483"/>
      <c r="K115" s="3484"/>
      <c r="L115" s="3485"/>
      <c r="M115" s="3486"/>
      <c r="N115" s="3422"/>
      <c r="O115" s="3422"/>
      <c r="P115" s="3542"/>
      <c r="Q115" s="3385"/>
      <c r="R115" s="3352"/>
      <c r="S115" s="3352"/>
      <c r="T115" s="3352"/>
      <c r="U115" s="3352"/>
      <c r="V115" s="3352"/>
      <c r="W115" s="3352"/>
      <c r="X115" s="3352"/>
      <c r="Y115" s="3352"/>
      <c r="Z115" s="3352"/>
      <c r="AA115" s="3352"/>
      <c r="AB115" s="3352"/>
      <c r="AC115" s="3352"/>
    </row>
    <row r="116" spans="1:29" ht="15.75" thickBot="1">
      <c r="A116" s="3424"/>
      <c r="B116" s="3434"/>
      <c r="C116" s="3435">
        <v>100</v>
      </c>
      <c r="D116" s="3435">
        <f t="shared" ref="D116:M116" si="25">C116-$K39</f>
        <v>100</v>
      </c>
      <c r="E116" s="3435">
        <f t="shared" si="25"/>
        <v>100</v>
      </c>
      <c r="F116" s="3435">
        <f t="shared" si="25"/>
        <v>100</v>
      </c>
      <c r="G116" s="3435">
        <f t="shared" si="25"/>
        <v>100</v>
      </c>
      <c r="H116" s="3435">
        <f t="shared" si="25"/>
        <v>100</v>
      </c>
      <c r="I116" s="3435">
        <f t="shared" si="25"/>
        <v>100</v>
      </c>
      <c r="J116" s="3435">
        <f t="shared" si="25"/>
        <v>100</v>
      </c>
      <c r="K116" s="3435">
        <f t="shared" si="25"/>
        <v>100</v>
      </c>
      <c r="L116" s="3435">
        <f t="shared" si="25"/>
        <v>100</v>
      </c>
      <c r="M116" s="3436">
        <f t="shared" si="25"/>
        <v>100</v>
      </c>
      <c r="N116" s="3428"/>
      <c r="O116" s="3428"/>
      <c r="P116" s="3542"/>
      <c r="Q116" s="3385"/>
      <c r="R116" s="3352"/>
      <c r="S116" s="3352"/>
      <c r="T116" s="3352"/>
      <c r="U116" s="3352"/>
      <c r="V116" s="3352"/>
      <c r="W116" s="3352"/>
      <c r="X116" s="3352"/>
      <c r="Y116" s="3352"/>
      <c r="Z116" s="3352"/>
      <c r="AA116" s="3352"/>
      <c r="AB116" s="3352"/>
      <c r="AC116" s="3352"/>
    </row>
    <row r="117" spans="1:29" ht="15" thickTop="1">
      <c r="A117" s="3502"/>
      <c r="B117" s="3472" t="s">
        <v>3082</v>
      </c>
      <c r="C117" s="3478" t="s">
        <v>3130</v>
      </c>
      <c r="D117" s="3445"/>
      <c r="E117" s="3445"/>
      <c r="F117" s="3445"/>
      <c r="G117" s="3445"/>
      <c r="H117" s="3483"/>
      <c r="I117" s="3483"/>
      <c r="J117" s="3483"/>
      <c r="K117" s="3484"/>
      <c r="L117" s="3485"/>
      <c r="M117" s="3486"/>
      <c r="N117" s="3422"/>
      <c r="O117" s="3422"/>
      <c r="P117" s="3542"/>
      <c r="Q117" s="3385"/>
      <c r="R117" s="3352"/>
      <c r="S117" s="3352"/>
      <c r="T117" s="3352"/>
      <c r="U117" s="3352"/>
      <c r="V117" s="3352"/>
      <c r="W117" s="3352"/>
      <c r="X117" s="3352"/>
      <c r="Y117" s="3352"/>
      <c r="Z117" s="3352"/>
      <c r="AA117" s="3352"/>
      <c r="AB117" s="3352"/>
      <c r="AC117" s="3352"/>
    </row>
    <row r="118" spans="1:29" ht="15.75" thickBot="1">
      <c r="A118" s="3424"/>
      <c r="B118" s="3434"/>
      <c r="C118" s="3435">
        <v>100</v>
      </c>
      <c r="D118" s="3435">
        <f>C118-$K40</f>
        <v>100</v>
      </c>
      <c r="E118" s="3435">
        <f>D118-$K40</f>
        <v>100</v>
      </c>
      <c r="F118" s="3435">
        <f>E118-$K40</f>
        <v>100</v>
      </c>
      <c r="G118" s="3435">
        <f>F118-$K40</f>
        <v>100</v>
      </c>
      <c r="H118" s="3435"/>
      <c r="I118" s="3435"/>
      <c r="J118" s="3435"/>
      <c r="K118" s="3435"/>
      <c r="L118" s="3435"/>
      <c r="M118" s="3436"/>
      <c r="N118" s="3428"/>
      <c r="O118" s="3428"/>
      <c r="P118" s="3542"/>
      <c r="Q118" s="3385"/>
      <c r="R118" s="3352"/>
      <c r="S118" s="3352"/>
      <c r="T118" s="3352"/>
      <c r="U118" s="3352"/>
      <c r="V118" s="3352"/>
      <c r="W118" s="3352"/>
      <c r="X118" s="3352"/>
      <c r="Y118" s="3352"/>
      <c r="Z118" s="3352"/>
      <c r="AA118" s="3352"/>
      <c r="AB118" s="3352"/>
      <c r="AC118" s="3352"/>
    </row>
    <row r="119" spans="1:29" ht="15" thickTop="1">
      <c r="A119" s="3502"/>
      <c r="B119" s="3547" t="s">
        <v>3159</v>
      </c>
      <c r="C119" s="3548" t="s">
        <v>3160</v>
      </c>
      <c r="D119" s="3548" t="s">
        <v>3131</v>
      </c>
      <c r="E119" s="3483"/>
      <c r="F119" s="3483"/>
      <c r="G119" s="3483"/>
      <c r="H119" s="3483"/>
      <c r="I119" s="3483"/>
      <c r="J119" s="3483"/>
      <c r="K119" s="3483"/>
      <c r="L119" s="3549"/>
      <c r="M119" s="3550"/>
      <c r="N119" s="3428"/>
      <c r="O119" s="3428"/>
      <c r="P119" s="3551"/>
      <c r="Q119" s="3552"/>
      <c r="R119" s="3352"/>
      <c r="S119" s="3352"/>
      <c r="T119" s="3352"/>
      <c r="U119" s="3352"/>
      <c r="V119" s="3352"/>
      <c r="W119" s="3352"/>
      <c r="X119" s="3352"/>
      <c r="Y119" s="3352"/>
      <c r="Z119" s="3352"/>
      <c r="AA119" s="3352"/>
      <c r="AB119" s="3352"/>
      <c r="AC119" s="3352"/>
    </row>
    <row r="120" spans="1:29" ht="15.75" thickBot="1">
      <c r="A120" s="3424"/>
      <c r="B120" s="3434"/>
      <c r="C120" s="3481">
        <v>100</v>
      </c>
      <c r="D120" s="3435">
        <f>C120-$K41</f>
        <v>90</v>
      </c>
      <c r="E120" s="3435">
        <f t="shared" ref="E120:M120" si="26">D120-$K41</f>
        <v>80</v>
      </c>
      <c r="F120" s="3435">
        <f t="shared" si="26"/>
        <v>70</v>
      </c>
      <c r="G120" s="3435">
        <f t="shared" si="26"/>
        <v>60</v>
      </c>
      <c r="H120" s="3435">
        <f t="shared" si="26"/>
        <v>50</v>
      </c>
      <c r="I120" s="3435">
        <f t="shared" si="26"/>
        <v>40</v>
      </c>
      <c r="J120" s="3435">
        <f t="shared" si="26"/>
        <v>30</v>
      </c>
      <c r="K120" s="3435">
        <f t="shared" si="26"/>
        <v>20</v>
      </c>
      <c r="L120" s="3435">
        <f t="shared" si="26"/>
        <v>10</v>
      </c>
      <c r="M120" s="3435">
        <f t="shared" si="26"/>
        <v>0</v>
      </c>
      <c r="N120" s="3428"/>
      <c r="O120" s="3428"/>
      <c r="P120" s="3542"/>
      <c r="Q120" s="3385"/>
      <c r="R120" s="3352"/>
      <c r="S120" s="3352"/>
      <c r="T120" s="3352"/>
      <c r="U120" s="3352"/>
      <c r="V120" s="3352"/>
      <c r="W120" s="3352"/>
      <c r="X120" s="3352"/>
      <c r="Y120" s="3352"/>
      <c r="Z120" s="3352"/>
      <c r="AA120" s="3352"/>
      <c r="AB120" s="3352"/>
      <c r="AC120" s="3352"/>
    </row>
    <row r="121" spans="1:29" s="3328" customFormat="1" ht="15" thickTop="1">
      <c r="A121" s="3496"/>
      <c r="B121" s="3429" t="s">
        <v>3086</v>
      </c>
      <c r="C121" s="3445"/>
      <c r="D121" s="3445"/>
      <c r="E121" s="3445"/>
      <c r="F121" s="3483"/>
      <c r="G121" s="3446"/>
      <c r="H121" s="3446"/>
      <c r="I121" s="3446"/>
      <c r="J121" s="3446"/>
      <c r="K121" s="3446"/>
      <c r="L121" s="3447"/>
      <c r="M121" s="3448"/>
      <c r="N121" s="3449"/>
      <c r="O121" s="3449"/>
      <c r="P121" s="3543"/>
      <c r="Q121" s="3451"/>
      <c r="R121" s="3452"/>
      <c r="S121" s="3452"/>
      <c r="T121" s="3452"/>
      <c r="U121" s="3452"/>
      <c r="V121" s="3452"/>
      <c r="W121" s="3452"/>
      <c r="X121" s="3452"/>
      <c r="Y121" s="3452"/>
      <c r="Z121" s="3452"/>
      <c r="AA121" s="3452"/>
      <c r="AB121" s="3452"/>
      <c r="AC121" s="3452"/>
    </row>
    <row r="122" spans="1:29" s="3328" customFormat="1" ht="15.75" thickBot="1">
      <c r="A122" s="3444"/>
      <c r="B122" s="3425"/>
      <c r="C122" s="3453"/>
      <c r="D122" s="3453"/>
      <c r="E122" s="3453"/>
      <c r="F122" s="3453"/>
      <c r="G122" s="3453"/>
      <c r="H122" s="3453"/>
      <c r="I122" s="3453"/>
      <c r="J122" s="3453"/>
      <c r="K122" s="3453"/>
      <c r="L122" s="3453"/>
      <c r="M122" s="3453"/>
      <c r="N122" s="3449"/>
      <c r="O122" s="3449"/>
      <c r="P122" s="3543"/>
      <c r="Q122" s="3451"/>
      <c r="R122" s="3452"/>
      <c r="S122" s="3452"/>
      <c r="T122" s="3452"/>
      <c r="U122" s="3452"/>
      <c r="V122" s="3452"/>
      <c r="W122" s="3452"/>
      <c r="X122" s="3452"/>
      <c r="Y122" s="3452"/>
      <c r="Z122" s="3452"/>
      <c r="AA122" s="3452"/>
      <c r="AB122" s="3452"/>
      <c r="AC122" s="3452"/>
    </row>
    <row r="123" spans="1:29" ht="15" thickTop="1">
      <c r="A123" s="3502"/>
      <c r="B123" s="3429" t="s">
        <v>3133</v>
      </c>
      <c r="C123" s="3445"/>
      <c r="D123" s="3445"/>
      <c r="E123" s="3445"/>
      <c r="F123" s="3483"/>
      <c r="G123" s="3483"/>
      <c r="H123" s="3483"/>
      <c r="I123" s="3483"/>
      <c r="J123" s="3483"/>
      <c r="K123" s="3484"/>
      <c r="L123" s="3485"/>
      <c r="M123" s="3486"/>
      <c r="N123" s="3422"/>
      <c r="O123" s="3422"/>
      <c r="P123" s="3542"/>
      <c r="Q123" s="3385"/>
      <c r="R123" s="3352"/>
      <c r="S123" s="3352"/>
      <c r="T123" s="3352"/>
      <c r="U123" s="3352"/>
      <c r="V123" s="3352"/>
      <c r="W123" s="3352"/>
      <c r="X123" s="3352"/>
      <c r="Y123" s="3352"/>
      <c r="Z123" s="3352"/>
      <c r="AA123" s="3352"/>
      <c r="AB123" s="3352"/>
      <c r="AC123" s="3352"/>
    </row>
    <row r="124" spans="1:29" ht="15.75" thickBot="1">
      <c r="A124" s="3424"/>
      <c r="B124" s="3434"/>
      <c r="C124" s="3435">
        <v>100</v>
      </c>
      <c r="D124" s="3435">
        <f t="shared" ref="D124:M124" si="27">C124-$K43</f>
        <v>100</v>
      </c>
      <c r="E124" s="3435">
        <f t="shared" si="27"/>
        <v>100</v>
      </c>
      <c r="F124" s="3435">
        <f t="shared" si="27"/>
        <v>100</v>
      </c>
      <c r="G124" s="3435">
        <f t="shared" si="27"/>
        <v>100</v>
      </c>
      <c r="H124" s="3435">
        <f t="shared" si="27"/>
        <v>100</v>
      </c>
      <c r="I124" s="3435">
        <f t="shared" si="27"/>
        <v>100</v>
      </c>
      <c r="J124" s="3435">
        <f t="shared" si="27"/>
        <v>100</v>
      </c>
      <c r="K124" s="3435">
        <f t="shared" si="27"/>
        <v>100</v>
      </c>
      <c r="L124" s="3435">
        <f t="shared" si="27"/>
        <v>100</v>
      </c>
      <c r="M124" s="3436">
        <f t="shared" si="27"/>
        <v>100</v>
      </c>
      <c r="N124" s="3428"/>
      <c r="O124" s="3428"/>
      <c r="P124" s="3542"/>
      <c r="Q124" s="3385"/>
      <c r="R124" s="3352"/>
      <c r="S124" s="3352"/>
      <c r="T124" s="3352"/>
      <c r="U124" s="3352"/>
      <c r="V124" s="3352"/>
      <c r="W124" s="3352"/>
      <c r="X124" s="3352"/>
      <c r="Y124" s="3352"/>
      <c r="Z124" s="3352"/>
      <c r="AA124" s="3352"/>
      <c r="AB124" s="3352"/>
      <c r="AC124" s="3352"/>
    </row>
    <row r="125" spans="1:29" ht="27.75" thickTop="1">
      <c r="A125" s="3502"/>
      <c r="B125" s="3429" t="s">
        <v>3134</v>
      </c>
      <c r="C125" s="3471" t="s">
        <v>3108</v>
      </c>
      <c r="D125" s="3471" t="s">
        <v>3109</v>
      </c>
      <c r="E125" s="3471" t="s">
        <v>3110</v>
      </c>
      <c r="F125" s="3471" t="s">
        <v>3111</v>
      </c>
      <c r="G125" s="3471" t="s">
        <v>3112</v>
      </c>
      <c r="H125" s="3430"/>
      <c r="I125" s="3430"/>
      <c r="J125" s="3430"/>
      <c r="K125" s="3431"/>
      <c r="L125" s="3432"/>
      <c r="M125" s="3433"/>
      <c r="N125" s="3422"/>
      <c r="O125" s="3422"/>
      <c r="P125" s="3543"/>
      <c r="Q125" s="3385"/>
      <c r="R125" s="3352"/>
      <c r="S125" s="3352"/>
      <c r="T125" s="3352"/>
      <c r="U125" s="3352"/>
      <c r="V125" s="3352"/>
      <c r="W125" s="3352"/>
      <c r="X125" s="3352"/>
      <c r="Y125" s="3352"/>
      <c r="Z125" s="3352"/>
      <c r="AA125" s="3352"/>
      <c r="AB125" s="3352"/>
      <c r="AC125" s="3352"/>
    </row>
    <row r="126" spans="1:29" ht="15.75" thickBot="1">
      <c r="A126" s="3424"/>
      <c r="B126" s="3434"/>
      <c r="C126" s="3435">
        <v>100</v>
      </c>
      <c r="D126" s="3435">
        <f>C126-$K44</f>
        <v>100</v>
      </c>
      <c r="E126" s="3435">
        <f>D126-$K44</f>
        <v>100</v>
      </c>
      <c r="F126" s="3435">
        <f>E126-$K44</f>
        <v>100</v>
      </c>
      <c r="G126" s="3435">
        <f>F126-$K44</f>
        <v>100</v>
      </c>
      <c r="H126" s="3435"/>
      <c r="I126" s="3435"/>
      <c r="J126" s="3435"/>
      <c r="K126" s="3435"/>
      <c r="L126" s="3435"/>
      <c r="M126" s="3436"/>
      <c r="N126" s="3428"/>
      <c r="O126" s="3428"/>
      <c r="P126" s="3542"/>
      <c r="Q126" s="3385"/>
      <c r="R126" s="3352"/>
      <c r="S126" s="3352"/>
      <c r="T126" s="3352"/>
      <c r="U126" s="3352"/>
      <c r="V126" s="3352"/>
      <c r="W126" s="3352"/>
      <c r="X126" s="3352"/>
      <c r="Y126" s="3352"/>
      <c r="Z126" s="3352"/>
      <c r="AA126" s="3352"/>
      <c r="AB126" s="3352"/>
      <c r="AC126" s="3352"/>
    </row>
    <row r="127" spans="1:29" s="3328" customFormat="1" ht="15" thickTop="1">
      <c r="A127" s="3496"/>
      <c r="B127" s="3429">
        <f>B45</f>
        <v>111</v>
      </c>
      <c r="C127" s="3445"/>
      <c r="D127" s="3445"/>
      <c r="E127" s="3445"/>
      <c r="F127" s="3445"/>
      <c r="G127" s="3445"/>
      <c r="H127" s="3446"/>
      <c r="I127" s="3446"/>
      <c r="J127" s="3446"/>
      <c r="K127" s="3446"/>
      <c r="L127" s="3447"/>
      <c r="M127" s="3448"/>
      <c r="N127" s="3449"/>
      <c r="O127" s="3449"/>
      <c r="P127" s="3543"/>
      <c r="Q127" s="3451"/>
      <c r="R127" s="3452"/>
      <c r="S127" s="3452"/>
      <c r="T127" s="3452"/>
      <c r="U127" s="3452"/>
      <c r="V127" s="3452"/>
      <c r="W127" s="3452"/>
      <c r="X127" s="3452"/>
      <c r="Y127" s="3452"/>
      <c r="Z127" s="3452"/>
      <c r="AA127" s="3452"/>
      <c r="AB127" s="3452"/>
      <c r="AC127" s="3452"/>
    </row>
    <row r="128" spans="1:29" s="3328" customFormat="1" ht="15.75" thickBot="1">
      <c r="A128" s="3444"/>
      <c r="B128" s="3434"/>
      <c r="C128" s="3453"/>
      <c r="D128" s="3426"/>
      <c r="E128" s="3426"/>
      <c r="F128" s="3426"/>
      <c r="G128" s="3453"/>
      <c r="H128" s="3455"/>
      <c r="I128" s="3455"/>
      <c r="J128" s="3455"/>
      <c r="K128" s="3455"/>
      <c r="L128" s="3455"/>
      <c r="M128" s="3456"/>
      <c r="N128" s="3449"/>
      <c r="O128" s="3449"/>
      <c r="P128" s="3543"/>
      <c r="Q128" s="3451"/>
      <c r="R128" s="3452"/>
      <c r="S128" s="3452"/>
      <c r="T128" s="3452"/>
      <c r="U128" s="3452"/>
      <c r="V128" s="3452"/>
      <c r="W128" s="3452"/>
      <c r="X128" s="3452"/>
      <c r="Y128" s="3452"/>
      <c r="Z128" s="3452"/>
      <c r="AA128" s="3452"/>
      <c r="AB128" s="3452"/>
      <c r="AC128" s="3452"/>
    </row>
    <row r="129" spans="1:29" ht="15" thickTop="1">
      <c r="A129" s="3502"/>
      <c r="B129" s="3429">
        <f>B46</f>
        <v>111</v>
      </c>
      <c r="C129" s="3445"/>
      <c r="D129" s="3445"/>
      <c r="E129" s="3445"/>
      <c r="F129" s="3445"/>
      <c r="G129" s="3483"/>
      <c r="H129" s="3483"/>
      <c r="I129" s="3483"/>
      <c r="J129" s="3483"/>
      <c r="K129" s="3484"/>
      <c r="L129" s="3485"/>
      <c r="M129" s="3486"/>
      <c r="N129" s="3422"/>
      <c r="O129" s="3422"/>
      <c r="P129" s="3542"/>
      <c r="Q129" s="3385"/>
      <c r="R129" s="3352"/>
      <c r="S129" s="3352"/>
      <c r="T129" s="3352"/>
      <c r="U129" s="3352"/>
      <c r="V129" s="3352"/>
      <c r="W129" s="3352"/>
      <c r="X129" s="3352"/>
      <c r="Y129" s="3352"/>
      <c r="Z129" s="3352"/>
      <c r="AA129" s="3352"/>
      <c r="AB129" s="3352"/>
      <c r="AC129" s="3352"/>
    </row>
    <row r="130" spans="1:29" ht="15.75" thickBot="1">
      <c r="A130" s="3424"/>
      <c r="B130" s="3434"/>
      <c r="C130" s="3453"/>
      <c r="D130" s="3453"/>
      <c r="E130" s="3453"/>
      <c r="F130" s="3453"/>
      <c r="G130" s="3426"/>
      <c r="H130" s="3426"/>
      <c r="I130" s="3426"/>
      <c r="J130" s="3426"/>
      <c r="K130" s="3426"/>
      <c r="L130" s="3426"/>
      <c r="M130" s="3427"/>
      <c r="N130" s="3428"/>
      <c r="O130" s="3428"/>
      <c r="P130" s="3542"/>
      <c r="Q130" s="3385"/>
      <c r="R130" s="3352"/>
      <c r="S130" s="3352"/>
      <c r="T130" s="3352"/>
      <c r="U130" s="3352"/>
      <c r="V130" s="3352"/>
      <c r="W130" s="3352"/>
      <c r="X130" s="3352"/>
      <c r="Y130" s="3352"/>
      <c r="Z130" s="3352"/>
      <c r="AA130" s="3352"/>
      <c r="AB130" s="3352"/>
      <c r="AC130" s="3352"/>
    </row>
    <row r="131" spans="1:29" ht="15" thickTop="1">
      <c r="A131" s="3502"/>
      <c r="B131" s="3437">
        <f>B47</f>
        <v>111</v>
      </c>
      <c r="C131" s="3408"/>
      <c r="D131" s="3408"/>
      <c r="E131" s="3408"/>
      <c r="F131" s="3408"/>
      <c r="G131" s="3487"/>
      <c r="H131" s="3487"/>
      <c r="I131" s="3487"/>
      <c r="J131" s="3487"/>
      <c r="K131" s="3408"/>
      <c r="L131" s="3409"/>
      <c r="M131" s="3490"/>
      <c r="N131" s="3422"/>
      <c r="O131" s="3422"/>
      <c r="P131" s="3542"/>
      <c r="Q131" s="3385"/>
      <c r="R131" s="3352"/>
      <c r="S131" s="3352"/>
      <c r="T131" s="3352"/>
      <c r="U131" s="3352"/>
      <c r="V131" s="3352"/>
      <c r="W131" s="3352"/>
      <c r="X131" s="3352"/>
      <c r="Y131" s="3352"/>
      <c r="Z131" s="3352"/>
      <c r="AA131" s="3352"/>
      <c r="AB131" s="3352"/>
      <c r="AC131" s="3352"/>
    </row>
    <row r="132" spans="1:29" ht="15.75" thickBot="1">
      <c r="A132" s="3491"/>
      <c r="B132" s="3462"/>
      <c r="C132" s="3463"/>
      <c r="D132" s="3463"/>
      <c r="E132" s="3463"/>
      <c r="F132" s="3463"/>
      <c r="G132" s="3492"/>
      <c r="H132" s="3492"/>
      <c r="I132" s="3492"/>
      <c r="J132" s="3492"/>
      <c r="K132" s="3492"/>
      <c r="L132" s="3492"/>
      <c r="M132" s="3493"/>
      <c r="N132" s="3428"/>
      <c r="O132" s="3428"/>
      <c r="P132" s="3542"/>
      <c r="Q132" s="3385"/>
      <c r="R132" s="3352"/>
      <c r="S132" s="3352"/>
      <c r="T132" s="3352"/>
      <c r="U132" s="3352"/>
      <c r="V132" s="3352"/>
      <c r="W132" s="3352"/>
      <c r="X132" s="3352"/>
      <c r="Y132" s="3352"/>
      <c r="Z132" s="3352"/>
      <c r="AA132" s="3352"/>
      <c r="AB132" s="3352"/>
      <c r="AC132" s="3352"/>
    </row>
    <row r="133" spans="1:29">
      <c r="A133" s="3509"/>
      <c r="B133" s="3509"/>
      <c r="C133" s="3509"/>
      <c r="D133" s="3509"/>
      <c r="E133" s="3509"/>
      <c r="F133" s="3509"/>
      <c r="G133" s="3509"/>
      <c r="H133" s="3509"/>
      <c r="I133" s="3509"/>
      <c r="J133" s="3509"/>
      <c r="K133" s="3510"/>
      <c r="L133" s="3511"/>
      <c r="M133" s="3509"/>
      <c r="N133" s="3509"/>
      <c r="O133" s="3509"/>
      <c r="P133" s="3553"/>
      <c r="Q133" s="3509"/>
      <c r="R133" s="3509"/>
      <c r="S133" s="3509"/>
      <c r="T133" s="3509"/>
      <c r="U133" s="3509"/>
      <c r="V133" s="3509"/>
      <c r="W133" s="3509"/>
      <c r="X133" s="3509"/>
      <c r="Y133" s="3509"/>
      <c r="Z133" s="3509"/>
      <c r="AA133" s="3509"/>
      <c r="AB133" s="3509"/>
      <c r="AC133" s="3509"/>
    </row>
    <row r="134" spans="1:29">
      <c r="A134" s="3509"/>
      <c r="B134" s="3509"/>
      <c r="C134" s="3509"/>
      <c r="D134" s="3509"/>
      <c r="E134" s="3509"/>
      <c r="F134" s="3509"/>
      <c r="G134" s="3509"/>
      <c r="H134" s="3509"/>
      <c r="I134" s="3509"/>
      <c r="J134" s="3509"/>
      <c r="K134" s="3510"/>
      <c r="L134" s="3511"/>
      <c r="M134" s="3509"/>
      <c r="N134" s="3509"/>
      <c r="O134" s="3509"/>
      <c r="P134" s="3553"/>
      <c r="Q134" s="3509"/>
      <c r="R134" s="3509"/>
      <c r="S134" s="3509"/>
      <c r="T134" s="3509"/>
      <c r="U134" s="3509"/>
      <c r="V134" s="3509"/>
      <c r="W134" s="3509"/>
      <c r="X134" s="3509"/>
      <c r="Y134" s="3509"/>
      <c r="Z134" s="3509"/>
      <c r="AA134" s="3509"/>
      <c r="AB134" s="3509"/>
      <c r="AC134" s="3509"/>
    </row>
    <row r="135" spans="1:29">
      <c r="A135" s="3509"/>
      <c r="B135" s="3509"/>
      <c r="C135" s="3509"/>
      <c r="D135" s="3509"/>
      <c r="E135" s="3509"/>
      <c r="F135" s="3509"/>
      <c r="G135" s="3509"/>
      <c r="H135" s="3509"/>
      <c r="I135" s="3509"/>
      <c r="J135" s="3509"/>
      <c r="K135" s="3510"/>
      <c r="L135" s="3511"/>
      <c r="M135" s="3509"/>
      <c r="N135" s="3509"/>
      <c r="O135" s="3509"/>
      <c r="P135" s="3553"/>
      <c r="Q135" s="3509"/>
      <c r="R135" s="3509"/>
      <c r="S135" s="3509"/>
      <c r="T135" s="3509"/>
      <c r="U135" s="3509"/>
      <c r="V135" s="3509"/>
      <c r="W135" s="3509"/>
      <c r="X135" s="3509"/>
      <c r="Y135" s="3509"/>
      <c r="Z135" s="3509"/>
      <c r="AA135" s="3509"/>
      <c r="AB135" s="3509"/>
      <c r="AC135" s="3509"/>
    </row>
    <row r="136" spans="1:29">
      <c r="A136" s="3509"/>
      <c r="B136" s="3509"/>
      <c r="C136" s="3509"/>
      <c r="D136" s="3509"/>
      <c r="E136" s="3509"/>
      <c r="F136" s="3509"/>
      <c r="G136" s="3509"/>
      <c r="H136" s="3509"/>
      <c r="I136" s="3509"/>
      <c r="J136" s="3509"/>
      <c r="K136" s="3510"/>
      <c r="L136" s="3511"/>
      <c r="M136" s="3509"/>
      <c r="N136" s="3509"/>
      <c r="O136" s="3509"/>
      <c r="P136" s="3553"/>
      <c r="Q136" s="3509"/>
      <c r="R136" s="3509"/>
      <c r="S136" s="3509"/>
      <c r="T136" s="3509"/>
      <c r="U136" s="3509"/>
      <c r="V136" s="3509"/>
      <c r="W136" s="3509"/>
      <c r="X136" s="3509"/>
      <c r="Y136" s="3509"/>
      <c r="Z136" s="3509"/>
      <c r="AA136" s="3509"/>
      <c r="AB136" s="3509"/>
      <c r="AC136" s="3509"/>
    </row>
    <row r="137" spans="1:29">
      <c r="A137" s="3509"/>
      <c r="B137" s="3509"/>
      <c r="C137" s="3509"/>
      <c r="D137" s="3509"/>
      <c r="E137" s="3509"/>
      <c r="F137" s="3509"/>
      <c r="G137" s="3509"/>
      <c r="H137" s="3509"/>
      <c r="I137" s="3509"/>
      <c r="J137" s="3509"/>
      <c r="K137" s="3510"/>
      <c r="L137" s="3511"/>
      <c r="M137" s="3509"/>
      <c r="N137" s="3509"/>
      <c r="O137" s="3509"/>
      <c r="P137" s="3553"/>
      <c r="Q137" s="3509"/>
      <c r="R137" s="3509"/>
      <c r="S137" s="3509"/>
      <c r="T137" s="3509"/>
      <c r="U137" s="3509"/>
      <c r="V137" s="3509"/>
      <c r="W137" s="3509"/>
      <c r="X137" s="3509"/>
      <c r="Y137" s="3509"/>
      <c r="Z137" s="3509"/>
      <c r="AA137" s="3509"/>
      <c r="AB137" s="3509"/>
      <c r="AC137" s="3509"/>
    </row>
    <row r="138" spans="1:29">
      <c r="A138" s="3509"/>
      <c r="B138" s="3509"/>
      <c r="C138" s="3509"/>
      <c r="D138" s="3509"/>
      <c r="E138" s="3509"/>
      <c r="F138" s="3509"/>
      <c r="G138" s="3509"/>
      <c r="H138" s="3509"/>
      <c r="I138" s="3509"/>
      <c r="J138" s="3509"/>
      <c r="K138" s="3510"/>
      <c r="L138" s="3511"/>
      <c r="M138" s="3509"/>
      <c r="N138" s="3509"/>
      <c r="O138" s="3509"/>
      <c r="P138" s="3553"/>
      <c r="Q138" s="3509"/>
      <c r="R138" s="3509"/>
      <c r="S138" s="3509"/>
      <c r="T138" s="3509"/>
      <c r="U138" s="3509"/>
      <c r="V138" s="3509"/>
      <c r="W138" s="3509"/>
      <c r="X138" s="3509"/>
      <c r="Y138" s="3509"/>
      <c r="Z138" s="3509"/>
      <c r="AA138" s="3509"/>
      <c r="AB138" s="3509"/>
      <c r="AC138" s="3509"/>
    </row>
    <row r="139" spans="1:29">
      <c r="A139" s="3509"/>
      <c r="B139" s="3509"/>
      <c r="C139" s="3509"/>
      <c r="D139" s="3509"/>
      <c r="E139" s="3509"/>
      <c r="F139" s="3509"/>
      <c r="G139" s="3509"/>
      <c r="H139" s="3509"/>
      <c r="I139" s="3509"/>
      <c r="J139" s="3509"/>
      <c r="K139" s="3510"/>
      <c r="L139" s="3511"/>
      <c r="M139" s="3509"/>
      <c r="N139" s="3509"/>
      <c r="O139" s="3509"/>
      <c r="P139" s="3553"/>
      <c r="Q139" s="3509"/>
      <c r="R139" s="3509"/>
      <c r="S139" s="3509"/>
      <c r="T139" s="3509"/>
      <c r="U139" s="3509"/>
      <c r="V139" s="3509"/>
      <c r="W139" s="3509"/>
      <c r="X139" s="3509"/>
      <c r="Y139" s="3509"/>
      <c r="Z139" s="3509"/>
      <c r="AA139" s="3509"/>
      <c r="AB139" s="3509"/>
      <c r="AC139" s="3509"/>
    </row>
    <row r="140" spans="1:29">
      <c r="A140" s="3509"/>
      <c r="B140" s="3509"/>
      <c r="C140" s="3509"/>
      <c r="D140" s="3509"/>
      <c r="E140" s="3509"/>
      <c r="F140" s="3509"/>
      <c r="G140" s="3509"/>
      <c r="H140" s="3509"/>
      <c r="I140" s="3509"/>
      <c r="J140" s="3509"/>
      <c r="K140" s="3510"/>
      <c r="L140" s="3511"/>
      <c r="M140" s="3509"/>
      <c r="N140" s="3509"/>
      <c r="O140" s="3509"/>
      <c r="P140" s="3553"/>
      <c r="Q140" s="3509"/>
      <c r="R140" s="3509"/>
      <c r="S140" s="3509"/>
      <c r="T140" s="3509"/>
      <c r="U140" s="3509"/>
      <c r="V140" s="3509"/>
      <c r="W140" s="3509"/>
      <c r="X140" s="3509"/>
      <c r="Y140" s="3509"/>
      <c r="Z140" s="3509"/>
      <c r="AA140" s="3509"/>
      <c r="AB140" s="3509"/>
      <c r="AC140" s="3509"/>
    </row>
    <row r="141" spans="1:29">
      <c r="A141" s="3509"/>
      <c r="B141" s="3509"/>
      <c r="C141" s="3509"/>
      <c r="D141" s="3509"/>
      <c r="E141" s="3509"/>
      <c r="F141" s="3509"/>
      <c r="G141" s="3509"/>
      <c r="H141" s="3509"/>
      <c r="I141" s="3509"/>
      <c r="J141" s="3509"/>
      <c r="K141" s="3510"/>
      <c r="L141" s="3511"/>
      <c r="M141" s="3509"/>
      <c r="N141" s="3509"/>
      <c r="O141" s="3509"/>
      <c r="P141" s="3553"/>
      <c r="Q141" s="3509"/>
      <c r="R141" s="3509"/>
      <c r="S141" s="3509"/>
      <c r="T141" s="3509"/>
      <c r="U141" s="3509"/>
      <c r="V141" s="3509"/>
      <c r="W141" s="3509"/>
      <c r="X141" s="3509"/>
      <c r="Y141" s="3509"/>
      <c r="Z141" s="3509"/>
      <c r="AA141" s="3509"/>
      <c r="AB141" s="3509"/>
      <c r="AC141" s="3509"/>
    </row>
    <row r="142" spans="1:29">
      <c r="A142" s="3509"/>
      <c r="B142" s="3509"/>
      <c r="C142" s="3509"/>
      <c r="D142" s="3509"/>
      <c r="E142" s="3509"/>
      <c r="F142" s="3509"/>
      <c r="G142" s="3509"/>
      <c r="H142" s="3509"/>
      <c r="I142" s="3509"/>
      <c r="J142" s="3509"/>
      <c r="K142" s="3510"/>
      <c r="L142" s="3511"/>
      <c r="M142" s="3509"/>
      <c r="N142" s="3509"/>
      <c r="O142" s="3509"/>
      <c r="P142" s="3553"/>
      <c r="Q142" s="3509"/>
      <c r="R142" s="3509"/>
      <c r="S142" s="3509"/>
      <c r="T142" s="3509"/>
      <c r="U142" s="3509"/>
      <c r="V142" s="3509"/>
      <c r="W142" s="3509"/>
      <c r="X142" s="3509"/>
      <c r="Y142" s="3509"/>
      <c r="Z142" s="3509"/>
      <c r="AA142" s="3509"/>
      <c r="AB142" s="3509"/>
      <c r="AC142" s="3509"/>
    </row>
    <row r="143" spans="1:29">
      <c r="A143" s="3509"/>
      <c r="B143" s="3509"/>
      <c r="C143" s="3509"/>
      <c r="D143" s="3509"/>
      <c r="E143" s="3509"/>
      <c r="F143" s="3509"/>
      <c r="G143" s="3509"/>
      <c r="H143" s="3509"/>
      <c r="I143" s="3509"/>
      <c r="J143" s="3509"/>
      <c r="K143" s="3510"/>
      <c r="L143" s="3511"/>
      <c r="M143" s="3509"/>
      <c r="N143" s="3509"/>
      <c r="O143" s="3509"/>
      <c r="P143" s="3553"/>
      <c r="Q143" s="3509"/>
      <c r="R143" s="3509"/>
      <c r="S143" s="3509"/>
      <c r="T143" s="3509"/>
      <c r="U143" s="3509"/>
      <c r="V143" s="3509"/>
      <c r="W143" s="3509"/>
      <c r="X143" s="3509"/>
      <c r="Y143" s="3509"/>
      <c r="Z143" s="3509"/>
      <c r="AA143" s="3509"/>
      <c r="AB143" s="3509"/>
      <c r="AC143" s="3509"/>
    </row>
    <row r="144" spans="1:29">
      <c r="A144" s="3509"/>
      <c r="B144" s="3509"/>
      <c r="C144" s="3509"/>
      <c r="D144" s="3509"/>
      <c r="E144" s="3509"/>
      <c r="F144" s="3509"/>
      <c r="G144" s="3509"/>
      <c r="H144" s="3509"/>
      <c r="I144" s="3509"/>
      <c r="J144" s="3509"/>
      <c r="K144" s="3510"/>
      <c r="L144" s="3511"/>
      <c r="M144" s="3509"/>
      <c r="N144" s="3509"/>
      <c r="O144" s="3509"/>
      <c r="P144" s="3553"/>
      <c r="Q144" s="3509"/>
      <c r="R144" s="3509"/>
      <c r="S144" s="3509"/>
      <c r="T144" s="3509"/>
      <c r="U144" s="3509"/>
      <c r="V144" s="3509"/>
      <c r="W144" s="3509"/>
      <c r="X144" s="3509"/>
      <c r="Y144" s="3509"/>
      <c r="Z144" s="3509"/>
      <c r="AA144" s="3509"/>
      <c r="AB144" s="3509"/>
      <c r="AC144" s="3509"/>
    </row>
    <row r="145" spans="1:29">
      <c r="A145" s="3509"/>
      <c r="B145" s="3509"/>
      <c r="C145" s="3509"/>
      <c r="D145" s="3509"/>
      <c r="E145" s="3509"/>
      <c r="F145" s="3509"/>
      <c r="G145" s="3509"/>
      <c r="H145" s="3509"/>
      <c r="I145" s="3509"/>
      <c r="J145" s="3509"/>
      <c r="K145" s="3510"/>
      <c r="L145" s="3511"/>
      <c r="M145" s="3509"/>
      <c r="N145" s="3509"/>
      <c r="O145" s="3509"/>
      <c r="P145" s="3553"/>
      <c r="Q145" s="3509"/>
      <c r="R145" s="3509"/>
      <c r="S145" s="3509"/>
      <c r="T145" s="3509"/>
      <c r="U145" s="3509"/>
      <c r="V145" s="3509"/>
      <c r="W145" s="3509"/>
      <c r="X145" s="3509"/>
      <c r="Y145" s="3509"/>
      <c r="Z145" s="3509"/>
      <c r="AA145" s="3509"/>
      <c r="AB145" s="3509"/>
      <c r="AC145" s="3509"/>
    </row>
    <row r="146" spans="1:29">
      <c r="A146" s="3509"/>
      <c r="B146" s="3509"/>
      <c r="C146" s="3509"/>
      <c r="D146" s="3509"/>
      <c r="E146" s="3509"/>
      <c r="F146" s="3509"/>
      <c r="G146" s="3509"/>
      <c r="H146" s="3509"/>
      <c r="I146" s="3509"/>
      <c r="J146" s="3509"/>
      <c r="K146" s="3510"/>
      <c r="L146" s="3511"/>
      <c r="M146" s="3509"/>
      <c r="N146" s="3509"/>
      <c r="O146" s="3509"/>
      <c r="P146" s="3553"/>
      <c r="Q146" s="3509"/>
      <c r="R146" s="3509"/>
      <c r="S146" s="3509"/>
      <c r="T146" s="3509"/>
      <c r="U146" s="3509"/>
      <c r="V146" s="3509"/>
      <c r="W146" s="3509"/>
      <c r="X146" s="3509"/>
      <c r="Y146" s="3509"/>
      <c r="Z146" s="3509"/>
      <c r="AA146" s="3509"/>
      <c r="AB146" s="3509"/>
      <c r="AC146" s="3509"/>
    </row>
    <row r="147" spans="1:29">
      <c r="A147" s="3509"/>
      <c r="B147" s="3509"/>
      <c r="C147" s="3509"/>
      <c r="D147" s="3509"/>
      <c r="E147" s="3509"/>
      <c r="F147" s="3509"/>
      <c r="G147" s="3509"/>
      <c r="H147" s="3509"/>
      <c r="I147" s="3509"/>
      <c r="J147" s="3509"/>
      <c r="K147" s="3510"/>
      <c r="L147" s="3511"/>
      <c r="M147" s="3509"/>
      <c r="N147" s="3509"/>
      <c r="O147" s="3509"/>
      <c r="P147" s="3553"/>
      <c r="Q147" s="3509"/>
      <c r="R147" s="3509"/>
      <c r="S147" s="3509"/>
      <c r="T147" s="3509"/>
      <c r="U147" s="3509"/>
      <c r="V147" s="3509"/>
      <c r="W147" s="3509"/>
      <c r="X147" s="3509"/>
      <c r="Y147" s="3509"/>
      <c r="Z147" s="3509"/>
      <c r="AA147" s="3509"/>
      <c r="AB147" s="3509"/>
      <c r="AC147" s="3509"/>
    </row>
    <row r="148" spans="1:29">
      <c r="A148" s="3509"/>
      <c r="B148" s="3509"/>
      <c r="C148" s="3509"/>
      <c r="D148" s="3509"/>
      <c r="E148" s="3509"/>
      <c r="F148" s="3509"/>
      <c r="G148" s="3509"/>
      <c r="H148" s="3509"/>
      <c r="I148" s="3509"/>
      <c r="J148" s="3509"/>
      <c r="K148" s="3510"/>
      <c r="L148" s="3511"/>
      <c r="M148" s="3509"/>
      <c r="N148" s="3509"/>
      <c r="O148" s="3509"/>
      <c r="P148" s="3553"/>
      <c r="Q148" s="3509"/>
      <c r="R148" s="3509"/>
      <c r="S148" s="3509"/>
      <c r="T148" s="3509"/>
      <c r="U148" s="3509"/>
      <c r="V148" s="3509"/>
      <c r="W148" s="3509"/>
      <c r="X148" s="3509"/>
      <c r="Y148" s="3509"/>
      <c r="Z148" s="3509"/>
      <c r="AA148" s="3509"/>
      <c r="AB148" s="3509"/>
      <c r="AC148" s="3509"/>
    </row>
    <row r="149" spans="1:29">
      <c r="A149" s="3509"/>
      <c r="B149" s="3509"/>
      <c r="C149" s="3509"/>
      <c r="D149" s="3509"/>
      <c r="E149" s="3509"/>
      <c r="F149" s="3509"/>
      <c r="G149" s="3509"/>
      <c r="H149" s="3509"/>
      <c r="I149" s="3509"/>
      <c r="J149" s="3509"/>
      <c r="K149" s="3510"/>
      <c r="L149" s="3511"/>
      <c r="M149" s="3509"/>
      <c r="N149" s="3509"/>
      <c r="O149" s="3509"/>
      <c r="P149" s="3553"/>
      <c r="Q149" s="3509"/>
      <c r="R149" s="3509"/>
      <c r="S149" s="3509"/>
      <c r="T149" s="3509"/>
      <c r="U149" s="3509"/>
      <c r="V149" s="3509"/>
      <c r="W149" s="3509"/>
      <c r="X149" s="3509"/>
      <c r="Y149" s="3509"/>
      <c r="Z149" s="3509"/>
      <c r="AA149" s="3509"/>
      <c r="AB149" s="3509"/>
      <c r="AC149" s="3509"/>
    </row>
    <row r="150" spans="1:29">
      <c r="A150" s="3509"/>
      <c r="B150" s="3509"/>
      <c r="C150" s="3509"/>
      <c r="D150" s="3509"/>
      <c r="E150" s="3509"/>
      <c r="F150" s="3509"/>
      <c r="G150" s="3509"/>
      <c r="H150" s="3509"/>
      <c r="I150" s="3509"/>
      <c r="J150" s="3509"/>
      <c r="K150" s="3510"/>
      <c r="L150" s="3511"/>
      <c r="M150" s="3509"/>
      <c r="N150" s="3509"/>
      <c r="O150" s="3509"/>
      <c r="P150" s="3553"/>
      <c r="Q150" s="3509"/>
      <c r="R150" s="3509"/>
      <c r="S150" s="3509"/>
      <c r="T150" s="3509"/>
      <c r="U150" s="3509"/>
      <c r="V150" s="3509"/>
      <c r="W150" s="3509"/>
      <c r="X150" s="3509"/>
      <c r="Y150" s="3509"/>
      <c r="Z150" s="3509"/>
      <c r="AA150" s="3509"/>
      <c r="AB150" s="3509"/>
      <c r="AC150" s="3509"/>
    </row>
    <row r="151" spans="1:29">
      <c r="A151" s="3509"/>
      <c r="B151" s="3509"/>
      <c r="C151" s="3509"/>
      <c r="D151" s="3509"/>
      <c r="E151" s="3509"/>
      <c r="F151" s="3509"/>
      <c r="G151" s="3509"/>
      <c r="H151" s="3509"/>
      <c r="I151" s="3509"/>
      <c r="J151" s="3509"/>
      <c r="K151" s="3510"/>
      <c r="L151" s="3511"/>
      <c r="M151" s="3509"/>
      <c r="N151" s="3509"/>
      <c r="O151" s="3509"/>
      <c r="P151" s="3553"/>
      <c r="Q151" s="3509"/>
      <c r="R151" s="3509"/>
      <c r="S151" s="3509"/>
      <c r="T151" s="3509"/>
      <c r="U151" s="3509"/>
      <c r="V151" s="3509"/>
      <c r="W151" s="3509"/>
      <c r="X151" s="3509"/>
      <c r="Y151" s="3509"/>
      <c r="Z151" s="3509"/>
      <c r="AA151" s="3509"/>
      <c r="AB151" s="3509"/>
      <c r="AC151" s="3509"/>
    </row>
    <row r="152" spans="1:29">
      <c r="A152" s="3509"/>
      <c r="B152" s="3509"/>
      <c r="C152" s="3509"/>
      <c r="D152" s="3509"/>
      <c r="E152" s="3509"/>
      <c r="F152" s="3509"/>
      <c r="G152" s="3509"/>
      <c r="H152" s="3509"/>
      <c r="I152" s="3509"/>
      <c r="J152" s="3509"/>
      <c r="K152" s="3510"/>
      <c r="L152" s="3511"/>
      <c r="M152" s="3509"/>
      <c r="N152" s="3509"/>
      <c r="O152" s="3509"/>
      <c r="P152" s="3553"/>
      <c r="Q152" s="3509"/>
      <c r="R152" s="3509"/>
      <c r="S152" s="3509"/>
      <c r="T152" s="3509"/>
      <c r="U152" s="3509"/>
      <c r="V152" s="3509"/>
      <c r="W152" s="3509"/>
      <c r="X152" s="3509"/>
      <c r="Y152" s="3509"/>
      <c r="Z152" s="3509"/>
      <c r="AA152" s="3509"/>
      <c r="AB152" s="3509"/>
      <c r="AC152" s="3509"/>
    </row>
    <row r="153" spans="1:29">
      <c r="A153" s="3509"/>
      <c r="B153" s="3509"/>
      <c r="C153" s="3509"/>
      <c r="D153" s="3509"/>
      <c r="E153" s="3509"/>
      <c r="F153" s="3509"/>
      <c r="G153" s="3509"/>
      <c r="H153" s="3509"/>
      <c r="I153" s="3509"/>
      <c r="J153" s="3509"/>
      <c r="K153" s="3510"/>
      <c r="L153" s="3511"/>
      <c r="M153" s="3509"/>
      <c r="N153" s="3509"/>
      <c r="O153" s="3509"/>
      <c r="P153" s="3553"/>
      <c r="Q153" s="3509"/>
      <c r="R153" s="3509"/>
      <c r="S153" s="3509"/>
      <c r="T153" s="3509"/>
      <c r="U153" s="3509"/>
      <c r="V153" s="3509"/>
      <c r="W153" s="3509"/>
      <c r="X153" s="3509"/>
      <c r="Y153" s="3509"/>
      <c r="Z153" s="3509"/>
      <c r="AA153" s="3509"/>
      <c r="AB153" s="3509"/>
      <c r="AC153" s="3509"/>
    </row>
    <row r="154" spans="1:29">
      <c r="A154" s="3509"/>
      <c r="B154" s="3509"/>
      <c r="C154" s="3509"/>
      <c r="D154" s="3509"/>
      <c r="E154" s="3509"/>
      <c r="F154" s="3509"/>
      <c r="G154" s="3509"/>
      <c r="H154" s="3509"/>
      <c r="I154" s="3509"/>
      <c r="J154" s="3509"/>
      <c r="K154" s="3510"/>
      <c r="L154" s="3511"/>
      <c r="M154" s="3509"/>
      <c r="N154" s="3509"/>
      <c r="O154" s="3509"/>
      <c r="P154" s="3553"/>
      <c r="Q154" s="3509"/>
      <c r="R154" s="3509"/>
      <c r="S154" s="3509"/>
      <c r="T154" s="3509"/>
      <c r="U154" s="3509"/>
      <c r="V154" s="3509"/>
      <c r="W154" s="3509"/>
      <c r="X154" s="3509"/>
      <c r="Y154" s="3509"/>
      <c r="Z154" s="3509"/>
      <c r="AA154" s="3509"/>
      <c r="AB154" s="3509"/>
      <c r="AC154" s="3509"/>
    </row>
    <row r="155" spans="1:29">
      <c r="A155" s="3509"/>
      <c r="B155" s="3509"/>
      <c r="C155" s="3509"/>
      <c r="D155" s="3509"/>
      <c r="E155" s="3509"/>
      <c r="F155" s="3509"/>
      <c r="G155" s="3509"/>
      <c r="H155" s="3509"/>
      <c r="I155" s="3509"/>
      <c r="J155" s="3509"/>
      <c r="K155" s="3510"/>
      <c r="L155" s="3511"/>
      <c r="M155" s="3509"/>
      <c r="N155" s="3509"/>
      <c r="O155" s="3509"/>
      <c r="P155" s="3553"/>
      <c r="Q155" s="3509"/>
      <c r="R155" s="3509"/>
      <c r="S155" s="3509"/>
      <c r="T155" s="3509"/>
      <c r="U155" s="3509"/>
      <c r="V155" s="3509"/>
      <c r="W155" s="3509"/>
      <c r="X155" s="3509"/>
      <c r="Y155" s="3509"/>
      <c r="Z155" s="3509"/>
      <c r="AA155" s="3509"/>
      <c r="AB155" s="3509"/>
      <c r="AC155" s="3509"/>
    </row>
    <row r="156" spans="1:29">
      <c r="A156" s="3509"/>
      <c r="B156" s="3509"/>
      <c r="C156" s="3509"/>
      <c r="D156" s="3509"/>
      <c r="E156" s="3509"/>
      <c r="F156" s="3509"/>
      <c r="G156" s="3509"/>
      <c r="H156" s="3509"/>
      <c r="I156" s="3509"/>
      <c r="J156" s="3509"/>
      <c r="K156" s="3510"/>
      <c r="L156" s="3511"/>
      <c r="M156" s="3509"/>
      <c r="N156" s="3509"/>
      <c r="O156" s="3509"/>
      <c r="P156" s="3553"/>
      <c r="Q156" s="3509"/>
      <c r="R156" s="3509"/>
      <c r="S156" s="3509"/>
      <c r="T156" s="3509"/>
      <c r="U156" s="3509"/>
      <c r="V156" s="3509"/>
      <c r="W156" s="3509"/>
      <c r="X156" s="3509"/>
      <c r="Y156" s="3509"/>
      <c r="Z156" s="3509"/>
      <c r="AA156" s="3509"/>
      <c r="AB156" s="3509"/>
      <c r="AC156" s="3509"/>
    </row>
    <row r="157" spans="1:29">
      <c r="A157" s="3509"/>
      <c r="B157" s="3509"/>
      <c r="C157" s="3509"/>
      <c r="D157" s="3509"/>
      <c r="E157" s="3509"/>
      <c r="F157" s="3509"/>
      <c r="G157" s="3509"/>
      <c r="H157" s="3509"/>
      <c r="I157" s="3509"/>
      <c r="J157" s="3509"/>
      <c r="K157" s="3510"/>
      <c r="L157" s="3511"/>
      <c r="M157" s="3509"/>
      <c r="N157" s="3509"/>
      <c r="O157" s="3509"/>
      <c r="P157" s="3553"/>
      <c r="Q157" s="3509"/>
      <c r="R157" s="3509"/>
      <c r="S157" s="3509"/>
      <c r="T157" s="3509"/>
      <c r="U157" s="3509"/>
      <c r="V157" s="3509"/>
      <c r="W157" s="3509"/>
      <c r="X157" s="3509"/>
      <c r="Y157" s="3509"/>
      <c r="Z157" s="3509"/>
      <c r="AA157" s="3509"/>
      <c r="AB157" s="3509"/>
      <c r="AC157" s="3509"/>
    </row>
    <row r="158" spans="1:29">
      <c r="A158" s="3509"/>
      <c r="B158" s="3509"/>
      <c r="C158" s="3509"/>
      <c r="D158" s="3509"/>
      <c r="E158" s="3509"/>
      <c r="F158" s="3509"/>
      <c r="G158" s="3509"/>
      <c r="H158" s="3509"/>
      <c r="I158" s="3509"/>
      <c r="J158" s="3509"/>
      <c r="K158" s="3510"/>
      <c r="L158" s="3511"/>
      <c r="M158" s="3509"/>
      <c r="N158" s="3509"/>
      <c r="O158" s="3509"/>
      <c r="P158" s="3553"/>
      <c r="Q158" s="3509"/>
      <c r="R158" s="3509"/>
      <c r="S158" s="3509"/>
      <c r="T158" s="3509"/>
      <c r="U158" s="3509"/>
      <c r="V158" s="3509"/>
      <c r="W158" s="3509"/>
      <c r="X158" s="3509"/>
      <c r="Y158" s="3509"/>
      <c r="Z158" s="3509"/>
      <c r="AA158" s="3509"/>
      <c r="AB158" s="3509"/>
      <c r="AC158" s="3509"/>
    </row>
    <row r="159" spans="1:29">
      <c r="A159" s="3509"/>
      <c r="B159" s="3509"/>
      <c r="C159" s="3509"/>
      <c r="D159" s="3509"/>
      <c r="E159" s="3509"/>
      <c r="F159" s="3509"/>
      <c r="G159" s="3509"/>
      <c r="H159" s="3509"/>
      <c r="I159" s="3509"/>
      <c r="J159" s="3509"/>
      <c r="K159" s="3510"/>
      <c r="L159" s="3511"/>
      <c r="M159" s="3509"/>
      <c r="N159" s="3509"/>
      <c r="O159" s="3509"/>
      <c r="P159" s="3553"/>
      <c r="Q159" s="3509"/>
      <c r="R159" s="3509"/>
      <c r="S159" s="3509"/>
      <c r="T159" s="3509"/>
      <c r="U159" s="3509"/>
      <c r="V159" s="3509"/>
      <c r="W159" s="3509"/>
      <c r="X159" s="3509"/>
      <c r="Y159" s="3509"/>
      <c r="Z159" s="3509"/>
      <c r="AA159" s="3509"/>
      <c r="AB159" s="3509"/>
      <c r="AC159" s="3509"/>
    </row>
    <row r="160" spans="1:29">
      <c r="A160" s="3509"/>
      <c r="B160" s="3509"/>
      <c r="C160" s="3509"/>
      <c r="D160" s="3509"/>
      <c r="E160" s="3509"/>
      <c r="F160" s="3509"/>
      <c r="G160" s="3509"/>
      <c r="H160" s="3509"/>
      <c r="I160" s="3509"/>
      <c r="J160" s="3509"/>
      <c r="K160" s="3510"/>
      <c r="L160" s="3511"/>
      <c r="M160" s="3509"/>
      <c r="N160" s="3509"/>
      <c r="O160" s="3509"/>
      <c r="P160" s="3553"/>
      <c r="Q160" s="3509"/>
      <c r="R160" s="3509"/>
      <c r="S160" s="3509"/>
      <c r="T160" s="3509"/>
      <c r="U160" s="3509"/>
      <c r="V160" s="3509"/>
      <c r="W160" s="3509"/>
      <c r="X160" s="3509"/>
      <c r="Y160" s="3509"/>
      <c r="Z160" s="3509"/>
      <c r="AA160" s="3509"/>
      <c r="AB160" s="3509"/>
      <c r="AC160" s="3509"/>
    </row>
    <row r="161" spans="1:29">
      <c r="A161" s="3509"/>
      <c r="B161" s="3509"/>
      <c r="C161" s="3509"/>
      <c r="D161" s="3509"/>
      <c r="E161" s="3509"/>
      <c r="F161" s="3509"/>
      <c r="G161" s="3509"/>
      <c r="H161" s="3509"/>
      <c r="I161" s="3509"/>
      <c r="J161" s="3509"/>
      <c r="K161" s="3510"/>
      <c r="L161" s="3511"/>
      <c r="M161" s="3509"/>
      <c r="N161" s="3509"/>
      <c r="O161" s="3509"/>
      <c r="P161" s="3553"/>
      <c r="Q161" s="3509"/>
      <c r="R161" s="3509"/>
      <c r="S161" s="3509"/>
      <c r="T161" s="3509"/>
      <c r="U161" s="3509"/>
      <c r="V161" s="3509"/>
      <c r="W161" s="3509"/>
      <c r="X161" s="3509"/>
      <c r="Y161" s="3509"/>
      <c r="Z161" s="3509"/>
      <c r="AA161" s="3509"/>
      <c r="AB161" s="3509"/>
      <c r="AC161" s="3509"/>
    </row>
    <row r="162" spans="1:29">
      <c r="A162" s="3509"/>
      <c r="B162" s="3509"/>
      <c r="C162" s="3509"/>
      <c r="D162" s="3509"/>
      <c r="E162" s="3509"/>
      <c r="F162" s="3509"/>
      <c r="G162" s="3509"/>
      <c r="H162" s="3509"/>
      <c r="I162" s="3509"/>
      <c r="J162" s="3509"/>
      <c r="K162" s="3510"/>
      <c r="L162" s="3511"/>
      <c r="M162" s="3509"/>
      <c r="N162" s="3509"/>
      <c r="O162" s="3509"/>
      <c r="P162" s="3553"/>
      <c r="Q162" s="3509"/>
      <c r="R162" s="3509"/>
      <c r="S162" s="3509"/>
      <c r="T162" s="3509"/>
      <c r="U162" s="3509"/>
      <c r="V162" s="3509"/>
      <c r="W162" s="3509"/>
      <c r="X162" s="3509"/>
      <c r="Y162" s="3509"/>
      <c r="Z162" s="3509"/>
      <c r="AA162" s="3509"/>
      <c r="AB162" s="3509"/>
      <c r="AC162" s="3509"/>
    </row>
    <row r="163" spans="1:29">
      <c r="A163" s="3509"/>
      <c r="B163" s="3509"/>
      <c r="C163" s="3509"/>
      <c r="D163" s="3509"/>
      <c r="E163" s="3509"/>
      <c r="F163" s="3509"/>
      <c r="G163" s="3509"/>
      <c r="H163" s="3509"/>
      <c r="I163" s="3509"/>
      <c r="J163" s="3509"/>
      <c r="K163" s="3510"/>
      <c r="L163" s="3511"/>
      <c r="M163" s="3509"/>
      <c r="N163" s="3509"/>
      <c r="O163" s="3509"/>
      <c r="P163" s="3553"/>
      <c r="Q163" s="3509"/>
      <c r="R163" s="3509"/>
      <c r="S163" s="3509"/>
      <c r="T163" s="3509"/>
      <c r="U163" s="3509"/>
      <c r="V163" s="3509"/>
      <c r="W163" s="3509"/>
      <c r="X163" s="3509"/>
      <c r="Y163" s="3509"/>
      <c r="Z163" s="3509"/>
      <c r="AA163" s="3509"/>
      <c r="AB163" s="3509"/>
      <c r="AC163" s="3509"/>
    </row>
    <row r="164" spans="1:29">
      <c r="A164" s="3509"/>
      <c r="B164" s="3509"/>
      <c r="C164" s="3509"/>
      <c r="D164" s="3509"/>
      <c r="E164" s="3509"/>
      <c r="F164" s="3509"/>
      <c r="G164" s="3509"/>
      <c r="H164" s="3509"/>
      <c r="I164" s="3509"/>
      <c r="J164" s="3509"/>
      <c r="K164" s="3510"/>
      <c r="L164" s="3511"/>
      <c r="M164" s="3509"/>
      <c r="N164" s="3509"/>
      <c r="O164" s="3509"/>
      <c r="P164" s="3553"/>
      <c r="Q164" s="3509"/>
      <c r="R164" s="3509"/>
      <c r="S164" s="3509"/>
      <c r="T164" s="3509"/>
      <c r="U164" s="3509"/>
      <c r="V164" s="3509"/>
      <c r="W164" s="3509"/>
      <c r="X164" s="3509"/>
      <c r="Y164" s="3509"/>
      <c r="Z164" s="3509"/>
      <c r="AA164" s="3509"/>
      <c r="AB164" s="3509"/>
      <c r="AC164" s="3509"/>
    </row>
    <row r="165" spans="1:29">
      <c r="A165" s="3509"/>
      <c r="B165" s="3509"/>
      <c r="C165" s="3509"/>
      <c r="D165" s="3509"/>
      <c r="E165" s="3509"/>
      <c r="F165" s="3509"/>
      <c r="G165" s="3509"/>
      <c r="H165" s="3509"/>
      <c r="I165" s="3509"/>
      <c r="J165" s="3509"/>
      <c r="K165" s="3510"/>
      <c r="L165" s="3511"/>
      <c r="M165" s="3509"/>
      <c r="N165" s="3509"/>
      <c r="O165" s="3509"/>
      <c r="P165" s="3553"/>
      <c r="Q165" s="3509"/>
      <c r="R165" s="3509"/>
      <c r="S165" s="3509"/>
      <c r="T165" s="3509"/>
      <c r="U165" s="3509"/>
      <c r="V165" s="3509"/>
      <c r="W165" s="3509"/>
      <c r="X165" s="3509"/>
      <c r="Y165" s="3509"/>
      <c r="Z165" s="3509"/>
      <c r="AA165" s="3509"/>
      <c r="AB165" s="3509"/>
      <c r="AC165" s="3509"/>
    </row>
    <row r="166" spans="1:29">
      <c r="A166" s="3509"/>
      <c r="B166" s="3509"/>
      <c r="C166" s="3509"/>
      <c r="D166" s="3509"/>
      <c r="E166" s="3509"/>
      <c r="F166" s="3509"/>
      <c r="G166" s="3509"/>
      <c r="H166" s="3509"/>
      <c r="I166" s="3509"/>
      <c r="J166" s="3509"/>
      <c r="K166" s="3510"/>
      <c r="L166" s="3511"/>
      <c r="M166" s="3509"/>
      <c r="N166" s="3509"/>
      <c r="O166" s="3509"/>
      <c r="P166" s="3553"/>
      <c r="Q166" s="3509"/>
      <c r="R166" s="3509"/>
      <c r="S166" s="3509"/>
      <c r="T166" s="3509"/>
      <c r="U166" s="3509"/>
      <c r="V166" s="3509"/>
      <c r="W166" s="3509"/>
      <c r="X166" s="3509"/>
      <c r="Y166" s="3509"/>
      <c r="Z166" s="3509"/>
      <c r="AA166" s="3509"/>
      <c r="AB166" s="3509"/>
      <c r="AC166" s="3509"/>
    </row>
    <row r="167" spans="1:29">
      <c r="A167" s="3509"/>
      <c r="B167" s="3509"/>
      <c r="C167" s="3509"/>
      <c r="D167" s="3509"/>
      <c r="E167" s="3509"/>
      <c r="F167" s="3509"/>
      <c r="G167" s="3509"/>
      <c r="H167" s="3509"/>
      <c r="I167" s="3509"/>
      <c r="J167" s="3509"/>
      <c r="K167" s="3510"/>
      <c r="L167" s="3511"/>
      <c r="M167" s="3509"/>
      <c r="N167" s="3509"/>
      <c r="O167" s="3509"/>
      <c r="P167" s="3553"/>
      <c r="Q167" s="3509"/>
      <c r="R167" s="3509"/>
      <c r="S167" s="3509"/>
      <c r="T167" s="3509"/>
      <c r="U167" s="3509"/>
      <c r="V167" s="3509"/>
      <c r="W167" s="3509"/>
      <c r="X167" s="3509"/>
      <c r="Y167" s="3509"/>
      <c r="Z167" s="3509"/>
      <c r="AA167" s="3509"/>
      <c r="AB167" s="3509"/>
      <c r="AC167" s="3509"/>
    </row>
    <row r="168" spans="1:29">
      <c r="A168" s="3509"/>
      <c r="B168" s="3509"/>
      <c r="C168" s="3509"/>
      <c r="D168" s="3509"/>
      <c r="E168" s="3509"/>
      <c r="F168" s="3509"/>
      <c r="G168" s="3509"/>
      <c r="H168" s="3509"/>
      <c r="I168" s="3509"/>
      <c r="J168" s="3509"/>
      <c r="K168" s="3510"/>
      <c r="L168" s="3511"/>
      <c r="M168" s="3509"/>
      <c r="N168" s="3509"/>
      <c r="O168" s="3509"/>
      <c r="P168" s="3553"/>
      <c r="Q168" s="3509"/>
      <c r="R168" s="3509"/>
      <c r="S168" s="3509"/>
      <c r="T168" s="3509"/>
      <c r="U168" s="3509"/>
      <c r="V168" s="3509"/>
      <c r="W168" s="3509"/>
      <c r="X168" s="3509"/>
      <c r="Y168" s="3509"/>
      <c r="Z168" s="3509"/>
      <c r="AA168" s="3509"/>
      <c r="AB168" s="3509"/>
      <c r="AC168" s="3509"/>
    </row>
    <row r="169" spans="1:29">
      <c r="A169" s="3509"/>
      <c r="B169" s="3509"/>
      <c r="C169" s="3509"/>
      <c r="D169" s="3509"/>
      <c r="E169" s="3509"/>
      <c r="F169" s="3509"/>
      <c r="G169" s="3509"/>
      <c r="H169" s="3509"/>
      <c r="I169" s="3509"/>
      <c r="J169" s="3509"/>
      <c r="K169" s="3510"/>
      <c r="L169" s="3511"/>
      <c r="M169" s="3509"/>
      <c r="N169" s="3509"/>
      <c r="O169" s="3509"/>
      <c r="P169" s="3553"/>
      <c r="Q169" s="3509"/>
      <c r="R169" s="3509"/>
      <c r="S169" s="3509"/>
      <c r="T169" s="3509"/>
      <c r="U169" s="3509"/>
      <c r="V169" s="3509"/>
      <c r="W169" s="3509"/>
      <c r="X169" s="3509"/>
      <c r="Y169" s="3509"/>
      <c r="Z169" s="3509"/>
      <c r="AA169" s="3509"/>
      <c r="AB169" s="3509"/>
      <c r="AC169" s="3509"/>
    </row>
    <row r="170" spans="1:29">
      <c r="A170" s="3509"/>
      <c r="B170" s="3509"/>
      <c r="C170" s="3509"/>
      <c r="D170" s="3509"/>
      <c r="E170" s="3509"/>
      <c r="F170" s="3509"/>
      <c r="G170" s="3509"/>
      <c r="H170" s="3509"/>
      <c r="I170" s="3509"/>
      <c r="J170" s="3509"/>
      <c r="K170" s="3510"/>
      <c r="L170" s="3511"/>
      <c r="M170" s="3509"/>
      <c r="N170" s="3509"/>
      <c r="O170" s="3509"/>
      <c r="P170" s="3553"/>
      <c r="Q170" s="3509"/>
      <c r="R170" s="3509"/>
      <c r="S170" s="3509"/>
      <c r="T170" s="3509"/>
      <c r="U170" s="3509"/>
      <c r="V170" s="3509"/>
      <c r="W170" s="3509"/>
      <c r="X170" s="3509"/>
      <c r="Y170" s="3509"/>
      <c r="Z170" s="3509"/>
      <c r="AA170" s="3509"/>
      <c r="AB170" s="3509"/>
      <c r="AC170" s="3509"/>
    </row>
    <row r="171" spans="1:29">
      <c r="A171" s="3509"/>
      <c r="B171" s="3509"/>
      <c r="C171" s="3509"/>
      <c r="D171" s="3509"/>
      <c r="E171" s="3509"/>
      <c r="F171" s="3509"/>
      <c r="G171" s="3509"/>
      <c r="H171" s="3509"/>
      <c r="I171" s="3509"/>
      <c r="J171" s="3509"/>
      <c r="K171" s="3510"/>
      <c r="L171" s="3511"/>
      <c r="M171" s="3509"/>
      <c r="N171" s="3509"/>
      <c r="O171" s="3509"/>
      <c r="P171" s="3553"/>
      <c r="Q171" s="3509"/>
      <c r="R171" s="3509"/>
      <c r="S171" s="3509"/>
      <c r="T171" s="3509"/>
      <c r="U171" s="3509"/>
      <c r="V171" s="3509"/>
      <c r="W171" s="3509"/>
      <c r="X171" s="3509"/>
      <c r="Y171" s="3509"/>
      <c r="Z171" s="3509"/>
      <c r="AA171" s="3509"/>
      <c r="AB171" s="3509"/>
      <c r="AC171" s="3509"/>
    </row>
    <row r="172" spans="1:29">
      <c r="A172" s="3509"/>
      <c r="B172" s="3509"/>
      <c r="C172" s="3509"/>
      <c r="D172" s="3509"/>
      <c r="E172" s="3509"/>
      <c r="F172" s="3509"/>
      <c r="G172" s="3509"/>
      <c r="H172" s="3509"/>
      <c r="I172" s="3509"/>
      <c r="J172" s="3509"/>
      <c r="K172" s="3510"/>
      <c r="L172" s="3511"/>
      <c r="M172" s="3509"/>
      <c r="N172" s="3509"/>
      <c r="O172" s="3509"/>
      <c r="P172" s="3553"/>
      <c r="Q172" s="3509"/>
      <c r="R172" s="3509"/>
      <c r="S172" s="3509"/>
      <c r="T172" s="3509"/>
      <c r="U172" s="3509"/>
      <c r="V172" s="3509"/>
      <c r="W172" s="3509"/>
      <c r="X172" s="3509"/>
      <c r="Y172" s="3509"/>
      <c r="Z172" s="3509"/>
      <c r="AA172" s="3509"/>
      <c r="AB172" s="3509"/>
      <c r="AC172" s="3509"/>
    </row>
    <row r="173" spans="1:29">
      <c r="A173" s="3509"/>
      <c r="B173" s="3509"/>
      <c r="C173" s="3509"/>
      <c r="D173" s="3509"/>
      <c r="E173" s="3509"/>
      <c r="F173" s="3509"/>
      <c r="G173" s="3509"/>
      <c r="H173" s="3509"/>
      <c r="I173" s="3509"/>
      <c r="J173" s="3509"/>
      <c r="K173" s="3510"/>
      <c r="L173" s="3511"/>
      <c r="M173" s="3509"/>
      <c r="N173" s="3509"/>
      <c r="O173" s="3509"/>
      <c r="P173" s="3553"/>
      <c r="Q173" s="3509"/>
      <c r="R173" s="3509"/>
      <c r="S173" s="3509"/>
      <c r="T173" s="3509"/>
      <c r="U173" s="3509"/>
      <c r="V173" s="3509"/>
      <c r="W173" s="3509"/>
      <c r="X173" s="3509"/>
      <c r="Y173" s="3509"/>
      <c r="Z173" s="3509"/>
      <c r="AA173" s="3509"/>
      <c r="AB173" s="3509"/>
      <c r="AC173" s="3509"/>
    </row>
    <row r="174" spans="1:29">
      <c r="A174" s="3509"/>
      <c r="B174" s="3509"/>
      <c r="C174" s="3509"/>
      <c r="D174" s="3509"/>
      <c r="E174" s="3509"/>
      <c r="F174" s="3509"/>
      <c r="G174" s="3509"/>
      <c r="H174" s="3509"/>
      <c r="I174" s="3509"/>
      <c r="J174" s="3509"/>
      <c r="K174" s="3510"/>
      <c r="L174" s="3511"/>
      <c r="M174" s="3509"/>
      <c r="N174" s="3509"/>
      <c r="O174" s="3509"/>
      <c r="P174" s="3553"/>
      <c r="Q174" s="3509"/>
      <c r="R174" s="3509"/>
      <c r="S174" s="3509"/>
      <c r="T174" s="3509"/>
      <c r="U174" s="3509"/>
      <c r="V174" s="3509"/>
      <c r="W174" s="3509"/>
      <c r="X174" s="3509"/>
      <c r="Y174" s="3509"/>
      <c r="Z174" s="3509"/>
      <c r="AA174" s="3509"/>
      <c r="AB174" s="3509"/>
      <c r="AC174" s="3509"/>
    </row>
    <row r="175" spans="1:29">
      <c r="A175" s="3509"/>
      <c r="B175" s="3509"/>
      <c r="C175" s="3509"/>
      <c r="D175" s="3509"/>
      <c r="E175" s="3509"/>
      <c r="F175" s="3509"/>
      <c r="G175" s="3509"/>
      <c r="H175" s="3509"/>
      <c r="I175" s="3509"/>
      <c r="J175" s="3509"/>
      <c r="K175" s="3510"/>
      <c r="L175" s="3511"/>
      <c r="M175" s="3509"/>
      <c r="N175" s="3509"/>
      <c r="O175" s="3509"/>
      <c r="P175" s="3553"/>
      <c r="Q175" s="3509"/>
      <c r="R175" s="3509"/>
      <c r="S175" s="3509"/>
      <c r="T175" s="3509"/>
      <c r="U175" s="3509"/>
      <c r="V175" s="3509"/>
      <c r="W175" s="3509"/>
      <c r="X175" s="3509"/>
      <c r="Y175" s="3509"/>
      <c r="Z175" s="3509"/>
      <c r="AA175" s="3509"/>
      <c r="AB175" s="3509"/>
      <c r="AC175" s="3509"/>
    </row>
    <row r="176" spans="1:29">
      <c r="A176" s="3509"/>
      <c r="B176" s="3509"/>
      <c r="C176" s="3509"/>
      <c r="D176" s="3509"/>
      <c r="E176" s="3509"/>
      <c r="F176" s="3509"/>
      <c r="G176" s="3509"/>
      <c r="H176" s="3509"/>
      <c r="I176" s="3509"/>
      <c r="J176" s="3509"/>
      <c r="K176" s="3510"/>
      <c r="L176" s="3511"/>
      <c r="M176" s="3509"/>
      <c r="N176" s="3509"/>
      <c r="O176" s="3509"/>
      <c r="P176" s="3553"/>
      <c r="Q176" s="3509"/>
      <c r="R176" s="3509"/>
      <c r="S176" s="3509"/>
      <c r="T176" s="3509"/>
      <c r="U176" s="3509"/>
      <c r="V176" s="3509"/>
      <c r="W176" s="3509"/>
      <c r="X176" s="3509"/>
      <c r="Y176" s="3509"/>
      <c r="Z176" s="3509"/>
      <c r="AA176" s="3509"/>
      <c r="AB176" s="3509"/>
      <c r="AC176" s="3509"/>
    </row>
    <row r="177" spans="1:29">
      <c r="A177" s="3509"/>
      <c r="B177" s="3509"/>
      <c r="C177" s="3509"/>
      <c r="D177" s="3509"/>
      <c r="E177" s="3509"/>
      <c r="F177" s="3509"/>
      <c r="G177" s="3509"/>
      <c r="H177" s="3509"/>
      <c r="I177" s="3509"/>
      <c r="J177" s="3509"/>
      <c r="K177" s="3510"/>
      <c r="L177" s="3511"/>
      <c r="M177" s="3509"/>
      <c r="N177" s="3509"/>
      <c r="O177" s="3509"/>
      <c r="P177" s="3553"/>
      <c r="Q177" s="3509"/>
      <c r="R177" s="3509"/>
      <c r="S177" s="3509"/>
      <c r="T177" s="3509"/>
      <c r="U177" s="3509"/>
      <c r="V177" s="3509"/>
      <c r="W177" s="3509"/>
      <c r="X177" s="3509"/>
      <c r="Y177" s="3509"/>
      <c r="Z177" s="3509"/>
      <c r="AA177" s="3509"/>
      <c r="AB177" s="3509"/>
      <c r="AC177" s="3509"/>
    </row>
    <row r="178" spans="1:29">
      <c r="A178" s="3509"/>
      <c r="B178" s="3509"/>
      <c r="C178" s="3509"/>
      <c r="D178" s="3509"/>
      <c r="E178" s="3509"/>
      <c r="F178" s="3509"/>
      <c r="G178" s="3509"/>
      <c r="H178" s="3509"/>
      <c r="I178" s="3509"/>
      <c r="J178" s="3509"/>
      <c r="K178" s="3510"/>
      <c r="L178" s="3511"/>
      <c r="M178" s="3509"/>
      <c r="N178" s="3509"/>
      <c r="O178" s="3509"/>
      <c r="P178" s="3553"/>
      <c r="Q178" s="3509"/>
      <c r="R178" s="3509"/>
      <c r="S178" s="3509"/>
      <c r="T178" s="3509"/>
      <c r="U178" s="3509"/>
      <c r="V178" s="3509"/>
      <c r="W178" s="3509"/>
      <c r="X178" s="3509"/>
      <c r="Y178" s="3509"/>
      <c r="Z178" s="3509"/>
      <c r="AA178" s="3509"/>
      <c r="AB178" s="3509"/>
      <c r="AC178" s="3509"/>
    </row>
    <row r="179" spans="1:29">
      <c r="A179" s="3509"/>
      <c r="B179" s="3509"/>
      <c r="C179" s="3509"/>
      <c r="D179" s="3509"/>
      <c r="E179" s="3509"/>
      <c r="F179" s="3509"/>
      <c r="G179" s="3509"/>
      <c r="H179" s="3509"/>
      <c r="I179" s="3509"/>
      <c r="J179" s="3509"/>
      <c r="K179" s="3510"/>
      <c r="L179" s="3511"/>
      <c r="M179" s="3509"/>
      <c r="N179" s="3509"/>
      <c r="O179" s="3509"/>
      <c r="P179" s="3553"/>
      <c r="Q179" s="3509"/>
      <c r="R179" s="3509"/>
      <c r="S179" s="3509"/>
      <c r="T179" s="3509"/>
      <c r="U179" s="3509"/>
      <c r="V179" s="3509"/>
      <c r="W179" s="3509"/>
      <c r="X179" s="3509"/>
      <c r="Y179" s="3509"/>
      <c r="Z179" s="3509"/>
      <c r="AA179" s="3509"/>
      <c r="AB179" s="3509"/>
      <c r="AC179" s="3509"/>
    </row>
    <row r="180" spans="1:29">
      <c r="A180" s="3509"/>
      <c r="B180" s="3509"/>
      <c r="C180" s="3509"/>
      <c r="D180" s="3509"/>
      <c r="E180" s="3509"/>
      <c r="F180" s="3509"/>
      <c r="G180" s="3509"/>
      <c r="H180" s="3509"/>
      <c r="I180" s="3509"/>
      <c r="J180" s="3509"/>
      <c r="K180" s="3510"/>
      <c r="L180" s="3511"/>
      <c r="M180" s="3509"/>
      <c r="N180" s="3509"/>
      <c r="O180" s="3509"/>
      <c r="P180" s="3553"/>
      <c r="Q180" s="3509"/>
      <c r="R180" s="3509"/>
      <c r="S180" s="3509"/>
      <c r="T180" s="3509"/>
      <c r="U180" s="3509"/>
      <c r="V180" s="3509"/>
      <c r="W180" s="3509"/>
      <c r="X180" s="3509"/>
      <c r="Y180" s="3509"/>
      <c r="Z180" s="3509"/>
      <c r="AA180" s="3509"/>
      <c r="AB180" s="3509"/>
      <c r="AC180" s="3509"/>
    </row>
    <row r="181" spans="1:29">
      <c r="A181" s="3509"/>
      <c r="B181" s="3509"/>
      <c r="C181" s="3509"/>
      <c r="D181" s="3509"/>
      <c r="E181" s="3509"/>
      <c r="F181" s="3509"/>
      <c r="G181" s="3509"/>
      <c r="H181" s="3509"/>
      <c r="I181" s="3509"/>
      <c r="J181" s="3509"/>
      <c r="K181" s="3510"/>
      <c r="L181" s="3511"/>
      <c r="M181" s="3509"/>
      <c r="N181" s="3509"/>
      <c r="O181" s="3509"/>
      <c r="P181" s="3553"/>
      <c r="Q181" s="3509"/>
      <c r="R181" s="3509"/>
      <c r="S181" s="3509"/>
      <c r="T181" s="3509"/>
      <c r="U181" s="3509"/>
      <c r="V181" s="3509"/>
      <c r="W181" s="3509"/>
      <c r="X181" s="3509"/>
      <c r="Y181" s="3509"/>
      <c r="Z181" s="3509"/>
      <c r="AA181" s="3509"/>
      <c r="AB181" s="3509"/>
      <c r="AC181" s="3509"/>
    </row>
    <row r="182" spans="1:29">
      <c r="A182" s="3509"/>
      <c r="B182" s="3509"/>
      <c r="C182" s="3509"/>
      <c r="D182" s="3509"/>
      <c r="E182" s="3509"/>
      <c r="F182" s="3509"/>
      <c r="G182" s="3509"/>
      <c r="H182" s="3509"/>
      <c r="I182" s="3509"/>
      <c r="J182" s="3509"/>
      <c r="K182" s="3510"/>
      <c r="L182" s="3511"/>
      <c r="M182" s="3509"/>
      <c r="N182" s="3509"/>
      <c r="O182" s="3509"/>
      <c r="P182" s="3553"/>
      <c r="Q182" s="3509"/>
      <c r="R182" s="3509"/>
      <c r="S182" s="3509"/>
      <c r="T182" s="3509"/>
      <c r="U182" s="3509"/>
      <c r="V182" s="3509"/>
      <c r="W182" s="3509"/>
      <c r="X182" s="3509"/>
      <c r="Y182" s="3509"/>
      <c r="Z182" s="3509"/>
      <c r="AA182" s="3509"/>
      <c r="AB182" s="3509"/>
      <c r="AC182" s="3509"/>
    </row>
    <row r="183" spans="1:29">
      <c r="A183" s="3509"/>
      <c r="B183" s="3509"/>
      <c r="C183" s="3509"/>
      <c r="D183" s="3509"/>
      <c r="E183" s="3509"/>
      <c r="F183" s="3509"/>
      <c r="G183" s="3509"/>
      <c r="H183" s="3509"/>
      <c r="I183" s="3509"/>
      <c r="J183" s="3509"/>
      <c r="K183" s="3510"/>
      <c r="L183" s="3511"/>
      <c r="M183" s="3509"/>
      <c r="N183" s="3509"/>
      <c r="O183" s="3509"/>
      <c r="P183" s="3553"/>
      <c r="Q183" s="3509"/>
      <c r="R183" s="3509"/>
      <c r="S183" s="3509"/>
      <c r="T183" s="3509"/>
      <c r="U183" s="3509"/>
      <c r="V183" s="3509"/>
      <c r="W183" s="3509"/>
      <c r="X183" s="3509"/>
      <c r="Y183" s="3509"/>
      <c r="Z183" s="3509"/>
      <c r="AA183" s="3509"/>
      <c r="AB183" s="3509"/>
      <c r="AC183" s="3509"/>
    </row>
    <row r="184" spans="1:29">
      <c r="A184" s="3509"/>
      <c r="B184" s="3509"/>
      <c r="C184" s="3509"/>
      <c r="D184" s="3509"/>
      <c r="E184" s="3509"/>
      <c r="F184" s="3509"/>
      <c r="G184" s="3509"/>
      <c r="H184" s="3509"/>
      <c r="I184" s="3509"/>
      <c r="J184" s="3509"/>
      <c r="K184" s="3510"/>
      <c r="L184" s="3511"/>
      <c r="M184" s="3509"/>
      <c r="N184" s="3509"/>
      <c r="O184" s="3509"/>
      <c r="P184" s="3553"/>
      <c r="Q184" s="3509"/>
      <c r="R184" s="3509"/>
      <c r="S184" s="3509"/>
      <c r="T184" s="3509"/>
      <c r="U184" s="3509"/>
      <c r="V184" s="3509"/>
      <c r="W184" s="3509"/>
      <c r="X184" s="3509"/>
      <c r="Y184" s="3509"/>
      <c r="Z184" s="3509"/>
      <c r="AA184" s="3509"/>
      <c r="AB184" s="3509"/>
      <c r="AC184" s="3509"/>
    </row>
    <row r="185" spans="1:29">
      <c r="A185" s="3509"/>
      <c r="B185" s="3509"/>
      <c r="C185" s="3509"/>
      <c r="D185" s="3509"/>
      <c r="E185" s="3509"/>
      <c r="F185" s="3509"/>
      <c r="G185" s="3509"/>
      <c r="H185" s="3509"/>
      <c r="I185" s="3509"/>
      <c r="J185" s="3509"/>
      <c r="K185" s="3510"/>
      <c r="L185" s="3511"/>
      <c r="M185" s="3509"/>
      <c r="N185" s="3509"/>
      <c r="O185" s="3509"/>
      <c r="P185" s="3553"/>
      <c r="Q185" s="3509"/>
      <c r="R185" s="3509"/>
      <c r="S185" s="3509"/>
      <c r="T185" s="3509"/>
      <c r="U185" s="3509"/>
      <c r="V185" s="3509"/>
      <c r="W185" s="3509"/>
      <c r="X185" s="3509"/>
      <c r="Y185" s="3509"/>
      <c r="Z185" s="3509"/>
      <c r="AA185" s="3509"/>
      <c r="AB185" s="3509"/>
      <c r="AC185" s="3509"/>
    </row>
    <row r="186" spans="1:29">
      <c r="A186" s="3509"/>
      <c r="B186" s="3509"/>
      <c r="C186" s="3509"/>
      <c r="D186" s="3509"/>
      <c r="E186" s="3509"/>
      <c r="F186" s="3509"/>
      <c r="G186" s="3509"/>
      <c r="H186" s="3509"/>
      <c r="I186" s="3509"/>
      <c r="J186" s="3509"/>
      <c r="K186" s="3510"/>
      <c r="L186" s="3511"/>
      <c r="M186" s="3509"/>
      <c r="N186" s="3509"/>
      <c r="O186" s="3509"/>
      <c r="P186" s="3553"/>
      <c r="Q186" s="3509"/>
      <c r="R186" s="3509"/>
      <c r="S186" s="3509"/>
      <c r="T186" s="3509"/>
      <c r="U186" s="3509"/>
      <c r="V186" s="3509"/>
      <c r="W186" s="3509"/>
      <c r="X186" s="3509"/>
      <c r="Y186" s="3509"/>
      <c r="Z186" s="3509"/>
      <c r="AA186" s="3509"/>
      <c r="AB186" s="3509"/>
      <c r="AC186" s="3509"/>
    </row>
    <row r="187" spans="1:29">
      <c r="A187" s="3509"/>
      <c r="B187" s="3509"/>
      <c r="C187" s="3509"/>
      <c r="D187" s="3509"/>
      <c r="E187" s="3509"/>
      <c r="F187" s="3509"/>
      <c r="G187" s="3509"/>
      <c r="H187" s="3509"/>
      <c r="I187" s="3509"/>
      <c r="J187" s="3509"/>
      <c r="K187" s="3510"/>
      <c r="L187" s="3511"/>
      <c r="M187" s="3509"/>
      <c r="N187" s="3509"/>
      <c r="O187" s="3509"/>
      <c r="P187" s="3553"/>
      <c r="Q187" s="3509"/>
      <c r="R187" s="3509"/>
      <c r="S187" s="3509"/>
      <c r="T187" s="3509"/>
      <c r="U187" s="3509"/>
      <c r="V187" s="3509"/>
      <c r="W187" s="3509"/>
      <c r="X187" s="3509"/>
      <c r="Y187" s="3509"/>
      <c r="Z187" s="3509"/>
      <c r="AA187" s="3509"/>
      <c r="AB187" s="3509"/>
      <c r="AC187" s="3509"/>
    </row>
    <row r="188" spans="1:29">
      <c r="A188" s="3509"/>
      <c r="B188" s="3509"/>
      <c r="C188" s="3509"/>
      <c r="D188" s="3509"/>
      <c r="E188" s="3509"/>
      <c r="F188" s="3509"/>
      <c r="G188" s="3509"/>
      <c r="H188" s="3509"/>
      <c r="I188" s="3509"/>
      <c r="J188" s="3509"/>
      <c r="K188" s="3510"/>
      <c r="L188" s="3511"/>
      <c r="M188" s="3509"/>
      <c r="N188" s="3509"/>
      <c r="O188" s="3509"/>
      <c r="P188" s="3553"/>
      <c r="Q188" s="3509"/>
      <c r="R188" s="3509"/>
      <c r="S188" s="3509"/>
      <c r="T188" s="3509"/>
      <c r="U188" s="3509"/>
      <c r="V188" s="3509"/>
      <c r="W188" s="3509"/>
      <c r="X188" s="3509"/>
      <c r="Y188" s="3509"/>
      <c r="Z188" s="3509"/>
      <c r="AA188" s="3509"/>
      <c r="AB188" s="3509"/>
      <c r="AC188" s="3509"/>
    </row>
    <row r="189" spans="1:29">
      <c r="A189" s="3509"/>
      <c r="B189" s="3509"/>
      <c r="C189" s="3509"/>
      <c r="D189" s="3509"/>
      <c r="E189" s="3509"/>
      <c r="F189" s="3509"/>
      <c r="G189" s="3509"/>
      <c r="H189" s="3509"/>
      <c r="I189" s="3509"/>
      <c r="J189" s="3509"/>
      <c r="K189" s="3510"/>
      <c r="L189" s="3511"/>
      <c r="M189" s="3509"/>
      <c r="N189" s="3509"/>
      <c r="O189" s="3509"/>
      <c r="P189" s="3553"/>
      <c r="Q189" s="3509"/>
      <c r="R189" s="3509"/>
      <c r="S189" s="3509"/>
      <c r="T189" s="3509"/>
      <c r="U189" s="3509"/>
      <c r="V189" s="3509"/>
      <c r="W189" s="3509"/>
      <c r="X189" s="3509"/>
      <c r="Y189" s="3509"/>
      <c r="Z189" s="3509"/>
      <c r="AA189" s="3509"/>
      <c r="AB189" s="3509"/>
      <c r="AC189" s="3509"/>
    </row>
    <row r="190" spans="1:29">
      <c r="A190" s="3509"/>
      <c r="B190" s="3509"/>
      <c r="C190" s="3509"/>
      <c r="D190" s="3509"/>
      <c r="E190" s="3509"/>
      <c r="F190" s="3509"/>
      <c r="G190" s="3509"/>
      <c r="H190" s="3509"/>
      <c r="I190" s="3509"/>
      <c r="J190" s="3509"/>
      <c r="K190" s="3510"/>
      <c r="L190" s="3511"/>
      <c r="M190" s="3509"/>
      <c r="N190" s="3509"/>
      <c r="O190" s="3509"/>
      <c r="P190" s="3553"/>
      <c r="Q190" s="3509"/>
      <c r="R190" s="3509"/>
      <c r="S190" s="3509"/>
      <c r="T190" s="3509"/>
      <c r="U190" s="3509"/>
      <c r="V190" s="3509"/>
      <c r="W190" s="3509"/>
      <c r="X190" s="3509"/>
      <c r="Y190" s="3509"/>
      <c r="Z190" s="3509"/>
      <c r="AA190" s="3509"/>
      <c r="AB190" s="3509"/>
      <c r="AC190" s="3509"/>
    </row>
    <row r="191" spans="1:29">
      <c r="A191" s="3509"/>
      <c r="B191" s="3509"/>
      <c r="C191" s="3509"/>
      <c r="D191" s="3509"/>
      <c r="E191" s="3509"/>
      <c r="F191" s="3509"/>
      <c r="G191" s="3509"/>
      <c r="H191" s="3509"/>
      <c r="I191" s="3509"/>
      <c r="J191" s="3509"/>
      <c r="K191" s="3510"/>
      <c r="L191" s="3511"/>
      <c r="M191" s="3509"/>
      <c r="N191" s="3509"/>
      <c r="O191" s="3509"/>
      <c r="P191" s="3553"/>
      <c r="Q191" s="3509"/>
      <c r="R191" s="3509"/>
      <c r="S191" s="3509"/>
      <c r="T191" s="3509"/>
      <c r="U191" s="3509"/>
      <c r="V191" s="3509"/>
      <c r="W191" s="3509"/>
      <c r="X191" s="3509"/>
      <c r="Y191" s="3509"/>
      <c r="Z191" s="3509"/>
      <c r="AA191" s="3509"/>
      <c r="AB191" s="3509"/>
      <c r="AC191" s="3509"/>
    </row>
    <row r="192" spans="1:29">
      <c r="A192" s="3509"/>
      <c r="B192" s="3509"/>
      <c r="C192" s="3509"/>
      <c r="D192" s="3509"/>
      <c r="E192" s="3509"/>
      <c r="F192" s="3509"/>
      <c r="G192" s="3509"/>
      <c r="H192" s="3509"/>
      <c r="I192" s="3509"/>
      <c r="J192" s="3509"/>
      <c r="K192" s="3510"/>
      <c r="L192" s="3511"/>
      <c r="M192" s="3509"/>
      <c r="N192" s="3509"/>
      <c r="O192" s="3509"/>
      <c r="P192" s="3553"/>
      <c r="Q192" s="3509"/>
      <c r="R192" s="3509"/>
      <c r="S192" s="3509"/>
      <c r="T192" s="3509"/>
      <c r="U192" s="3509"/>
      <c r="V192" s="3509"/>
      <c r="W192" s="3509"/>
      <c r="X192" s="3509"/>
      <c r="Y192" s="3509"/>
      <c r="Z192" s="3509"/>
      <c r="AA192" s="3509"/>
      <c r="AB192" s="3509"/>
      <c r="AC192" s="3509"/>
    </row>
    <row r="193" spans="1:29">
      <c r="A193" s="3509"/>
      <c r="B193" s="3509"/>
      <c r="C193" s="3509"/>
      <c r="D193" s="3509"/>
      <c r="E193" s="3509"/>
      <c r="F193" s="3509"/>
      <c r="G193" s="3509"/>
      <c r="H193" s="3509"/>
      <c r="I193" s="3509"/>
      <c r="J193" s="3509"/>
      <c r="K193" s="3510"/>
      <c r="L193" s="3511"/>
      <c r="M193" s="3509"/>
      <c r="N193" s="3509"/>
      <c r="O193" s="3509"/>
      <c r="P193" s="3553"/>
      <c r="Q193" s="3509"/>
      <c r="R193" s="3509"/>
      <c r="S193" s="3509"/>
      <c r="T193" s="3509"/>
      <c r="U193" s="3509"/>
      <c r="V193" s="3509"/>
      <c r="W193" s="3509"/>
      <c r="X193" s="3509"/>
      <c r="Y193" s="3509"/>
      <c r="Z193" s="3509"/>
      <c r="AA193" s="3509"/>
      <c r="AB193" s="3509"/>
      <c r="AC193" s="3509"/>
    </row>
    <row r="194" spans="1:29">
      <c r="A194" s="3509"/>
      <c r="B194" s="3509"/>
      <c r="C194" s="3509"/>
      <c r="D194" s="3509"/>
      <c r="E194" s="3509"/>
      <c r="F194" s="3509"/>
      <c r="G194" s="3509"/>
      <c r="H194" s="3509"/>
      <c r="I194" s="3509"/>
      <c r="J194" s="3509"/>
      <c r="K194" s="3510"/>
      <c r="L194" s="3511"/>
      <c r="M194" s="3509"/>
      <c r="N194" s="3509"/>
      <c r="O194" s="3509"/>
      <c r="P194" s="3553"/>
      <c r="Q194" s="3509"/>
      <c r="R194" s="3509"/>
      <c r="S194" s="3509"/>
      <c r="T194" s="3509"/>
      <c r="U194" s="3509"/>
      <c r="V194" s="3509"/>
      <c r="W194" s="3509"/>
      <c r="X194" s="3509"/>
      <c r="Y194" s="3509"/>
      <c r="Z194" s="3509"/>
      <c r="AA194" s="3509"/>
      <c r="AB194" s="3509"/>
      <c r="AC194" s="3509"/>
    </row>
    <row r="195" spans="1:29">
      <c r="A195" s="3509"/>
      <c r="B195" s="3509"/>
      <c r="C195" s="3509"/>
      <c r="D195" s="3509"/>
      <c r="E195" s="3509"/>
      <c r="F195" s="3509"/>
      <c r="G195" s="3509"/>
      <c r="H195" s="3509"/>
      <c r="I195" s="3509"/>
      <c r="J195" s="3509"/>
      <c r="K195" s="3510"/>
      <c r="L195" s="3511"/>
      <c r="M195" s="3509"/>
      <c r="N195" s="3509"/>
      <c r="O195" s="3509"/>
      <c r="P195" s="3553"/>
      <c r="Q195" s="3509"/>
      <c r="R195" s="3509"/>
      <c r="S195" s="3509"/>
      <c r="T195" s="3509"/>
      <c r="U195" s="3509"/>
      <c r="V195" s="3509"/>
      <c r="W195" s="3509"/>
      <c r="X195" s="3509"/>
      <c r="Y195" s="3509"/>
      <c r="Z195" s="3509"/>
      <c r="AA195" s="3509"/>
      <c r="AB195" s="3509"/>
      <c r="AC195" s="3509"/>
    </row>
    <row r="196" spans="1:29">
      <c r="A196" s="3509"/>
      <c r="B196" s="3509"/>
      <c r="C196" s="3509"/>
      <c r="D196" s="3509"/>
      <c r="E196" s="3509"/>
      <c r="F196" s="3509"/>
      <c r="G196" s="3509"/>
      <c r="H196" s="3509"/>
      <c r="I196" s="3509"/>
      <c r="J196" s="3509"/>
      <c r="K196" s="3510"/>
      <c r="L196" s="3511"/>
      <c r="M196" s="3509"/>
      <c r="N196" s="3509"/>
      <c r="O196" s="3509"/>
      <c r="P196" s="3553"/>
      <c r="Q196" s="3509"/>
      <c r="R196" s="3509"/>
      <c r="S196" s="3509"/>
      <c r="T196" s="3509"/>
      <c r="U196" s="3509"/>
      <c r="V196" s="3509"/>
      <c r="W196" s="3509"/>
      <c r="X196" s="3509"/>
      <c r="Y196" s="3509"/>
      <c r="Z196" s="3509"/>
      <c r="AA196" s="3509"/>
      <c r="AB196" s="3509"/>
      <c r="AC196" s="3509"/>
    </row>
    <row r="197" spans="1:29">
      <c r="A197" s="3509"/>
      <c r="B197" s="3509"/>
      <c r="C197" s="3509"/>
      <c r="D197" s="3509"/>
      <c r="E197" s="3509"/>
      <c r="F197" s="3509"/>
      <c r="G197" s="3509"/>
      <c r="H197" s="3509"/>
      <c r="I197" s="3509"/>
      <c r="J197" s="3509"/>
      <c r="K197" s="3510"/>
      <c r="L197" s="3511"/>
      <c r="M197" s="3509"/>
      <c r="N197" s="3509"/>
      <c r="O197" s="3509"/>
      <c r="P197" s="3553"/>
      <c r="Q197" s="3509"/>
      <c r="R197" s="3509"/>
      <c r="S197" s="3509"/>
      <c r="T197" s="3509"/>
      <c r="U197" s="3509"/>
      <c r="V197" s="3509"/>
      <c r="W197" s="3509"/>
      <c r="X197" s="3509"/>
      <c r="Y197" s="3509"/>
      <c r="Z197" s="3509"/>
      <c r="AA197" s="3509"/>
      <c r="AB197" s="3509"/>
      <c r="AC197" s="3509"/>
    </row>
    <row r="198" spans="1:29">
      <c r="A198" s="3509"/>
      <c r="B198" s="3509"/>
      <c r="C198" s="3509"/>
      <c r="D198" s="3509"/>
      <c r="E198" s="3509"/>
      <c r="F198" s="3509"/>
      <c r="G198" s="3509"/>
      <c r="H198" s="3509"/>
      <c r="I198" s="3509"/>
      <c r="J198" s="3509"/>
      <c r="K198" s="3510"/>
      <c r="L198" s="3511"/>
      <c r="M198" s="3509"/>
      <c r="N198" s="3509"/>
      <c r="O198" s="3509"/>
      <c r="P198" s="3553"/>
      <c r="Q198" s="3509"/>
      <c r="R198" s="3509"/>
      <c r="S198" s="3509"/>
      <c r="T198" s="3509"/>
      <c r="U198" s="3509"/>
      <c r="V198" s="3509"/>
      <c r="W198" s="3509"/>
      <c r="X198" s="3509"/>
      <c r="Y198" s="3509"/>
      <c r="Z198" s="3509"/>
      <c r="AA198" s="3509"/>
      <c r="AB198" s="3509"/>
      <c r="AC198" s="3509"/>
    </row>
    <row r="199" spans="1:29">
      <c r="A199" s="3509"/>
      <c r="B199" s="3509"/>
      <c r="C199" s="3509"/>
      <c r="D199" s="3509"/>
      <c r="E199" s="3509"/>
      <c r="F199" s="3509"/>
      <c r="G199" s="3509"/>
      <c r="H199" s="3509"/>
      <c r="I199" s="3509"/>
      <c r="J199" s="3509"/>
      <c r="K199" s="3510"/>
      <c r="L199" s="3511"/>
      <c r="M199" s="3509"/>
      <c r="N199" s="3509"/>
      <c r="O199" s="3509"/>
      <c r="P199" s="3553"/>
      <c r="Q199" s="3509"/>
      <c r="R199" s="3509"/>
      <c r="S199" s="3509"/>
      <c r="T199" s="3509"/>
      <c r="U199" s="3509"/>
      <c r="V199" s="3509"/>
      <c r="W199" s="3509"/>
      <c r="X199" s="3509"/>
      <c r="Y199" s="3509"/>
      <c r="Z199" s="3509"/>
      <c r="AA199" s="3509"/>
      <c r="AB199" s="3509"/>
      <c r="AC199" s="3509"/>
    </row>
    <row r="200" spans="1:29">
      <c r="A200" s="3509"/>
      <c r="B200" s="3509"/>
      <c r="C200" s="3509"/>
      <c r="D200" s="3509"/>
      <c r="E200" s="3509"/>
      <c r="F200" s="3509"/>
      <c r="G200" s="3509"/>
      <c r="H200" s="3509"/>
      <c r="I200" s="3509"/>
      <c r="J200" s="3509"/>
      <c r="K200" s="3510"/>
      <c r="L200" s="3511"/>
      <c r="M200" s="3509"/>
      <c r="N200" s="3509"/>
      <c r="O200" s="3509"/>
      <c r="P200" s="3553"/>
      <c r="Q200" s="3509"/>
      <c r="R200" s="3509"/>
      <c r="S200" s="3509"/>
      <c r="T200" s="3509"/>
      <c r="U200" s="3509"/>
      <c r="V200" s="3509"/>
      <c r="W200" s="3509"/>
      <c r="X200" s="3509"/>
      <c r="Y200" s="3509"/>
      <c r="Z200" s="3509"/>
      <c r="AA200" s="3509"/>
      <c r="AB200" s="3509"/>
      <c r="AC200" s="3509"/>
    </row>
    <row r="201" spans="1:29">
      <c r="A201" s="3509"/>
      <c r="B201" s="3509"/>
      <c r="C201" s="3509"/>
      <c r="D201" s="3509"/>
      <c r="E201" s="3509"/>
      <c r="F201" s="3509"/>
      <c r="G201" s="3509"/>
      <c r="H201" s="3509"/>
      <c r="I201" s="3509"/>
      <c r="J201" s="3509"/>
      <c r="K201" s="3510"/>
      <c r="L201" s="3511"/>
      <c r="M201" s="3509"/>
      <c r="N201" s="3509"/>
      <c r="O201" s="3509"/>
      <c r="P201" s="3553"/>
      <c r="Q201" s="3509"/>
      <c r="R201" s="3509"/>
      <c r="S201" s="3509"/>
      <c r="T201" s="3509"/>
      <c r="U201" s="3509"/>
      <c r="V201" s="3509"/>
      <c r="W201" s="3509"/>
      <c r="X201" s="3509"/>
      <c r="Y201" s="3509"/>
      <c r="Z201" s="3509"/>
      <c r="AA201" s="3509"/>
      <c r="AB201" s="3509"/>
      <c r="AC201" s="3509"/>
    </row>
    <row r="202" spans="1:29">
      <c r="A202" s="3509"/>
      <c r="B202" s="3509"/>
      <c r="C202" s="3509"/>
      <c r="D202" s="3509"/>
      <c r="E202" s="3509"/>
      <c r="F202" s="3509"/>
      <c r="G202" s="3509"/>
      <c r="H202" s="3509"/>
      <c r="I202" s="3509"/>
      <c r="J202" s="3509"/>
      <c r="K202" s="3510"/>
      <c r="L202" s="3511"/>
      <c r="M202" s="3509"/>
      <c r="N202" s="3509"/>
      <c r="O202" s="3509"/>
      <c r="P202" s="3553"/>
      <c r="Q202" s="3509"/>
      <c r="R202" s="3509"/>
      <c r="S202" s="3509"/>
      <c r="T202" s="3509"/>
      <c r="U202" s="3509"/>
      <c r="V202" s="3509"/>
      <c r="W202" s="3509"/>
      <c r="X202" s="3509"/>
      <c r="Y202" s="3509"/>
      <c r="Z202" s="3509"/>
      <c r="AA202" s="3509"/>
      <c r="AB202" s="3509"/>
      <c r="AC202" s="3509"/>
    </row>
    <row r="203" spans="1:29">
      <c r="A203" s="3509"/>
      <c r="B203" s="3509"/>
      <c r="C203" s="3509"/>
      <c r="D203" s="3509"/>
      <c r="E203" s="3509"/>
      <c r="F203" s="3509"/>
      <c r="G203" s="3509"/>
      <c r="H203" s="3509"/>
      <c r="I203" s="3509"/>
      <c r="J203" s="3509"/>
      <c r="K203" s="3510"/>
      <c r="L203" s="3511"/>
      <c r="M203" s="3509"/>
      <c r="N203" s="3509"/>
      <c r="O203" s="3509"/>
      <c r="P203" s="3553"/>
      <c r="Q203" s="3509"/>
      <c r="R203" s="3509"/>
      <c r="S203" s="3509"/>
      <c r="T203" s="3509"/>
      <c r="U203" s="3509"/>
      <c r="V203" s="3509"/>
      <c r="W203" s="3509"/>
      <c r="X203" s="3509"/>
      <c r="Y203" s="3509"/>
      <c r="Z203" s="3509"/>
      <c r="AA203" s="3509"/>
      <c r="AB203" s="3509"/>
      <c r="AC203" s="3509"/>
    </row>
    <row r="204" spans="1:29">
      <c r="A204" s="3509"/>
      <c r="B204" s="3509"/>
      <c r="C204" s="3509"/>
      <c r="D204" s="3509"/>
      <c r="E204" s="3509"/>
      <c r="F204" s="3509"/>
      <c r="G204" s="3509"/>
      <c r="H204" s="3509"/>
      <c r="I204" s="3509"/>
      <c r="J204" s="3509"/>
      <c r="K204" s="3510"/>
      <c r="L204" s="3511"/>
      <c r="M204" s="3509"/>
      <c r="N204" s="3509"/>
      <c r="O204" s="3509"/>
      <c r="P204" s="3553"/>
      <c r="Q204" s="3509"/>
      <c r="R204" s="3509"/>
      <c r="S204" s="3509"/>
      <c r="T204" s="3509"/>
      <c r="U204" s="3509"/>
      <c r="V204" s="3509"/>
      <c r="W204" s="3509"/>
      <c r="X204" s="3509"/>
      <c r="Y204" s="3509"/>
      <c r="Z204" s="3509"/>
      <c r="AA204" s="3509"/>
      <c r="AB204" s="3509"/>
      <c r="AC204" s="3509"/>
    </row>
    <row r="205" spans="1:29">
      <c r="A205" s="3509"/>
      <c r="B205" s="3509"/>
      <c r="C205" s="3509"/>
      <c r="D205" s="3509"/>
      <c r="E205" s="3509"/>
      <c r="F205" s="3509"/>
      <c r="G205" s="3509"/>
      <c r="H205" s="3509"/>
      <c r="I205" s="3509"/>
      <c r="J205" s="3509"/>
      <c r="K205" s="3510"/>
      <c r="L205" s="3511"/>
      <c r="M205" s="3509"/>
      <c r="N205" s="3509"/>
      <c r="O205" s="3509"/>
      <c r="P205" s="3553"/>
      <c r="Q205" s="3509"/>
      <c r="R205" s="3509"/>
      <c r="S205" s="3509"/>
      <c r="T205" s="3509"/>
      <c r="U205" s="3509"/>
      <c r="V205" s="3509"/>
      <c r="W205" s="3509"/>
      <c r="X205" s="3509"/>
      <c r="Y205" s="3509"/>
      <c r="Z205" s="3509"/>
      <c r="AA205" s="3509"/>
      <c r="AB205" s="3509"/>
      <c r="AC205" s="3509"/>
    </row>
    <row r="206" spans="1:29">
      <c r="A206" s="3509"/>
      <c r="B206" s="3509"/>
      <c r="C206" s="3509"/>
      <c r="D206" s="3509"/>
      <c r="E206" s="3509"/>
      <c r="F206" s="3509"/>
      <c r="G206" s="3509"/>
      <c r="H206" s="3509"/>
      <c r="I206" s="3509"/>
      <c r="J206" s="3509"/>
      <c r="K206" s="3510"/>
      <c r="L206" s="3511"/>
      <c r="M206" s="3509"/>
      <c r="N206" s="3509"/>
      <c r="O206" s="3509"/>
      <c r="P206" s="3553"/>
      <c r="Q206" s="3509"/>
      <c r="R206" s="3509"/>
      <c r="S206" s="3509"/>
      <c r="T206" s="3509"/>
      <c r="U206" s="3509"/>
      <c r="V206" s="3509"/>
      <c r="W206" s="3509"/>
      <c r="X206" s="3509"/>
      <c r="Y206" s="3509"/>
      <c r="Z206" s="3509"/>
      <c r="AA206" s="3509"/>
      <c r="AB206" s="3509"/>
      <c r="AC206" s="3509"/>
    </row>
    <row r="207" spans="1:29">
      <c r="A207" s="3509"/>
      <c r="B207" s="3509"/>
      <c r="C207" s="3509"/>
      <c r="D207" s="3509"/>
      <c r="E207" s="3509"/>
      <c r="F207" s="3509"/>
      <c r="G207" s="3509"/>
      <c r="H207" s="3509"/>
      <c r="I207" s="3509"/>
      <c r="J207" s="3509"/>
      <c r="K207" s="3510"/>
      <c r="L207" s="3511"/>
      <c r="M207" s="3509"/>
      <c r="N207" s="3509"/>
      <c r="O207" s="3509"/>
      <c r="P207" s="3553"/>
      <c r="Q207" s="3509"/>
      <c r="R207" s="3509"/>
      <c r="S207" s="3509"/>
      <c r="T207" s="3509"/>
      <c r="U207" s="3509"/>
      <c r="V207" s="3509"/>
      <c r="W207" s="3509"/>
      <c r="X207" s="3509"/>
      <c r="Y207" s="3509"/>
      <c r="Z207" s="3509"/>
      <c r="AA207" s="3509"/>
      <c r="AB207" s="3509"/>
      <c r="AC207" s="3509"/>
    </row>
    <row r="208" spans="1:29">
      <c r="A208" s="3509"/>
      <c r="B208" s="3509"/>
      <c r="C208" s="3509"/>
      <c r="D208" s="3509"/>
      <c r="E208" s="3509"/>
      <c r="F208" s="3509"/>
      <c r="G208" s="3509"/>
      <c r="H208" s="3509"/>
      <c r="I208" s="3509"/>
      <c r="J208" s="3509"/>
      <c r="K208" s="3510"/>
      <c r="L208" s="3511"/>
      <c r="M208" s="3509"/>
      <c r="N208" s="3509"/>
      <c r="O208" s="3509"/>
      <c r="P208" s="3553"/>
      <c r="Q208" s="3509"/>
      <c r="R208" s="3509"/>
      <c r="S208" s="3509"/>
      <c r="T208" s="3509"/>
      <c r="U208" s="3509"/>
      <c r="V208" s="3509"/>
      <c r="W208" s="3509"/>
      <c r="X208" s="3509"/>
      <c r="Y208" s="3509"/>
      <c r="Z208" s="3509"/>
      <c r="AA208" s="3509"/>
      <c r="AB208" s="3509"/>
      <c r="AC208" s="3509"/>
    </row>
    <row r="209" spans="1:29">
      <c r="A209" s="3509"/>
      <c r="B209" s="3509"/>
      <c r="C209" s="3509"/>
      <c r="D209" s="3509"/>
      <c r="E209" s="3509"/>
      <c r="F209" s="3509"/>
      <c r="G209" s="3509"/>
      <c r="H209" s="3509"/>
      <c r="I209" s="3509"/>
      <c r="J209" s="3509"/>
      <c r="K209" s="3510"/>
      <c r="L209" s="3511"/>
      <c r="M209" s="3509"/>
      <c r="N209" s="3509"/>
      <c r="O209" s="3509"/>
      <c r="P209" s="3553"/>
      <c r="Q209" s="3509"/>
      <c r="R209" s="3509"/>
      <c r="S209" s="3509"/>
      <c r="T209" s="3509"/>
      <c r="U209" s="3509"/>
      <c r="V209" s="3509"/>
      <c r="W209" s="3509"/>
      <c r="X209" s="3509"/>
      <c r="Y209" s="3509"/>
      <c r="Z209" s="3509"/>
      <c r="AA209" s="3509"/>
      <c r="AB209" s="3509"/>
      <c r="AC209" s="3509"/>
    </row>
    <row r="210" spans="1:29">
      <c r="A210" s="3509"/>
      <c r="B210" s="3509"/>
      <c r="C210" s="3509"/>
      <c r="D210" s="3509"/>
      <c r="E210" s="3509"/>
      <c r="F210" s="3509"/>
      <c r="G210" s="3509"/>
      <c r="H210" s="3509"/>
      <c r="I210" s="3509"/>
      <c r="J210" s="3509"/>
      <c r="K210" s="3510"/>
      <c r="L210" s="3511"/>
      <c r="M210" s="3509"/>
      <c r="N210" s="3509"/>
      <c r="O210" s="3509"/>
      <c r="P210" s="3553"/>
      <c r="Q210" s="3509"/>
      <c r="R210" s="3509"/>
      <c r="S210" s="3509"/>
      <c r="T210" s="3509"/>
      <c r="U210" s="3509"/>
      <c r="V210" s="3509"/>
      <c r="W210" s="3509"/>
      <c r="X210" s="3509"/>
      <c r="Y210" s="3509"/>
      <c r="Z210" s="3509"/>
      <c r="AA210" s="3509"/>
      <c r="AB210" s="3509"/>
      <c r="AC210" s="3509"/>
    </row>
    <row r="211" spans="1:29">
      <c r="A211" s="3509"/>
      <c r="B211" s="3509"/>
      <c r="C211" s="3509"/>
      <c r="D211" s="3509"/>
      <c r="E211" s="3509"/>
      <c r="F211" s="3509"/>
      <c r="G211" s="3509"/>
      <c r="H211" s="3509"/>
      <c r="I211" s="3509"/>
      <c r="J211" s="3509"/>
      <c r="K211" s="3510"/>
      <c r="L211" s="3511"/>
      <c r="M211" s="3509"/>
      <c r="N211" s="3509"/>
      <c r="O211" s="3509"/>
      <c r="P211" s="3553"/>
      <c r="Q211" s="3509"/>
      <c r="R211" s="3509"/>
      <c r="S211" s="3509"/>
      <c r="T211" s="3509"/>
      <c r="U211" s="3509"/>
      <c r="V211" s="3509"/>
      <c r="W211" s="3509"/>
      <c r="X211" s="3509"/>
      <c r="Y211" s="3509"/>
      <c r="Z211" s="3509"/>
      <c r="AA211" s="3509"/>
      <c r="AB211" s="3509"/>
      <c r="AC211" s="3509"/>
    </row>
    <row r="212" spans="1:29">
      <c r="A212" s="3509"/>
      <c r="B212" s="3509"/>
      <c r="C212" s="3509"/>
      <c r="D212" s="3509"/>
      <c r="E212" s="3509"/>
      <c r="F212" s="3509"/>
      <c r="G212" s="3509"/>
      <c r="H212" s="3509"/>
      <c r="I212" s="3509"/>
      <c r="J212" s="3509"/>
      <c r="K212" s="3510"/>
      <c r="L212" s="3511"/>
      <c r="M212" s="3509"/>
      <c r="N212" s="3509"/>
      <c r="O212" s="3509"/>
      <c r="P212" s="3553"/>
      <c r="Q212" s="3509"/>
      <c r="R212" s="3509"/>
      <c r="S212" s="3509"/>
      <c r="T212" s="3509"/>
      <c r="U212" s="3509"/>
      <c r="V212" s="3509"/>
      <c r="W212" s="3509"/>
      <c r="X212" s="3509"/>
      <c r="Y212" s="3509"/>
      <c r="Z212" s="3509"/>
      <c r="AA212" s="3509"/>
      <c r="AB212" s="3509"/>
      <c r="AC212" s="3509"/>
    </row>
    <row r="213" spans="1:29">
      <c r="A213" s="3509"/>
      <c r="B213" s="3509"/>
      <c r="C213" s="3509"/>
      <c r="D213" s="3509"/>
      <c r="E213" s="3509"/>
      <c r="F213" s="3509"/>
      <c r="G213" s="3509"/>
      <c r="H213" s="3509"/>
      <c r="I213" s="3509"/>
      <c r="J213" s="3509"/>
      <c r="K213" s="3510"/>
      <c r="L213" s="3511"/>
      <c r="M213" s="3509"/>
      <c r="N213" s="3509"/>
      <c r="O213" s="3509"/>
      <c r="P213" s="3553"/>
      <c r="Q213" s="3509"/>
      <c r="R213" s="3509"/>
      <c r="S213" s="3509"/>
      <c r="T213" s="3509"/>
      <c r="U213" s="3509"/>
      <c r="V213" s="3509"/>
      <c r="W213" s="3509"/>
      <c r="X213" s="3509"/>
      <c r="Y213" s="3509"/>
      <c r="Z213" s="3509"/>
      <c r="AA213" s="3509"/>
      <c r="AB213" s="3509"/>
      <c r="AC213" s="3509"/>
    </row>
    <row r="214" spans="1:29">
      <c r="A214" s="3509"/>
      <c r="B214" s="3509"/>
      <c r="C214" s="3509"/>
      <c r="D214" s="3509"/>
      <c r="E214" s="3509"/>
      <c r="F214" s="3509"/>
      <c r="G214" s="3509"/>
      <c r="H214" s="3509"/>
      <c r="I214" s="3509"/>
      <c r="J214" s="3509"/>
      <c r="K214" s="3510"/>
      <c r="L214" s="3511"/>
      <c r="M214" s="3509"/>
      <c r="N214" s="3509"/>
      <c r="O214" s="3509"/>
      <c r="P214" s="3553"/>
      <c r="Q214" s="3509"/>
      <c r="R214" s="3509"/>
      <c r="S214" s="3509"/>
      <c r="T214" s="3509"/>
      <c r="U214" s="3509"/>
      <c r="V214" s="3509"/>
      <c r="W214" s="3509"/>
      <c r="X214" s="3509"/>
      <c r="Y214" s="3509"/>
      <c r="Z214" s="3509"/>
      <c r="AA214" s="3509"/>
      <c r="AB214" s="3509"/>
      <c r="AC214" s="3509"/>
    </row>
    <row r="215" spans="1:29">
      <c r="A215" s="3509"/>
      <c r="B215" s="3509"/>
      <c r="C215" s="3509"/>
      <c r="D215" s="3509"/>
      <c r="E215" s="3509"/>
      <c r="F215" s="3509"/>
      <c r="G215" s="3509"/>
      <c r="H215" s="3509"/>
      <c r="I215" s="3509"/>
      <c r="J215" s="3509"/>
      <c r="K215" s="3510"/>
      <c r="L215" s="3511"/>
      <c r="M215" s="3509"/>
      <c r="N215" s="3509"/>
      <c r="O215" s="3509"/>
      <c r="P215" s="3553"/>
      <c r="Q215" s="3509"/>
      <c r="R215" s="3509"/>
      <c r="S215" s="3509"/>
      <c r="T215" s="3509"/>
      <c r="U215" s="3509"/>
      <c r="V215" s="3509"/>
      <c r="W215" s="3509"/>
      <c r="X215" s="3509"/>
      <c r="Y215" s="3509"/>
      <c r="Z215" s="3509"/>
      <c r="AA215" s="3509"/>
      <c r="AB215" s="3509"/>
      <c r="AC215" s="3509"/>
    </row>
    <row r="216" spans="1:29">
      <c r="A216" s="3509"/>
      <c r="B216" s="3509"/>
      <c r="C216" s="3509"/>
      <c r="D216" s="3509"/>
      <c r="E216" s="3509"/>
      <c r="F216" s="3509"/>
      <c r="G216" s="3509"/>
      <c r="H216" s="3509"/>
      <c r="I216" s="3509"/>
      <c r="J216" s="3509"/>
      <c r="K216" s="3510"/>
      <c r="L216" s="3511"/>
      <c r="M216" s="3509"/>
      <c r="N216" s="3509"/>
      <c r="O216" s="3509"/>
      <c r="P216" s="3553"/>
      <c r="Q216" s="3509"/>
      <c r="R216" s="3509"/>
      <c r="S216" s="3509"/>
      <c r="T216" s="3509"/>
      <c r="U216" s="3509"/>
      <c r="V216" s="3509"/>
      <c r="W216" s="3509"/>
      <c r="X216" s="3509"/>
      <c r="Y216" s="3509"/>
      <c r="Z216" s="3509"/>
      <c r="AA216" s="3509"/>
      <c r="AB216" s="3509"/>
      <c r="AC216" s="3509"/>
    </row>
    <row r="217" spans="1:29">
      <c r="A217" s="3509"/>
      <c r="B217" s="3509"/>
      <c r="C217" s="3509"/>
      <c r="D217" s="3509"/>
      <c r="E217" s="3509"/>
      <c r="F217" s="3509"/>
      <c r="G217" s="3509"/>
      <c r="H217" s="3509"/>
      <c r="I217" s="3509"/>
      <c r="J217" s="3509"/>
      <c r="K217" s="3510"/>
      <c r="L217" s="3511"/>
      <c r="M217" s="3509"/>
      <c r="N217" s="3509"/>
      <c r="O217" s="3509"/>
      <c r="P217" s="3553"/>
      <c r="Q217" s="3509"/>
      <c r="R217" s="3509"/>
      <c r="S217" s="3509"/>
      <c r="T217" s="3509"/>
      <c r="U217" s="3509"/>
      <c r="V217" s="3509"/>
      <c r="W217" s="3509"/>
      <c r="X217" s="3509"/>
      <c r="Y217" s="3509"/>
      <c r="Z217" s="3509"/>
      <c r="AA217" s="3509"/>
      <c r="AB217" s="3509"/>
      <c r="AC217" s="3509"/>
    </row>
    <row r="218" spans="1:29">
      <c r="A218" s="3509"/>
      <c r="B218" s="3509"/>
      <c r="C218" s="3509"/>
      <c r="D218" s="3509"/>
      <c r="E218" s="3509"/>
      <c r="F218" s="3509"/>
      <c r="G218" s="3509"/>
      <c r="H218" s="3509"/>
      <c r="I218" s="3509"/>
      <c r="J218" s="3509"/>
      <c r="K218" s="3510"/>
      <c r="L218" s="3511"/>
      <c r="M218" s="3509"/>
      <c r="N218" s="3509"/>
      <c r="O218" s="3509"/>
      <c r="P218" s="3553"/>
      <c r="Q218" s="3509"/>
      <c r="R218" s="3509"/>
      <c r="S218" s="3509"/>
      <c r="T218" s="3509"/>
      <c r="U218" s="3509"/>
      <c r="V218" s="3509"/>
      <c r="W218" s="3509"/>
      <c r="X218" s="3509"/>
      <c r="Y218" s="3509"/>
      <c r="Z218" s="3509"/>
      <c r="AA218" s="3509"/>
      <c r="AB218" s="3509"/>
      <c r="AC218" s="3509"/>
    </row>
    <row r="219" spans="1:29">
      <c r="A219" s="3509"/>
      <c r="B219" s="3509"/>
      <c r="C219" s="3509"/>
      <c r="D219" s="3509"/>
      <c r="E219" s="3509"/>
      <c r="F219" s="3509"/>
      <c r="G219" s="3509"/>
      <c r="H219" s="3509"/>
      <c r="I219" s="3509"/>
      <c r="J219" s="3509"/>
      <c r="K219" s="3510"/>
      <c r="L219" s="3511"/>
      <c r="M219" s="3509"/>
      <c r="N219" s="3509"/>
      <c r="O219" s="3509"/>
      <c r="P219" s="3553"/>
      <c r="Q219" s="3509"/>
      <c r="R219" s="3509"/>
      <c r="S219" s="3509"/>
      <c r="T219" s="3509"/>
      <c r="U219" s="3509"/>
      <c r="V219" s="3509"/>
      <c r="W219" s="3509"/>
      <c r="X219" s="3509"/>
      <c r="Y219" s="3509"/>
      <c r="Z219" s="3509"/>
      <c r="AA219" s="3509"/>
      <c r="AB219" s="3509"/>
      <c r="AC219" s="3509"/>
    </row>
    <row r="220" spans="1:29">
      <c r="A220" s="3509"/>
      <c r="B220" s="3509"/>
      <c r="C220" s="3509"/>
      <c r="D220" s="3509"/>
      <c r="E220" s="3509"/>
      <c r="F220" s="3509"/>
      <c r="G220" s="3509"/>
      <c r="H220" s="3509"/>
      <c r="I220" s="3509"/>
      <c r="J220" s="3509"/>
      <c r="K220" s="3510"/>
      <c r="L220" s="3511"/>
      <c r="M220" s="3509"/>
      <c r="N220" s="3509"/>
      <c r="O220" s="3509"/>
      <c r="P220" s="3553"/>
      <c r="Q220" s="3509"/>
      <c r="R220" s="3509"/>
      <c r="S220" s="3509"/>
      <c r="T220" s="3509"/>
      <c r="U220" s="3509"/>
      <c r="V220" s="3509"/>
      <c r="W220" s="3509"/>
      <c r="X220" s="3509"/>
      <c r="Y220" s="3509"/>
      <c r="Z220" s="3509"/>
      <c r="AA220" s="3509"/>
      <c r="AB220" s="3509"/>
      <c r="AC220" s="3509"/>
    </row>
    <row r="221" spans="1:29">
      <c r="A221" s="3509"/>
      <c r="B221" s="3509"/>
      <c r="C221" s="3509"/>
      <c r="D221" s="3509"/>
      <c r="E221" s="3509"/>
      <c r="F221" s="3509"/>
      <c r="G221" s="3509"/>
      <c r="H221" s="3509"/>
      <c r="I221" s="3509"/>
      <c r="J221" s="3509"/>
      <c r="K221" s="3510"/>
      <c r="L221" s="3511"/>
      <c r="M221" s="3509"/>
      <c r="N221" s="3509"/>
      <c r="O221" s="3509"/>
      <c r="P221" s="3553"/>
      <c r="Q221" s="3509"/>
      <c r="R221" s="3509"/>
      <c r="S221" s="3509"/>
      <c r="T221" s="3509"/>
      <c r="U221" s="3509"/>
      <c r="V221" s="3509"/>
      <c r="W221" s="3509"/>
      <c r="X221" s="3509"/>
      <c r="Y221" s="3509"/>
      <c r="Z221" s="3509"/>
      <c r="AA221" s="3509"/>
      <c r="AB221" s="3509"/>
      <c r="AC221" s="3509"/>
    </row>
    <row r="222" spans="1:29">
      <c r="A222" s="3509"/>
      <c r="B222" s="3509"/>
      <c r="C222" s="3509"/>
      <c r="D222" s="3509"/>
      <c r="E222" s="3509"/>
      <c r="F222" s="3509"/>
      <c r="G222" s="3509"/>
      <c r="H222" s="3509"/>
      <c r="I222" s="3509"/>
      <c r="J222" s="3509"/>
      <c r="K222" s="3510"/>
      <c r="L222" s="3511"/>
      <c r="M222" s="3509"/>
      <c r="N222" s="3509"/>
      <c r="O222" s="3509"/>
      <c r="P222" s="3553"/>
      <c r="Q222" s="3509"/>
      <c r="R222" s="3509"/>
      <c r="S222" s="3509"/>
      <c r="T222" s="3509"/>
      <c r="U222" s="3509"/>
      <c r="V222" s="3509"/>
      <c r="W222" s="3509"/>
      <c r="X222" s="3509"/>
      <c r="Y222" s="3509"/>
      <c r="Z222" s="3509"/>
      <c r="AA222" s="3509"/>
      <c r="AB222" s="3509"/>
      <c r="AC222" s="3509"/>
    </row>
    <row r="223" spans="1:29">
      <c r="A223" s="3509"/>
      <c r="B223" s="3509"/>
      <c r="C223" s="3509"/>
      <c r="D223" s="3509"/>
      <c r="E223" s="3509"/>
      <c r="F223" s="3509"/>
      <c r="G223" s="3509"/>
      <c r="H223" s="3509"/>
      <c r="I223" s="3509"/>
      <c r="J223" s="3509"/>
      <c r="K223" s="3510"/>
      <c r="L223" s="3511"/>
      <c r="M223" s="3509"/>
      <c r="N223" s="3509"/>
      <c r="O223" s="3509"/>
      <c r="P223" s="3553"/>
      <c r="Q223" s="3509"/>
      <c r="R223" s="3509"/>
      <c r="S223" s="3509"/>
      <c r="T223" s="3509"/>
      <c r="U223" s="3509"/>
      <c r="V223" s="3509"/>
      <c r="W223" s="3509"/>
      <c r="X223" s="3509"/>
      <c r="Y223" s="3509"/>
      <c r="Z223" s="3509"/>
      <c r="AA223" s="3509"/>
      <c r="AB223" s="3509"/>
      <c r="AC223" s="3509"/>
    </row>
    <row r="224" spans="1:29">
      <c r="A224" s="3509"/>
      <c r="B224" s="3509"/>
      <c r="C224" s="3509"/>
      <c r="D224" s="3509"/>
      <c r="E224" s="3509"/>
      <c r="F224" s="3509"/>
      <c r="G224" s="3509"/>
      <c r="H224" s="3509"/>
      <c r="I224" s="3509"/>
      <c r="J224" s="3509"/>
      <c r="K224" s="3510"/>
      <c r="L224" s="3511"/>
      <c r="M224" s="3509"/>
      <c r="N224" s="3509"/>
      <c r="O224" s="3509"/>
      <c r="P224" s="3553"/>
      <c r="Q224" s="3509"/>
      <c r="R224" s="3509"/>
      <c r="S224" s="3509"/>
      <c r="T224" s="3509"/>
      <c r="U224" s="3509"/>
      <c r="V224" s="3509"/>
      <c r="W224" s="3509"/>
      <c r="X224" s="3509"/>
      <c r="Y224" s="3509"/>
      <c r="Z224" s="3509"/>
      <c r="AA224" s="3509"/>
      <c r="AB224" s="3509"/>
      <c r="AC224" s="3509"/>
    </row>
    <row r="225" spans="1:29">
      <c r="A225" s="3509"/>
      <c r="B225" s="3509"/>
      <c r="C225" s="3509"/>
      <c r="D225" s="3509"/>
      <c r="E225" s="3509"/>
      <c r="F225" s="3509"/>
      <c r="G225" s="3509"/>
      <c r="H225" s="3509"/>
      <c r="I225" s="3509"/>
      <c r="J225" s="3509"/>
      <c r="K225" s="3510"/>
      <c r="L225" s="3511"/>
      <c r="M225" s="3509"/>
      <c r="N225" s="3509"/>
      <c r="O225" s="3509"/>
      <c r="P225" s="3553"/>
      <c r="Q225" s="3509"/>
      <c r="R225" s="3509"/>
      <c r="S225" s="3509"/>
      <c r="T225" s="3509"/>
      <c r="U225" s="3509"/>
      <c r="V225" s="3509"/>
      <c r="W225" s="3509"/>
      <c r="X225" s="3509"/>
      <c r="Y225" s="3509"/>
      <c r="Z225" s="3509"/>
      <c r="AA225" s="3509"/>
      <c r="AB225" s="3509"/>
      <c r="AC225" s="3509"/>
    </row>
    <row r="226" spans="1:29">
      <c r="A226" s="3509"/>
      <c r="B226" s="3509"/>
      <c r="C226" s="3509"/>
      <c r="D226" s="3509"/>
      <c r="E226" s="3509"/>
      <c r="F226" s="3509"/>
      <c r="G226" s="3509"/>
      <c r="H226" s="3509"/>
      <c r="I226" s="3509"/>
      <c r="J226" s="3509"/>
      <c r="K226" s="3510"/>
      <c r="L226" s="3511"/>
      <c r="M226" s="3509"/>
      <c r="N226" s="3509"/>
      <c r="O226" s="3509"/>
      <c r="P226" s="3553"/>
      <c r="Q226" s="3509"/>
      <c r="R226" s="3509"/>
      <c r="S226" s="3509"/>
      <c r="T226" s="3509"/>
      <c r="U226" s="3509"/>
      <c r="V226" s="3509"/>
      <c r="W226" s="3509"/>
      <c r="X226" s="3509"/>
      <c r="Y226" s="3509"/>
      <c r="Z226" s="3509"/>
      <c r="AA226" s="3509"/>
      <c r="AB226" s="3509"/>
      <c r="AC226" s="3509"/>
    </row>
    <row r="227" spans="1:29">
      <c r="A227" s="3509"/>
      <c r="B227" s="3509"/>
      <c r="C227" s="3509"/>
      <c r="D227" s="3509"/>
      <c r="E227" s="3509"/>
      <c r="F227" s="3509"/>
      <c r="G227" s="3509"/>
      <c r="H227" s="3509"/>
      <c r="I227" s="3509"/>
      <c r="J227" s="3509"/>
      <c r="K227" s="3510"/>
      <c r="L227" s="3511"/>
      <c r="M227" s="3509"/>
      <c r="N227" s="3509"/>
      <c r="O227" s="3509"/>
      <c r="P227" s="3553"/>
      <c r="Q227" s="3509"/>
      <c r="R227" s="3509"/>
      <c r="S227" s="3509"/>
      <c r="T227" s="3509"/>
      <c r="U227" s="3509"/>
      <c r="V227" s="3509"/>
      <c r="W227" s="3509"/>
      <c r="X227" s="3509"/>
      <c r="Y227" s="3509"/>
      <c r="Z227" s="3509"/>
      <c r="AA227" s="3509"/>
      <c r="AB227" s="3509"/>
      <c r="AC227" s="3509"/>
    </row>
    <row r="228" spans="1:29">
      <c r="A228" s="3509"/>
      <c r="B228" s="3509"/>
      <c r="C228" s="3509"/>
      <c r="D228" s="3509"/>
      <c r="E228" s="3509"/>
      <c r="F228" s="3509"/>
      <c r="G228" s="3509"/>
      <c r="H228" s="3509"/>
      <c r="I228" s="3509"/>
      <c r="J228" s="3509"/>
      <c r="K228" s="3510"/>
      <c r="L228" s="3511"/>
      <c r="M228" s="3509"/>
      <c r="N228" s="3509"/>
      <c r="O228" s="3509"/>
      <c r="P228" s="3553"/>
      <c r="Q228" s="3509"/>
      <c r="R228" s="3509"/>
      <c r="S228" s="3509"/>
      <c r="T228" s="3509"/>
      <c r="U228" s="3509"/>
      <c r="V228" s="3509"/>
      <c r="W228" s="3509"/>
      <c r="X228" s="3509"/>
      <c r="Y228" s="3509"/>
      <c r="Z228" s="3509"/>
      <c r="AA228" s="3509"/>
      <c r="AB228" s="3509"/>
      <c r="AC228" s="3509"/>
    </row>
    <row r="229" spans="1:29">
      <c r="A229" s="3509"/>
      <c r="B229" s="3509"/>
      <c r="C229" s="3509"/>
      <c r="D229" s="3509"/>
      <c r="E229" s="3509"/>
      <c r="F229" s="3509"/>
      <c r="G229" s="3509"/>
      <c r="H229" s="3509"/>
      <c r="I229" s="3509"/>
      <c r="J229" s="3509"/>
      <c r="K229" s="3510"/>
      <c r="L229" s="3511"/>
      <c r="M229" s="3509"/>
      <c r="N229" s="3509"/>
      <c r="O229" s="3509"/>
      <c r="P229" s="3553"/>
      <c r="Q229" s="3509"/>
      <c r="R229" s="3509"/>
      <c r="S229" s="3509"/>
      <c r="T229" s="3509"/>
      <c r="U229" s="3509"/>
      <c r="V229" s="3509"/>
      <c r="W229" s="3509"/>
      <c r="X229" s="3509"/>
      <c r="Y229" s="3509"/>
      <c r="Z229" s="3509"/>
      <c r="AA229" s="3509"/>
      <c r="AB229" s="3509"/>
      <c r="AC229" s="3509"/>
    </row>
    <row r="230" spans="1:29">
      <c r="A230" s="3509"/>
      <c r="B230" s="3509"/>
      <c r="C230" s="3509"/>
      <c r="D230" s="3509"/>
      <c r="E230" s="3509"/>
      <c r="F230" s="3509"/>
      <c r="G230" s="3509"/>
      <c r="H230" s="3509"/>
      <c r="I230" s="3509"/>
      <c r="J230" s="3509"/>
      <c r="K230" s="3510"/>
      <c r="L230" s="3511"/>
      <c r="M230" s="3509"/>
      <c r="N230" s="3509"/>
      <c r="O230" s="3509"/>
      <c r="P230" s="3553"/>
      <c r="Q230" s="3509"/>
      <c r="R230" s="3509"/>
      <c r="S230" s="3509"/>
      <c r="T230" s="3509"/>
      <c r="U230" s="3509"/>
      <c r="V230" s="3509"/>
      <c r="W230" s="3509"/>
      <c r="X230" s="3509"/>
      <c r="Y230" s="3509"/>
      <c r="Z230" s="3509"/>
      <c r="AA230" s="3509"/>
      <c r="AB230" s="3509"/>
      <c r="AC230" s="3509"/>
    </row>
    <row r="231" spans="1:29">
      <c r="A231" s="3509"/>
      <c r="B231" s="3509"/>
      <c r="C231" s="3509"/>
      <c r="D231" s="3509"/>
      <c r="E231" s="3509"/>
      <c r="F231" s="3509"/>
      <c r="G231" s="3509"/>
      <c r="H231" s="3509"/>
      <c r="I231" s="3509"/>
      <c r="J231" s="3509"/>
      <c r="K231" s="3510"/>
      <c r="L231" s="3511"/>
      <c r="M231" s="3509"/>
      <c r="N231" s="3509"/>
      <c r="O231" s="3509"/>
      <c r="P231" s="3553"/>
      <c r="Q231" s="3509"/>
      <c r="R231" s="3509"/>
      <c r="S231" s="3509"/>
      <c r="T231" s="3509"/>
      <c r="U231" s="3509"/>
      <c r="V231" s="3509"/>
      <c r="W231" s="3509"/>
      <c r="X231" s="3509"/>
      <c r="Y231" s="3509"/>
      <c r="Z231" s="3509"/>
      <c r="AA231" s="3509"/>
      <c r="AB231" s="3509"/>
      <c r="AC231" s="3509"/>
    </row>
    <row r="232" spans="1:29">
      <c r="A232" s="3509"/>
      <c r="B232" s="3509"/>
      <c r="C232" s="3509"/>
      <c r="D232" s="3509"/>
      <c r="E232" s="3509"/>
      <c r="F232" s="3509"/>
      <c r="G232" s="3509"/>
      <c r="H232" s="3509"/>
      <c r="I232" s="3509"/>
      <c r="J232" s="3509"/>
      <c r="K232" s="3510"/>
      <c r="L232" s="3511"/>
      <c r="M232" s="3509"/>
      <c r="N232" s="3509"/>
      <c r="O232" s="3509"/>
      <c r="P232" s="3553"/>
      <c r="Q232" s="3509"/>
      <c r="R232" s="3509"/>
      <c r="S232" s="3509"/>
      <c r="T232" s="3509"/>
      <c r="U232" s="3509"/>
      <c r="V232" s="3509"/>
      <c r="W232" s="3509"/>
      <c r="X232" s="3509"/>
      <c r="Y232" s="3509"/>
      <c r="Z232" s="3509"/>
      <c r="AA232" s="3509"/>
      <c r="AB232" s="3509"/>
      <c r="AC232" s="3509"/>
    </row>
    <row r="233" spans="1:29">
      <c r="A233" s="3509"/>
      <c r="B233" s="3509"/>
      <c r="C233" s="3509"/>
      <c r="D233" s="3509"/>
      <c r="E233" s="3509"/>
      <c r="F233" s="3509"/>
      <c r="G233" s="3509"/>
      <c r="H233" s="3509"/>
      <c r="I233" s="3509"/>
      <c r="J233" s="3509"/>
      <c r="K233" s="3510"/>
      <c r="L233" s="3511"/>
      <c r="M233" s="3509"/>
      <c r="N233" s="3509"/>
      <c r="O233" s="3509"/>
      <c r="P233" s="3553"/>
      <c r="Q233" s="3509"/>
      <c r="R233" s="3509"/>
      <c r="S233" s="3509"/>
      <c r="T233" s="3509"/>
      <c r="U233" s="3509"/>
      <c r="V233" s="3509"/>
      <c r="W233" s="3509"/>
      <c r="X233" s="3509"/>
      <c r="Y233" s="3509"/>
      <c r="Z233" s="3509"/>
      <c r="AA233" s="3509"/>
      <c r="AB233" s="3509"/>
      <c r="AC233" s="3509"/>
    </row>
    <row r="234" spans="1:29">
      <c r="A234" s="3509"/>
      <c r="B234" s="3509"/>
      <c r="C234" s="3509"/>
      <c r="D234" s="3509"/>
      <c r="E234" s="3509"/>
      <c r="F234" s="3509"/>
      <c r="G234" s="3509"/>
      <c r="H234" s="3509"/>
      <c r="I234" s="3509"/>
      <c r="J234" s="3509"/>
      <c r="K234" s="3510"/>
      <c r="L234" s="3511"/>
      <c r="M234" s="3509"/>
      <c r="N234" s="3509"/>
      <c r="O234" s="3509"/>
      <c r="P234" s="3553"/>
      <c r="Q234" s="3509"/>
      <c r="R234" s="3509"/>
      <c r="S234" s="3509"/>
      <c r="T234" s="3509"/>
      <c r="U234" s="3509"/>
      <c r="V234" s="3509"/>
      <c r="W234" s="3509"/>
      <c r="X234" s="3509"/>
      <c r="Y234" s="3509"/>
      <c r="Z234" s="3509"/>
      <c r="AA234" s="3509"/>
      <c r="AB234" s="3509"/>
      <c r="AC234" s="3509"/>
    </row>
    <row r="235" spans="1:29">
      <c r="A235" s="3509"/>
      <c r="B235" s="3509"/>
      <c r="C235" s="3509"/>
      <c r="D235" s="3509"/>
      <c r="E235" s="3509"/>
      <c r="F235" s="3509"/>
      <c r="G235" s="3509"/>
      <c r="H235" s="3509"/>
      <c r="I235" s="3509"/>
      <c r="J235" s="3509"/>
      <c r="K235" s="3510"/>
      <c r="L235" s="3511"/>
      <c r="M235" s="3509"/>
      <c r="N235" s="3509"/>
      <c r="O235" s="3509"/>
      <c r="P235" s="3553"/>
      <c r="Q235" s="3509"/>
      <c r="R235" s="3509"/>
      <c r="S235" s="3509"/>
      <c r="T235" s="3509"/>
      <c r="U235" s="3509"/>
      <c r="V235" s="3509"/>
      <c r="W235" s="3509"/>
      <c r="X235" s="3509"/>
      <c r="Y235" s="3509"/>
      <c r="Z235" s="3509"/>
      <c r="AA235" s="3509"/>
      <c r="AB235" s="3509"/>
      <c r="AC235" s="3509"/>
    </row>
    <row r="236" spans="1:29">
      <c r="A236" s="3509"/>
      <c r="B236" s="3509"/>
      <c r="C236" s="3509"/>
      <c r="D236" s="3509"/>
      <c r="E236" s="3509"/>
      <c r="F236" s="3509"/>
      <c r="G236" s="3509"/>
      <c r="H236" s="3509"/>
      <c r="I236" s="3509"/>
      <c r="J236" s="3509"/>
      <c r="K236" s="3510"/>
      <c r="L236" s="3511"/>
      <c r="M236" s="3509"/>
      <c r="N236" s="3509"/>
      <c r="O236" s="3509"/>
      <c r="P236" s="3553"/>
      <c r="Q236" s="3509"/>
      <c r="R236" s="3509"/>
      <c r="S236" s="3509"/>
      <c r="T236" s="3509"/>
      <c r="U236" s="3509"/>
      <c r="V236" s="3509"/>
      <c r="W236" s="3509"/>
      <c r="X236" s="3509"/>
      <c r="Y236" s="3509"/>
      <c r="Z236" s="3509"/>
      <c r="AA236" s="3509"/>
      <c r="AB236" s="3509"/>
      <c r="AC236" s="3509"/>
    </row>
    <row r="237" spans="1:29">
      <c r="A237" s="3509"/>
      <c r="B237" s="3509"/>
      <c r="C237" s="3509"/>
      <c r="D237" s="3509"/>
      <c r="E237" s="3509"/>
      <c r="F237" s="3509"/>
      <c r="G237" s="3509"/>
      <c r="H237" s="3509"/>
      <c r="I237" s="3509"/>
      <c r="J237" s="3509"/>
      <c r="K237" s="3510"/>
      <c r="L237" s="3511"/>
      <c r="M237" s="3509"/>
      <c r="N237" s="3509"/>
      <c r="O237" s="3509"/>
      <c r="P237" s="3553"/>
      <c r="Q237" s="3509"/>
      <c r="R237" s="3509"/>
      <c r="S237" s="3509"/>
      <c r="T237" s="3509"/>
      <c r="U237" s="3509"/>
      <c r="V237" s="3509"/>
      <c r="W237" s="3509"/>
      <c r="X237" s="3509"/>
      <c r="Y237" s="3509"/>
      <c r="Z237" s="3509"/>
      <c r="AA237" s="3509"/>
      <c r="AB237" s="3509"/>
      <c r="AC237" s="3509"/>
    </row>
    <row r="238" spans="1:29">
      <c r="A238" s="3509"/>
      <c r="B238" s="3509"/>
      <c r="C238" s="3509"/>
      <c r="D238" s="3509"/>
      <c r="E238" s="3509"/>
      <c r="F238" s="3509"/>
      <c r="G238" s="3509"/>
      <c r="H238" s="3509"/>
      <c r="I238" s="3509"/>
      <c r="J238" s="3509"/>
      <c r="K238" s="3510"/>
      <c r="L238" s="3511"/>
      <c r="M238" s="3509"/>
      <c r="N238" s="3509"/>
      <c r="O238" s="3509"/>
      <c r="P238" s="3553"/>
      <c r="Q238" s="3509"/>
      <c r="R238" s="3509"/>
      <c r="S238" s="3509"/>
      <c r="T238" s="3509"/>
      <c r="U238" s="3509"/>
      <c r="V238" s="3509"/>
      <c r="W238" s="3509"/>
      <c r="X238" s="3509"/>
      <c r="Y238" s="3509"/>
      <c r="Z238" s="3509"/>
      <c r="AA238" s="3509"/>
      <c r="AB238" s="3509"/>
      <c r="AC238" s="3509"/>
    </row>
    <row r="239" spans="1:29">
      <c r="A239" s="3509"/>
      <c r="B239" s="3509"/>
      <c r="C239" s="3509"/>
      <c r="D239" s="3509"/>
      <c r="E239" s="3509"/>
      <c r="F239" s="3509"/>
      <c r="G239" s="3509"/>
      <c r="H239" s="3509"/>
      <c r="I239" s="3509"/>
      <c r="J239" s="3509"/>
      <c r="K239" s="3510"/>
      <c r="L239" s="3511"/>
      <c r="M239" s="3509"/>
      <c r="N239" s="3509"/>
      <c r="O239" s="3509"/>
      <c r="P239" s="3553"/>
      <c r="Q239" s="3509"/>
      <c r="R239" s="3509"/>
      <c r="S239" s="3509"/>
      <c r="T239" s="3509"/>
      <c r="U239" s="3509"/>
      <c r="V239" s="3509"/>
      <c r="W239" s="3509"/>
      <c r="X239" s="3509"/>
      <c r="Y239" s="3509"/>
      <c r="Z239" s="3509"/>
      <c r="AA239" s="3509"/>
      <c r="AB239" s="3509"/>
      <c r="AC239" s="3509"/>
    </row>
    <row r="240" spans="1:29">
      <c r="A240" s="3509"/>
      <c r="B240" s="3509"/>
      <c r="C240" s="3509"/>
      <c r="D240" s="3509"/>
      <c r="E240" s="3509"/>
      <c r="F240" s="3509"/>
      <c r="G240" s="3509"/>
      <c r="H240" s="3509"/>
      <c r="I240" s="3509"/>
      <c r="J240" s="3509"/>
      <c r="K240" s="3510"/>
      <c r="L240" s="3511"/>
      <c r="M240" s="3509"/>
      <c r="N240" s="3509"/>
      <c r="O240" s="3509"/>
      <c r="P240" s="3553"/>
      <c r="Q240" s="3509"/>
      <c r="R240" s="3509"/>
      <c r="S240" s="3509"/>
      <c r="T240" s="3509"/>
      <c r="U240" s="3509"/>
      <c r="V240" s="3509"/>
      <c r="W240" s="3509"/>
      <c r="X240" s="3509"/>
      <c r="Y240" s="3509"/>
      <c r="Z240" s="3509"/>
      <c r="AA240" s="3509"/>
      <c r="AB240" s="3509"/>
      <c r="AC240" s="3509"/>
    </row>
    <row r="241" spans="1:29">
      <c r="A241" s="3509"/>
      <c r="B241" s="3509"/>
      <c r="C241" s="3509"/>
      <c r="D241" s="3509"/>
      <c r="E241" s="3509"/>
      <c r="F241" s="3509"/>
      <c r="G241" s="3509"/>
      <c r="H241" s="3509"/>
      <c r="I241" s="3509"/>
      <c r="J241" s="3509"/>
      <c r="K241" s="3510"/>
      <c r="L241" s="3511"/>
      <c r="M241" s="3509"/>
      <c r="N241" s="3509"/>
      <c r="O241" s="3509"/>
      <c r="P241" s="3553"/>
      <c r="Q241" s="3509"/>
      <c r="R241" s="3509"/>
      <c r="S241" s="3509"/>
      <c r="T241" s="3509"/>
      <c r="U241" s="3509"/>
      <c r="V241" s="3509"/>
      <c r="W241" s="3509"/>
      <c r="X241" s="3509"/>
      <c r="Y241" s="3509"/>
      <c r="Z241" s="3509"/>
      <c r="AA241" s="3509"/>
      <c r="AB241" s="3509"/>
      <c r="AC241" s="3509"/>
    </row>
    <row r="242" spans="1:29">
      <c r="A242" s="3509"/>
      <c r="B242" s="3509"/>
      <c r="C242" s="3509"/>
      <c r="D242" s="3509"/>
      <c r="E242" s="3509"/>
      <c r="F242" s="3509"/>
      <c r="G242" s="3509"/>
      <c r="H242" s="3509"/>
      <c r="I242" s="3509"/>
      <c r="J242" s="3509"/>
      <c r="K242" s="3510"/>
      <c r="L242" s="3511"/>
      <c r="M242" s="3509"/>
      <c r="N242" s="3509"/>
      <c r="O242" s="3509"/>
      <c r="P242" s="3553"/>
      <c r="Q242" s="3509"/>
      <c r="R242" s="3509"/>
      <c r="S242" s="3509"/>
      <c r="T242" s="3509"/>
      <c r="U242" s="3509"/>
      <c r="V242" s="3509"/>
      <c r="W242" s="3509"/>
      <c r="X242" s="3509"/>
      <c r="Y242" s="3509"/>
      <c r="Z242" s="3509"/>
      <c r="AA242" s="3509"/>
      <c r="AB242" s="3509"/>
      <c r="AC242" s="3509"/>
    </row>
    <row r="243" spans="1:29">
      <c r="A243" s="3509"/>
      <c r="B243" s="3509"/>
      <c r="C243" s="3509"/>
      <c r="D243" s="3509"/>
      <c r="E243" s="3509"/>
      <c r="F243" s="3509"/>
      <c r="G243" s="3509"/>
      <c r="H243" s="3509"/>
      <c r="I243" s="3509"/>
      <c r="J243" s="3509"/>
      <c r="K243" s="3510"/>
      <c r="L243" s="3511"/>
      <c r="M243" s="3509"/>
      <c r="N243" s="3509"/>
      <c r="O243" s="3509"/>
      <c r="P243" s="3553"/>
      <c r="Q243" s="3509"/>
      <c r="R243" s="3509"/>
      <c r="S243" s="3509"/>
      <c r="T243" s="3509"/>
      <c r="U243" s="3509"/>
      <c r="V243" s="3509"/>
      <c r="W243" s="3509"/>
      <c r="X243" s="3509"/>
      <c r="Y243" s="3509"/>
      <c r="Z243" s="3509"/>
      <c r="AA243" s="3509"/>
      <c r="AB243" s="3509"/>
      <c r="AC243" s="3509"/>
    </row>
    <row r="244" spans="1:29">
      <c r="A244" s="3509"/>
      <c r="B244" s="3509"/>
      <c r="C244" s="3509"/>
      <c r="D244" s="3509"/>
      <c r="E244" s="3509"/>
      <c r="F244" s="3509"/>
      <c r="G244" s="3509"/>
      <c r="H244" s="3509"/>
      <c r="I244" s="3509"/>
      <c r="J244" s="3509"/>
      <c r="K244" s="3510"/>
      <c r="L244" s="3511"/>
      <c r="M244" s="3509"/>
      <c r="N244" s="3509"/>
      <c r="O244" s="3509"/>
      <c r="P244" s="3553"/>
      <c r="Q244" s="3509"/>
      <c r="R244" s="3509"/>
      <c r="S244" s="3509"/>
      <c r="T244" s="3509"/>
      <c r="U244" s="3509"/>
      <c r="V244" s="3509"/>
      <c r="W244" s="3509"/>
      <c r="X244" s="3509"/>
      <c r="Y244" s="3509"/>
      <c r="Z244" s="3509"/>
      <c r="AA244" s="3509"/>
      <c r="AB244" s="3509"/>
      <c r="AC244" s="3509"/>
    </row>
    <row r="245" spans="1:29">
      <c r="A245" s="3509"/>
      <c r="B245" s="3509"/>
      <c r="C245" s="3509"/>
      <c r="D245" s="3509"/>
      <c r="E245" s="3509"/>
      <c r="F245" s="3509"/>
      <c r="G245" s="3509"/>
      <c r="H245" s="3509"/>
      <c r="I245" s="3509"/>
      <c r="J245" s="3509"/>
      <c r="K245" s="3510"/>
      <c r="L245" s="3511"/>
      <c r="M245" s="3509"/>
      <c r="N245" s="3509"/>
      <c r="O245" s="3509"/>
      <c r="P245" s="3553"/>
      <c r="Q245" s="3509"/>
      <c r="R245" s="3509"/>
      <c r="S245" s="3509"/>
      <c r="T245" s="3509"/>
      <c r="U245" s="3509"/>
      <c r="V245" s="3509"/>
      <c r="W245" s="3509"/>
      <c r="X245" s="3509"/>
      <c r="Y245" s="3509"/>
      <c r="Z245" s="3509"/>
      <c r="AA245" s="3509"/>
      <c r="AB245" s="3509"/>
      <c r="AC245" s="3509"/>
    </row>
    <row r="246" spans="1:29">
      <c r="A246" s="3509"/>
      <c r="B246" s="3509"/>
      <c r="C246" s="3509"/>
      <c r="D246" s="3509"/>
      <c r="E246" s="3509"/>
      <c r="F246" s="3509"/>
      <c r="G246" s="3509"/>
      <c r="H246" s="3509"/>
      <c r="I246" s="3509"/>
      <c r="J246" s="3509"/>
      <c r="K246" s="3510"/>
      <c r="L246" s="3511"/>
      <c r="M246" s="3509"/>
      <c r="N246" s="3509"/>
      <c r="O246" s="3509"/>
      <c r="P246" s="3553"/>
      <c r="Q246" s="3509"/>
      <c r="R246" s="3509"/>
      <c r="S246" s="3509"/>
      <c r="T246" s="3509"/>
      <c r="U246" s="3509"/>
      <c r="V246" s="3509"/>
      <c r="W246" s="3509"/>
      <c r="X246" s="3509"/>
      <c r="Y246" s="3509"/>
      <c r="Z246" s="3509"/>
      <c r="AA246" s="3509"/>
      <c r="AB246" s="3509"/>
      <c r="AC246" s="3509"/>
    </row>
    <row r="247" spans="1:29">
      <c r="A247" s="3509"/>
      <c r="B247" s="3509"/>
      <c r="C247" s="3509"/>
      <c r="D247" s="3509"/>
      <c r="E247" s="3509"/>
      <c r="F247" s="3509"/>
      <c r="G247" s="3509"/>
      <c r="H247" s="3509"/>
      <c r="I247" s="3509"/>
      <c r="J247" s="3509"/>
      <c r="K247" s="3510"/>
      <c r="L247" s="3511"/>
      <c r="M247" s="3509"/>
      <c r="N247" s="3509"/>
      <c r="O247" s="3509"/>
      <c r="P247" s="3553"/>
      <c r="Q247" s="3509"/>
      <c r="R247" s="3509"/>
      <c r="S247" s="3509"/>
      <c r="T247" s="3509"/>
      <c r="U247" s="3509"/>
      <c r="V247" s="3509"/>
      <c r="W247" s="3509"/>
      <c r="X247" s="3509"/>
      <c r="Y247" s="3509"/>
      <c r="Z247" s="3509"/>
      <c r="AA247" s="3509"/>
      <c r="AB247" s="3509"/>
      <c r="AC247" s="3509"/>
    </row>
    <row r="248" spans="1:29">
      <c r="A248" s="3509"/>
      <c r="B248" s="3509"/>
      <c r="C248" s="3509"/>
      <c r="D248" s="3509"/>
      <c r="E248" s="3509"/>
      <c r="F248" s="3509"/>
      <c r="G248" s="3509"/>
      <c r="H248" s="3509"/>
      <c r="I248" s="3509"/>
      <c r="J248" s="3509"/>
      <c r="K248" s="3510"/>
      <c r="L248" s="3511"/>
      <c r="M248" s="3509"/>
      <c r="N248" s="3509"/>
      <c r="O248" s="3509"/>
      <c r="P248" s="3553"/>
      <c r="Q248" s="3509"/>
      <c r="R248" s="3509"/>
      <c r="S248" s="3509"/>
      <c r="T248" s="3509"/>
      <c r="U248" s="3509"/>
      <c r="V248" s="3509"/>
      <c r="W248" s="3509"/>
      <c r="X248" s="3509"/>
      <c r="Y248" s="3509"/>
      <c r="Z248" s="3509"/>
      <c r="AA248" s="3509"/>
      <c r="AB248" s="3509"/>
      <c r="AC248" s="3509"/>
    </row>
    <row r="249" spans="1:29">
      <c r="A249" s="3509"/>
      <c r="B249" s="3509"/>
      <c r="C249" s="3509"/>
      <c r="D249" s="3509"/>
      <c r="E249" s="3509"/>
      <c r="F249" s="3509"/>
      <c r="G249" s="3509"/>
      <c r="H249" s="3509"/>
      <c r="I249" s="3509"/>
      <c r="J249" s="3509"/>
      <c r="K249" s="3510"/>
      <c r="L249" s="3511"/>
      <c r="M249" s="3509"/>
      <c r="N249" s="3509"/>
      <c r="O249" s="3509"/>
      <c r="P249" s="3553"/>
      <c r="Q249" s="3509"/>
      <c r="R249" s="3509"/>
      <c r="S249" s="3509"/>
      <c r="T249" s="3509"/>
      <c r="U249" s="3509"/>
      <c r="V249" s="3509"/>
      <c r="W249" s="3509"/>
      <c r="X249" s="3509"/>
      <c r="Y249" s="3509"/>
      <c r="Z249" s="3509"/>
      <c r="AA249" s="3509"/>
      <c r="AB249" s="3509"/>
      <c r="AC249" s="3509"/>
    </row>
    <row r="250" spans="1:29">
      <c r="A250" s="3509"/>
      <c r="B250" s="3509"/>
      <c r="C250" s="3509"/>
      <c r="D250" s="3509"/>
      <c r="E250" s="3509"/>
      <c r="F250" s="3509"/>
      <c r="G250" s="3509"/>
      <c r="H250" s="3509"/>
      <c r="I250" s="3509"/>
      <c r="J250" s="3509"/>
      <c r="K250" s="3510"/>
      <c r="L250" s="3511"/>
      <c r="M250" s="3509"/>
      <c r="N250" s="3509"/>
      <c r="O250" s="3509"/>
      <c r="P250" s="3553"/>
      <c r="Q250" s="3509"/>
      <c r="R250" s="3509"/>
      <c r="S250" s="3509"/>
      <c r="T250" s="3509"/>
      <c r="U250" s="3509"/>
      <c r="V250" s="3509"/>
      <c r="W250" s="3509"/>
      <c r="X250" s="3509"/>
      <c r="Y250" s="3509"/>
      <c r="Z250" s="3509"/>
      <c r="AA250" s="3509"/>
      <c r="AB250" s="3509"/>
      <c r="AC250" s="3509"/>
    </row>
    <row r="251" spans="1:29">
      <c r="A251" s="3509"/>
      <c r="B251" s="3509"/>
      <c r="C251" s="3509"/>
      <c r="D251" s="3509"/>
      <c r="E251" s="3509"/>
      <c r="F251" s="3509"/>
      <c r="G251" s="3509"/>
      <c r="H251" s="3509"/>
      <c r="I251" s="3509"/>
      <c r="J251" s="3509"/>
      <c r="K251" s="3510"/>
      <c r="L251" s="3511"/>
      <c r="M251" s="3509"/>
      <c r="N251" s="3509"/>
      <c r="O251" s="3509"/>
      <c r="P251" s="3553"/>
      <c r="Q251" s="3509"/>
      <c r="R251" s="3509"/>
      <c r="S251" s="3509"/>
      <c r="T251" s="3509"/>
      <c r="U251" s="3509"/>
      <c r="V251" s="3509"/>
      <c r="W251" s="3509"/>
      <c r="X251" s="3509"/>
      <c r="Y251" s="3509"/>
      <c r="Z251" s="3509"/>
      <c r="AA251" s="3509"/>
      <c r="AB251" s="3509"/>
      <c r="AC251" s="3509"/>
    </row>
    <row r="252" spans="1:29">
      <c r="A252" s="3509"/>
      <c r="B252" s="3509"/>
      <c r="C252" s="3509"/>
      <c r="D252" s="3509"/>
      <c r="E252" s="3509"/>
      <c r="F252" s="3509"/>
      <c r="G252" s="3509"/>
      <c r="H252" s="3509"/>
      <c r="I252" s="3509"/>
      <c r="J252" s="3509"/>
      <c r="K252" s="3510"/>
      <c r="L252" s="3511"/>
      <c r="M252" s="3509"/>
      <c r="N252" s="3509"/>
      <c r="O252" s="3509"/>
      <c r="P252" s="3553"/>
      <c r="Q252" s="3509"/>
      <c r="R252" s="3509"/>
      <c r="S252" s="3509"/>
      <c r="T252" s="3509"/>
      <c r="U252" s="3509"/>
      <c r="V252" s="3509"/>
      <c r="W252" s="3509"/>
      <c r="X252" s="3509"/>
      <c r="Y252" s="3509"/>
      <c r="Z252" s="3509"/>
      <c r="AA252" s="3509"/>
      <c r="AB252" s="3509"/>
      <c r="AC252" s="3509"/>
    </row>
    <row r="253" spans="1:29">
      <c r="A253" s="3509"/>
      <c r="B253" s="3509"/>
      <c r="C253" s="3509"/>
      <c r="D253" s="3509"/>
      <c r="E253" s="3509"/>
      <c r="F253" s="3509"/>
      <c r="G253" s="3509"/>
      <c r="H253" s="3509"/>
      <c r="I253" s="3509"/>
      <c r="J253" s="3509"/>
      <c r="K253" s="3510"/>
      <c r="L253" s="3511"/>
      <c r="M253" s="3509"/>
      <c r="N253" s="3509"/>
      <c r="O253" s="3509"/>
      <c r="P253" s="3553"/>
      <c r="Q253" s="3509"/>
      <c r="R253" s="3509"/>
      <c r="S253" s="3509"/>
      <c r="T253" s="3509"/>
      <c r="U253" s="3509"/>
      <c r="V253" s="3509"/>
      <c r="W253" s="3509"/>
      <c r="X253" s="3509"/>
      <c r="Y253" s="3509"/>
      <c r="Z253" s="3509"/>
      <c r="AA253" s="3509"/>
      <c r="AB253" s="3509"/>
      <c r="AC253" s="3509"/>
    </row>
    <row r="254" spans="1:29">
      <c r="A254" s="3509"/>
      <c r="B254" s="3509"/>
      <c r="C254" s="3509"/>
      <c r="D254" s="3509"/>
      <c r="E254" s="3509"/>
      <c r="F254" s="3509"/>
      <c r="G254" s="3509"/>
      <c r="H254" s="3509"/>
      <c r="I254" s="3509"/>
      <c r="J254" s="3509"/>
      <c r="K254" s="3510"/>
      <c r="L254" s="3511"/>
      <c r="M254" s="3509"/>
      <c r="N254" s="3509"/>
      <c r="O254" s="3509"/>
      <c r="P254" s="3553"/>
      <c r="Q254" s="3509"/>
      <c r="R254" s="3509"/>
      <c r="S254" s="3509"/>
      <c r="T254" s="3509"/>
      <c r="U254" s="3509"/>
      <c r="V254" s="3509"/>
      <c r="W254" s="3509"/>
      <c r="X254" s="3509"/>
      <c r="Y254" s="3509"/>
      <c r="Z254" s="3509"/>
      <c r="AA254" s="3509"/>
      <c r="AB254" s="3509"/>
      <c r="AC254" s="3509"/>
    </row>
    <row r="255" spans="1:29">
      <c r="A255" s="3509"/>
      <c r="B255" s="3509"/>
      <c r="C255" s="3509"/>
      <c r="D255" s="3509"/>
      <c r="E255" s="3509"/>
      <c r="F255" s="3509"/>
      <c r="G255" s="3509"/>
      <c r="H255" s="3509"/>
      <c r="I255" s="3509"/>
      <c r="J255" s="3509"/>
      <c r="K255" s="3510"/>
      <c r="L255" s="3511"/>
      <c r="M255" s="3509"/>
      <c r="N255" s="3509"/>
      <c r="O255" s="3509"/>
      <c r="P255" s="3553"/>
      <c r="Q255" s="3509"/>
      <c r="R255" s="3509"/>
      <c r="S255" s="3509"/>
      <c r="T255" s="3509"/>
      <c r="U255" s="3509"/>
      <c r="V255" s="3509"/>
      <c r="W255" s="3509"/>
      <c r="X255" s="3509"/>
      <c r="Y255" s="3509"/>
      <c r="Z255" s="3509"/>
      <c r="AA255" s="3509"/>
      <c r="AB255" s="3509"/>
      <c r="AC255" s="3509"/>
    </row>
    <row r="256" spans="1:29">
      <c r="A256" s="3509"/>
      <c r="B256" s="3509"/>
      <c r="C256" s="3509"/>
      <c r="D256" s="3509"/>
      <c r="E256" s="3509"/>
      <c r="F256" s="3509"/>
      <c r="G256" s="3509"/>
      <c r="H256" s="3509"/>
      <c r="I256" s="3509"/>
      <c r="J256" s="3509"/>
      <c r="K256" s="3510"/>
      <c r="L256" s="3511"/>
      <c r="M256" s="3509"/>
      <c r="N256" s="3509"/>
      <c r="O256" s="3509"/>
      <c r="P256" s="3553"/>
      <c r="Q256" s="3509"/>
      <c r="R256" s="3509"/>
      <c r="S256" s="3509"/>
      <c r="T256" s="3509"/>
      <c r="U256" s="3509"/>
      <c r="V256" s="3509"/>
      <c r="W256" s="3509"/>
      <c r="X256" s="3509"/>
      <c r="Y256" s="3509"/>
      <c r="Z256" s="3509"/>
      <c r="AA256" s="3509"/>
      <c r="AB256" s="3509"/>
      <c r="AC256" s="3509"/>
    </row>
    <row r="257" spans="1:29">
      <c r="A257" s="3509"/>
      <c r="B257" s="3509"/>
      <c r="C257" s="3509"/>
      <c r="D257" s="3509"/>
      <c r="E257" s="3509"/>
      <c r="F257" s="3509"/>
      <c r="G257" s="3509"/>
      <c r="H257" s="3509"/>
      <c r="I257" s="3509"/>
      <c r="J257" s="3509"/>
      <c r="K257" s="3510"/>
      <c r="L257" s="3511"/>
      <c r="M257" s="3509"/>
      <c r="N257" s="3509"/>
      <c r="O257" s="3509"/>
      <c r="P257" s="3553"/>
      <c r="Q257" s="3509"/>
      <c r="R257" s="3509"/>
      <c r="S257" s="3509"/>
      <c r="T257" s="3509"/>
      <c r="U257" s="3509"/>
      <c r="V257" s="3509"/>
      <c r="W257" s="3509"/>
      <c r="X257" s="3509"/>
      <c r="Y257" s="3509"/>
      <c r="Z257" s="3509"/>
      <c r="AA257" s="3509"/>
      <c r="AB257" s="3509"/>
      <c r="AC257" s="3509"/>
    </row>
    <row r="258" spans="1:29">
      <c r="A258" s="3509"/>
      <c r="B258" s="3509"/>
      <c r="C258" s="3509"/>
      <c r="D258" s="3509"/>
      <c r="E258" s="3509"/>
      <c r="F258" s="3509"/>
      <c r="G258" s="3509"/>
      <c r="H258" s="3509"/>
      <c r="I258" s="3509"/>
      <c r="J258" s="3509"/>
      <c r="K258" s="3510"/>
      <c r="L258" s="3511"/>
      <c r="M258" s="3509"/>
      <c r="N258" s="3509"/>
      <c r="O258" s="3509"/>
      <c r="P258" s="3553"/>
      <c r="Q258" s="3509"/>
      <c r="R258" s="3509"/>
      <c r="S258" s="3509"/>
      <c r="T258" s="3509"/>
      <c r="U258" s="3509"/>
      <c r="V258" s="3509"/>
      <c r="W258" s="3509"/>
      <c r="X258" s="3509"/>
      <c r="Y258" s="3509"/>
      <c r="Z258" s="3509"/>
      <c r="AA258" s="3509"/>
      <c r="AB258" s="3509"/>
      <c r="AC258" s="3509"/>
    </row>
    <row r="259" spans="1:29">
      <c r="A259" s="3509"/>
      <c r="B259" s="3509"/>
      <c r="C259" s="3509"/>
      <c r="D259" s="3509"/>
      <c r="E259" s="3509"/>
      <c r="F259" s="3509"/>
      <c r="G259" s="3509"/>
      <c r="H259" s="3509"/>
      <c r="I259" s="3509"/>
      <c r="J259" s="3509"/>
      <c r="K259" s="3510"/>
      <c r="L259" s="3511"/>
      <c r="M259" s="3509"/>
      <c r="N259" s="3509"/>
      <c r="O259" s="3509"/>
      <c r="P259" s="3553"/>
      <c r="Q259" s="3509"/>
      <c r="R259" s="3509"/>
      <c r="S259" s="3509"/>
      <c r="T259" s="3509"/>
      <c r="U259" s="3509"/>
      <c r="V259" s="3509"/>
      <c r="W259" s="3509"/>
      <c r="X259" s="3509"/>
      <c r="Y259" s="3509"/>
      <c r="Z259" s="3509"/>
      <c r="AA259" s="3509"/>
      <c r="AB259" s="3509"/>
      <c r="AC259" s="3509"/>
    </row>
    <row r="260" spans="1:29">
      <c r="A260" s="3509"/>
      <c r="B260" s="3509"/>
      <c r="C260" s="3509"/>
      <c r="D260" s="3509"/>
      <c r="E260" s="3509"/>
      <c r="F260" s="3509"/>
      <c r="G260" s="3509"/>
      <c r="H260" s="3509"/>
      <c r="I260" s="3509"/>
      <c r="J260" s="3509"/>
      <c r="K260" s="3510"/>
      <c r="L260" s="3511"/>
      <c r="M260" s="3509"/>
      <c r="N260" s="3509"/>
      <c r="O260" s="3509"/>
      <c r="P260" s="3553"/>
      <c r="Q260" s="3509"/>
      <c r="R260" s="3509"/>
      <c r="S260" s="3509"/>
      <c r="T260" s="3509"/>
      <c r="U260" s="3509"/>
      <c r="V260" s="3509"/>
      <c r="W260" s="3509"/>
      <c r="X260" s="3509"/>
      <c r="Y260" s="3509"/>
      <c r="Z260" s="3509"/>
      <c r="AA260" s="3509"/>
      <c r="AB260" s="3509"/>
      <c r="AC260" s="3509"/>
    </row>
    <row r="261" spans="1:29">
      <c r="A261" s="3509"/>
      <c r="B261" s="3509"/>
      <c r="C261" s="3509"/>
      <c r="D261" s="3509"/>
      <c r="E261" s="3509"/>
      <c r="F261" s="3509"/>
      <c r="G261" s="3509"/>
      <c r="H261" s="3509"/>
      <c r="I261" s="3509"/>
      <c r="J261" s="3509"/>
      <c r="K261" s="3510"/>
      <c r="L261" s="3511"/>
      <c r="M261" s="3509"/>
      <c r="N261" s="3509"/>
      <c r="O261" s="3509"/>
      <c r="P261" s="3553"/>
      <c r="Q261" s="3509"/>
      <c r="R261" s="3509"/>
      <c r="S261" s="3509"/>
      <c r="T261" s="3509"/>
      <c r="U261" s="3509"/>
      <c r="V261" s="3509"/>
      <c r="W261" s="3509"/>
      <c r="X261" s="3509"/>
      <c r="Y261" s="3509"/>
      <c r="Z261" s="3509"/>
      <c r="AA261" s="3509"/>
      <c r="AB261" s="3509"/>
      <c r="AC261" s="3509"/>
    </row>
    <row r="262" spans="1:29">
      <c r="A262" s="3509"/>
      <c r="B262" s="3509"/>
      <c r="C262" s="3509"/>
      <c r="D262" s="3509"/>
      <c r="E262" s="3509"/>
      <c r="F262" s="3509"/>
      <c r="G262" s="3509"/>
      <c r="H262" s="3509"/>
      <c r="I262" s="3509"/>
      <c r="J262" s="3509"/>
      <c r="K262" s="3510"/>
      <c r="L262" s="3511"/>
      <c r="M262" s="3509"/>
      <c r="N262" s="3509"/>
      <c r="O262" s="3509"/>
      <c r="P262" s="3553"/>
      <c r="Q262" s="3509"/>
      <c r="R262" s="3509"/>
      <c r="S262" s="3509"/>
      <c r="T262" s="3509"/>
      <c r="U262" s="3509"/>
      <c r="V262" s="3509"/>
      <c r="W262" s="3509"/>
      <c r="X262" s="3509"/>
      <c r="Y262" s="3509"/>
      <c r="Z262" s="3509"/>
      <c r="AA262" s="3509"/>
      <c r="AB262" s="3509"/>
      <c r="AC262" s="3509"/>
    </row>
    <row r="263" spans="1:29">
      <c r="A263" s="3509"/>
      <c r="B263" s="3509"/>
      <c r="C263" s="3509"/>
      <c r="D263" s="3509"/>
      <c r="E263" s="3509"/>
      <c r="F263" s="3509"/>
      <c r="G263" s="3509"/>
      <c r="H263" s="3509"/>
      <c r="I263" s="3509"/>
      <c r="J263" s="3509"/>
      <c r="K263" s="3510"/>
      <c r="L263" s="3511"/>
      <c r="M263" s="3509"/>
      <c r="N263" s="3509"/>
      <c r="O263" s="3509"/>
      <c r="P263" s="3553"/>
      <c r="Q263" s="3509"/>
      <c r="R263" s="3509"/>
      <c r="S263" s="3509"/>
      <c r="T263" s="3509"/>
      <c r="U263" s="3509"/>
      <c r="V263" s="3509"/>
      <c r="W263" s="3509"/>
      <c r="X263" s="3509"/>
      <c r="Y263" s="3509"/>
      <c r="Z263" s="3509"/>
      <c r="AA263" s="3509"/>
      <c r="AB263" s="3509"/>
      <c r="AC263" s="3509"/>
    </row>
    <row r="264" spans="1:29">
      <c r="A264" s="3509"/>
      <c r="B264" s="3509"/>
      <c r="C264" s="3509"/>
      <c r="D264" s="3509"/>
      <c r="E264" s="3509"/>
      <c r="F264" s="3509"/>
      <c r="G264" s="3509"/>
      <c r="H264" s="3509"/>
      <c r="I264" s="3509"/>
      <c r="J264" s="3509"/>
      <c r="K264" s="3510"/>
      <c r="L264" s="3511"/>
      <c r="M264" s="3509"/>
      <c r="N264" s="3509"/>
      <c r="O264" s="3509"/>
      <c r="P264" s="3553"/>
      <c r="Q264" s="3509"/>
      <c r="R264" s="3509"/>
      <c r="S264" s="3509"/>
      <c r="T264" s="3509"/>
      <c r="U264" s="3509"/>
      <c r="V264" s="3509"/>
      <c r="W264" s="3509"/>
      <c r="X264" s="3509"/>
      <c r="Y264" s="3509"/>
      <c r="Z264" s="3509"/>
      <c r="AA264" s="3509"/>
      <c r="AB264" s="3509"/>
      <c r="AC264" s="3509"/>
    </row>
    <row r="265" spans="1:29">
      <c r="A265" s="3509"/>
      <c r="B265" s="3509"/>
      <c r="C265" s="3509"/>
      <c r="D265" s="3509"/>
      <c r="E265" s="3509"/>
      <c r="F265" s="3509"/>
      <c r="G265" s="3509"/>
      <c r="H265" s="3509"/>
      <c r="I265" s="3509"/>
      <c r="J265" s="3509"/>
      <c r="K265" s="3510"/>
      <c r="L265" s="3511"/>
      <c r="M265" s="3509"/>
      <c r="N265" s="3509"/>
      <c r="O265" s="3509"/>
      <c r="P265" s="3553"/>
      <c r="Q265" s="3509"/>
      <c r="R265" s="3509"/>
      <c r="S265" s="3509"/>
      <c r="T265" s="3509"/>
      <c r="U265" s="3509"/>
      <c r="V265" s="3509"/>
      <c r="W265" s="3509"/>
      <c r="X265" s="3509"/>
      <c r="Y265" s="3509"/>
      <c r="Z265" s="3509"/>
      <c r="AA265" s="3509"/>
      <c r="AB265" s="3509"/>
      <c r="AC265" s="3509"/>
    </row>
    <row r="266" spans="1:29">
      <c r="A266" s="3509"/>
      <c r="B266" s="3509"/>
      <c r="C266" s="3509"/>
      <c r="D266" s="3509"/>
      <c r="E266" s="3509"/>
      <c r="F266" s="3509"/>
      <c r="G266" s="3509"/>
      <c r="H266" s="3509"/>
      <c r="I266" s="3509"/>
      <c r="J266" s="3509"/>
      <c r="K266" s="3510"/>
      <c r="L266" s="3511"/>
      <c r="M266" s="3509"/>
      <c r="N266" s="3509"/>
      <c r="O266" s="3509"/>
      <c r="P266" s="3553"/>
      <c r="Q266" s="3509"/>
      <c r="R266" s="3509"/>
      <c r="S266" s="3509"/>
      <c r="T266" s="3509"/>
      <c r="U266" s="3509"/>
      <c r="V266" s="3509"/>
      <c r="W266" s="3509"/>
      <c r="X266" s="3509"/>
      <c r="Y266" s="3509"/>
      <c r="Z266" s="3509"/>
      <c r="AA266" s="3509"/>
      <c r="AB266" s="3509"/>
      <c r="AC266" s="3509"/>
    </row>
    <row r="267" spans="1:29">
      <c r="A267" s="3509"/>
      <c r="B267" s="3509"/>
      <c r="C267" s="3509"/>
      <c r="D267" s="3509"/>
      <c r="E267" s="3509"/>
      <c r="F267" s="3509"/>
      <c r="G267" s="3509"/>
      <c r="H267" s="3509"/>
      <c r="I267" s="3509"/>
      <c r="J267" s="3509"/>
      <c r="K267" s="3510"/>
      <c r="L267" s="3511"/>
      <c r="M267" s="3509"/>
      <c r="N267" s="3509"/>
      <c r="O267" s="3509"/>
      <c r="P267" s="3553"/>
      <c r="Q267" s="3509"/>
      <c r="R267" s="3509"/>
      <c r="S267" s="3509"/>
      <c r="T267" s="3509"/>
      <c r="U267" s="3509"/>
      <c r="V267" s="3509"/>
      <c r="W267" s="3509"/>
      <c r="X267" s="3509"/>
      <c r="Y267" s="3509"/>
      <c r="Z267" s="3509"/>
      <c r="AA267" s="3509"/>
      <c r="AB267" s="3509"/>
      <c r="AC267" s="3509"/>
    </row>
    <row r="268" spans="1:29">
      <c r="A268" s="3509"/>
      <c r="B268" s="3509"/>
      <c r="C268" s="3509"/>
      <c r="D268" s="3509"/>
      <c r="E268" s="3509"/>
      <c r="F268" s="3509"/>
      <c r="G268" s="3509"/>
      <c r="H268" s="3509"/>
      <c r="I268" s="3509"/>
      <c r="J268" s="3509"/>
      <c r="K268" s="3510"/>
      <c r="L268" s="3511"/>
      <c r="M268" s="3509"/>
      <c r="N268" s="3509"/>
      <c r="O268" s="3509"/>
      <c r="P268" s="3553"/>
      <c r="Q268" s="3509"/>
      <c r="R268" s="3509"/>
      <c r="S268" s="3509"/>
      <c r="T268" s="3509"/>
      <c r="U268" s="3509"/>
      <c r="V268" s="3509"/>
      <c r="W268" s="3509"/>
      <c r="X268" s="3509"/>
      <c r="Y268" s="3509"/>
      <c r="Z268" s="3509"/>
      <c r="AA268" s="3509"/>
      <c r="AB268" s="3509"/>
      <c r="AC268" s="3509"/>
    </row>
    <row r="269" spans="1:29">
      <c r="A269" s="3509"/>
      <c r="B269" s="3509"/>
      <c r="C269" s="3509"/>
      <c r="D269" s="3509"/>
      <c r="E269" s="3509"/>
      <c r="F269" s="3509"/>
      <c r="G269" s="3509"/>
      <c r="H269" s="3509"/>
      <c r="I269" s="3509"/>
      <c r="J269" s="3509"/>
      <c r="K269" s="3510"/>
      <c r="L269" s="3511"/>
      <c r="M269" s="3509"/>
      <c r="N269" s="3509"/>
      <c r="O269" s="3509"/>
      <c r="P269" s="3553"/>
      <c r="Q269" s="3509"/>
      <c r="R269" s="3509"/>
      <c r="S269" s="3509"/>
      <c r="T269" s="3509"/>
      <c r="U269" s="3509"/>
      <c r="V269" s="3509"/>
      <c r="W269" s="3509"/>
      <c r="X269" s="3509"/>
      <c r="Y269" s="3509"/>
      <c r="Z269" s="3509"/>
      <c r="AA269" s="3509"/>
      <c r="AB269" s="3509"/>
      <c r="AC269" s="3509"/>
    </row>
    <row r="270" spans="1:29">
      <c r="A270" s="3509"/>
      <c r="B270" s="3509"/>
      <c r="C270" s="3509"/>
      <c r="D270" s="3509"/>
      <c r="E270" s="3509"/>
      <c r="F270" s="3509"/>
      <c r="G270" s="3509"/>
      <c r="H270" s="3509"/>
      <c r="I270" s="3509"/>
      <c r="J270" s="3509"/>
      <c r="K270" s="3510"/>
      <c r="L270" s="3511"/>
      <c r="M270" s="3509"/>
      <c r="N270" s="3509"/>
      <c r="O270" s="3509"/>
      <c r="P270" s="3553"/>
      <c r="Q270" s="3509"/>
      <c r="R270" s="3509"/>
      <c r="S270" s="3509"/>
      <c r="T270" s="3509"/>
      <c r="U270" s="3509"/>
      <c r="V270" s="3509"/>
      <c r="W270" s="3509"/>
      <c r="X270" s="3509"/>
      <c r="Y270" s="3509"/>
      <c r="Z270" s="3509"/>
      <c r="AA270" s="3509"/>
      <c r="AB270" s="3509"/>
      <c r="AC270" s="3509"/>
    </row>
    <row r="271" spans="1:29">
      <c r="A271" s="3509"/>
      <c r="B271" s="3509"/>
      <c r="C271" s="3509"/>
      <c r="D271" s="3509"/>
      <c r="E271" s="3509"/>
      <c r="F271" s="3509"/>
      <c r="G271" s="3509"/>
      <c r="H271" s="3509"/>
      <c r="I271" s="3509"/>
      <c r="J271" s="3509"/>
      <c r="K271" s="3510"/>
      <c r="L271" s="3511"/>
      <c r="M271" s="3509"/>
      <c r="N271" s="3509"/>
      <c r="O271" s="3509"/>
      <c r="P271" s="3553"/>
      <c r="Q271" s="3509"/>
      <c r="R271" s="3509"/>
      <c r="S271" s="3509"/>
      <c r="T271" s="3509"/>
      <c r="U271" s="3509"/>
      <c r="V271" s="3509"/>
      <c r="W271" s="3509"/>
      <c r="X271" s="3509"/>
      <c r="Y271" s="3509"/>
      <c r="Z271" s="3509"/>
      <c r="AA271" s="3509"/>
      <c r="AB271" s="3509"/>
      <c r="AC271" s="3509"/>
    </row>
    <row r="272" spans="1:29">
      <c r="A272" s="3509"/>
      <c r="B272" s="3509"/>
      <c r="C272" s="3509"/>
      <c r="D272" s="3509"/>
      <c r="E272" s="3509"/>
      <c r="F272" s="3509"/>
      <c r="G272" s="3509"/>
      <c r="H272" s="3509"/>
      <c r="I272" s="3509"/>
      <c r="J272" s="3509"/>
      <c r="K272" s="3510"/>
      <c r="L272" s="3511"/>
      <c r="M272" s="3509"/>
      <c r="N272" s="3509"/>
      <c r="O272" s="3509"/>
      <c r="P272" s="3553"/>
      <c r="Q272" s="3509"/>
      <c r="R272" s="3509"/>
      <c r="S272" s="3509"/>
      <c r="T272" s="3509"/>
      <c r="U272" s="3509"/>
      <c r="V272" s="3509"/>
      <c r="W272" s="3509"/>
      <c r="X272" s="3509"/>
      <c r="Y272" s="3509"/>
      <c r="Z272" s="3509"/>
      <c r="AA272" s="3509"/>
      <c r="AB272" s="3509"/>
      <c r="AC272" s="3509"/>
    </row>
    <row r="273" spans="1:29">
      <c r="A273" s="3509"/>
      <c r="B273" s="3509"/>
      <c r="C273" s="3509"/>
      <c r="D273" s="3509"/>
      <c r="E273" s="3509"/>
      <c r="F273" s="3509"/>
      <c r="G273" s="3509"/>
      <c r="H273" s="3509"/>
      <c r="I273" s="3509"/>
      <c r="J273" s="3509"/>
      <c r="K273" s="3510"/>
      <c r="L273" s="3511"/>
      <c r="M273" s="3509"/>
      <c r="N273" s="3509"/>
      <c r="O273" s="3509"/>
      <c r="P273" s="3553"/>
      <c r="Q273" s="3509"/>
      <c r="R273" s="3509"/>
      <c r="S273" s="3509"/>
      <c r="T273" s="3509"/>
      <c r="U273" s="3509"/>
      <c r="V273" s="3509"/>
      <c r="W273" s="3509"/>
      <c r="X273" s="3509"/>
      <c r="Y273" s="3509"/>
      <c r="Z273" s="3509"/>
      <c r="AA273" s="3509"/>
      <c r="AB273" s="3509"/>
      <c r="AC273" s="3509"/>
    </row>
    <row r="274" spans="1:29">
      <c r="A274" s="3509"/>
      <c r="B274" s="3509"/>
      <c r="C274" s="3509"/>
      <c r="D274" s="3509"/>
      <c r="E274" s="3509"/>
      <c r="F274" s="3509"/>
      <c r="G274" s="3509"/>
      <c r="H274" s="3509"/>
      <c r="I274" s="3509"/>
      <c r="J274" s="3509"/>
      <c r="K274" s="3510"/>
      <c r="L274" s="3511"/>
      <c r="M274" s="3509"/>
      <c r="N274" s="3509"/>
      <c r="O274" s="3509"/>
      <c r="P274" s="3553"/>
      <c r="Q274" s="3509"/>
      <c r="R274" s="3509"/>
      <c r="S274" s="3509"/>
      <c r="T274" s="3509"/>
      <c r="U274" s="3509"/>
      <c r="V274" s="3509"/>
      <c r="W274" s="3509"/>
      <c r="X274" s="3509"/>
      <c r="Y274" s="3509"/>
      <c r="Z274" s="3509"/>
      <c r="AA274" s="3509"/>
      <c r="AB274" s="3509"/>
      <c r="AC274" s="3509"/>
    </row>
    <row r="275" spans="1:29">
      <c r="A275" s="3509"/>
      <c r="B275" s="3509"/>
      <c r="C275" s="3509"/>
      <c r="D275" s="3509"/>
      <c r="E275" s="3509"/>
      <c r="F275" s="3509"/>
      <c r="G275" s="3509"/>
      <c r="H275" s="3509"/>
      <c r="I275" s="3509"/>
      <c r="J275" s="3509"/>
      <c r="K275" s="3510"/>
      <c r="L275" s="3511"/>
      <c r="M275" s="3509"/>
      <c r="N275" s="3509"/>
      <c r="O275" s="3509"/>
      <c r="P275" s="3553"/>
      <c r="Q275" s="3509"/>
      <c r="R275" s="3509"/>
      <c r="S275" s="3509"/>
      <c r="T275" s="3509"/>
      <c r="U275" s="3509"/>
      <c r="V275" s="3509"/>
      <c r="W275" s="3509"/>
      <c r="X275" s="3509"/>
      <c r="Y275" s="3509"/>
      <c r="Z275" s="3509"/>
      <c r="AA275" s="3509"/>
      <c r="AB275" s="3509"/>
      <c r="AC275" s="3509"/>
    </row>
    <row r="276" spans="1:29">
      <c r="A276" s="3509"/>
      <c r="B276" s="3509"/>
      <c r="C276" s="3509"/>
      <c r="D276" s="3509"/>
      <c r="E276" s="3509"/>
      <c r="F276" s="3509"/>
      <c r="G276" s="3509"/>
      <c r="H276" s="3509"/>
      <c r="I276" s="3509"/>
      <c r="J276" s="3509"/>
      <c r="K276" s="3510"/>
      <c r="L276" s="3511"/>
      <c r="M276" s="3509"/>
      <c r="N276" s="3509"/>
      <c r="O276" s="3509"/>
      <c r="P276" s="3553"/>
      <c r="Q276" s="3509"/>
      <c r="R276" s="3509"/>
      <c r="S276" s="3509"/>
      <c r="T276" s="3509"/>
      <c r="U276" s="3509"/>
      <c r="V276" s="3509"/>
      <c r="W276" s="3509"/>
      <c r="X276" s="3509"/>
      <c r="Y276" s="3509"/>
      <c r="Z276" s="3509"/>
      <c r="AA276" s="3509"/>
      <c r="AB276" s="3509"/>
      <c r="AC276" s="3509"/>
    </row>
    <row r="277" spans="1:29">
      <c r="A277" s="3509"/>
      <c r="B277" s="3509"/>
      <c r="C277" s="3509"/>
      <c r="D277" s="3509"/>
      <c r="E277" s="3509"/>
      <c r="F277" s="3509"/>
      <c r="G277" s="3509"/>
      <c r="H277" s="3509"/>
      <c r="I277" s="3509"/>
      <c r="J277" s="3509"/>
      <c r="K277" s="3510"/>
      <c r="L277" s="3511"/>
      <c r="M277" s="3509"/>
      <c r="N277" s="3509"/>
      <c r="O277" s="3509"/>
      <c r="P277" s="3553"/>
      <c r="Q277" s="3509"/>
      <c r="R277" s="3509"/>
      <c r="S277" s="3509"/>
      <c r="T277" s="3509"/>
      <c r="U277" s="3509"/>
      <c r="V277" s="3509"/>
      <c r="W277" s="3509"/>
      <c r="X277" s="3509"/>
      <c r="Y277" s="3509"/>
      <c r="Z277" s="3509"/>
      <c r="AA277" s="3509"/>
      <c r="AB277" s="3509"/>
      <c r="AC277" s="3509"/>
    </row>
    <row r="278" spans="1:29">
      <c r="A278" s="3509"/>
      <c r="B278" s="3509"/>
      <c r="C278" s="3509"/>
      <c r="D278" s="3509"/>
      <c r="E278" s="3509"/>
      <c r="F278" s="3509"/>
      <c r="G278" s="3509"/>
      <c r="H278" s="3509"/>
      <c r="I278" s="3509"/>
      <c r="J278" s="3509"/>
      <c r="K278" s="3510"/>
      <c r="L278" s="3511"/>
      <c r="M278" s="3509"/>
      <c r="N278" s="3509"/>
      <c r="O278" s="3509"/>
      <c r="P278" s="3553"/>
      <c r="Q278" s="3509"/>
      <c r="R278" s="3509"/>
      <c r="S278" s="3509"/>
      <c r="T278" s="3509"/>
      <c r="U278" s="3509"/>
      <c r="V278" s="3509"/>
      <c r="W278" s="3509"/>
      <c r="X278" s="3509"/>
      <c r="Y278" s="3509"/>
      <c r="Z278" s="3509"/>
      <c r="AA278" s="3509"/>
      <c r="AB278" s="3509"/>
      <c r="AC278" s="3509"/>
    </row>
    <row r="279" spans="1:29">
      <c r="A279" s="3509"/>
      <c r="B279" s="3509"/>
      <c r="C279" s="3509"/>
      <c r="D279" s="3509"/>
      <c r="E279" s="3509"/>
      <c r="F279" s="3509"/>
      <c r="G279" s="3509"/>
      <c r="H279" s="3509"/>
      <c r="I279" s="3509"/>
      <c r="J279" s="3509"/>
      <c r="K279" s="3510"/>
      <c r="L279" s="3511"/>
      <c r="M279" s="3509"/>
      <c r="N279" s="3509"/>
      <c r="O279" s="3509"/>
      <c r="P279" s="3553"/>
      <c r="Q279" s="3509"/>
      <c r="R279" s="3509"/>
      <c r="S279" s="3509"/>
      <c r="T279" s="3509"/>
      <c r="U279" s="3509"/>
      <c r="V279" s="3509"/>
      <c r="W279" s="3509"/>
      <c r="X279" s="3509"/>
      <c r="Y279" s="3509"/>
      <c r="Z279" s="3509"/>
      <c r="AA279" s="3509"/>
      <c r="AB279" s="3509"/>
      <c r="AC279" s="3509"/>
    </row>
    <row r="280" spans="1:29">
      <c r="A280" s="3509"/>
      <c r="B280" s="3509"/>
      <c r="C280" s="3509"/>
      <c r="D280" s="3509"/>
      <c r="E280" s="3509"/>
      <c r="F280" s="3509"/>
      <c r="G280" s="3509"/>
      <c r="H280" s="3509"/>
      <c r="I280" s="3509"/>
      <c r="J280" s="3509"/>
      <c r="K280" s="3510"/>
      <c r="L280" s="3511"/>
      <c r="M280" s="3509"/>
      <c r="N280" s="3509"/>
      <c r="O280" s="3509"/>
      <c r="P280" s="3553"/>
      <c r="Q280" s="3509"/>
      <c r="R280" s="3509"/>
      <c r="S280" s="3509"/>
      <c r="T280" s="3509"/>
      <c r="U280" s="3509"/>
      <c r="V280" s="3509"/>
      <c r="W280" s="3509"/>
      <c r="X280" s="3509"/>
      <c r="Y280" s="3509"/>
      <c r="Z280" s="3509"/>
      <c r="AA280" s="3509"/>
      <c r="AB280" s="3509"/>
      <c r="AC280" s="3509"/>
    </row>
    <row r="281" spans="1:29">
      <c r="A281" s="3509"/>
      <c r="B281" s="3509"/>
      <c r="C281" s="3509"/>
      <c r="D281" s="3509"/>
      <c r="E281" s="3509"/>
      <c r="F281" s="3509"/>
      <c r="G281" s="3509"/>
      <c r="H281" s="3509"/>
      <c r="I281" s="3509"/>
      <c r="J281" s="3509"/>
      <c r="K281" s="3510"/>
      <c r="L281" s="3511"/>
      <c r="M281" s="3509"/>
      <c r="N281" s="3509"/>
      <c r="O281" s="3509"/>
      <c r="P281" s="3553"/>
      <c r="Q281" s="3509"/>
      <c r="R281" s="3509"/>
      <c r="S281" s="3509"/>
      <c r="T281" s="3509"/>
      <c r="U281" s="3509"/>
      <c r="V281" s="3509"/>
      <c r="W281" s="3509"/>
      <c r="X281" s="3509"/>
      <c r="Y281" s="3509"/>
      <c r="Z281" s="3509"/>
      <c r="AA281" s="3509"/>
      <c r="AB281" s="3509"/>
      <c r="AC281" s="3509"/>
    </row>
    <row r="282" spans="1:29">
      <c r="A282" s="3509"/>
      <c r="B282" s="3509"/>
      <c r="C282" s="3509"/>
      <c r="D282" s="3509"/>
      <c r="E282" s="3509"/>
      <c r="F282" s="3509"/>
      <c r="G282" s="3509"/>
      <c r="H282" s="3509"/>
      <c r="I282" s="3509"/>
      <c r="J282" s="3509"/>
      <c r="K282" s="3510"/>
      <c r="L282" s="3511"/>
      <c r="M282" s="3509"/>
      <c r="N282" s="3509"/>
      <c r="O282" s="3509"/>
      <c r="P282" s="3553"/>
      <c r="Q282" s="3509"/>
      <c r="R282" s="3509"/>
      <c r="S282" s="3509"/>
      <c r="T282" s="3509"/>
      <c r="U282" s="3509"/>
      <c r="V282" s="3509"/>
      <c r="W282" s="3509"/>
      <c r="X282" s="3509"/>
      <c r="Y282" s="3509"/>
      <c r="Z282" s="3509"/>
      <c r="AA282" s="3509"/>
      <c r="AB282" s="3509"/>
      <c r="AC282" s="3509"/>
    </row>
    <row r="283" spans="1:29">
      <c r="A283" s="3509"/>
      <c r="B283" s="3509"/>
      <c r="C283" s="3509"/>
      <c r="D283" s="3509"/>
      <c r="E283" s="3509"/>
      <c r="F283" s="3509"/>
      <c r="G283" s="3509"/>
      <c r="H283" s="3509"/>
      <c r="I283" s="3509"/>
      <c r="J283" s="3509"/>
      <c r="K283" s="3510"/>
      <c r="L283" s="3511"/>
      <c r="M283" s="3509"/>
      <c r="N283" s="3509"/>
      <c r="O283" s="3509"/>
      <c r="P283" s="3553"/>
      <c r="Q283" s="3509"/>
      <c r="R283" s="3509"/>
      <c r="S283" s="3509"/>
      <c r="T283" s="3509"/>
      <c r="U283" s="3509"/>
      <c r="V283" s="3509"/>
      <c r="W283" s="3509"/>
      <c r="X283" s="3509"/>
      <c r="Y283" s="3509"/>
      <c r="Z283" s="3509"/>
      <c r="AA283" s="3509"/>
      <c r="AB283" s="3509"/>
      <c r="AC283" s="3509"/>
    </row>
    <row r="284" spans="1:29">
      <c r="A284" s="3509"/>
      <c r="B284" s="3509"/>
      <c r="C284" s="3509"/>
      <c r="D284" s="3509"/>
      <c r="E284" s="3509"/>
      <c r="F284" s="3509"/>
      <c r="G284" s="3509"/>
      <c r="H284" s="3509"/>
      <c r="I284" s="3509"/>
      <c r="J284" s="3509"/>
      <c r="K284" s="3510"/>
      <c r="L284" s="3511"/>
      <c r="M284" s="3509"/>
      <c r="N284" s="3509"/>
      <c r="O284" s="3509"/>
      <c r="P284" s="3553"/>
      <c r="Q284" s="3509"/>
      <c r="R284" s="3509"/>
      <c r="S284" s="3509"/>
      <c r="T284" s="3509"/>
      <c r="U284" s="3509"/>
      <c r="V284" s="3509"/>
      <c r="W284" s="3509"/>
      <c r="X284" s="3509"/>
      <c r="Y284" s="3509"/>
      <c r="Z284" s="3509"/>
      <c r="AA284" s="3509"/>
      <c r="AB284" s="3509"/>
      <c r="AC284" s="3509"/>
    </row>
    <row r="285" spans="1:29">
      <c r="A285" s="3509"/>
      <c r="B285" s="3509"/>
      <c r="C285" s="3509"/>
      <c r="D285" s="3509"/>
      <c r="E285" s="3509"/>
      <c r="F285" s="3509"/>
      <c r="G285" s="3509"/>
      <c r="H285" s="3509"/>
      <c r="I285" s="3509"/>
      <c r="J285" s="3509"/>
      <c r="K285" s="3510"/>
      <c r="L285" s="3511"/>
      <c r="M285" s="3509"/>
      <c r="N285" s="3509"/>
      <c r="O285" s="3509"/>
      <c r="P285" s="3553"/>
      <c r="Q285" s="3509"/>
      <c r="R285" s="3509"/>
      <c r="S285" s="3509"/>
      <c r="T285" s="3509"/>
      <c r="U285" s="3509"/>
      <c r="V285" s="3509"/>
      <c r="W285" s="3509"/>
      <c r="X285" s="3509"/>
      <c r="Y285" s="3509"/>
      <c r="Z285" s="3509"/>
      <c r="AA285" s="3509"/>
      <c r="AB285" s="3509"/>
      <c r="AC285" s="3509"/>
    </row>
    <row r="286" spans="1:29">
      <c r="A286" s="3509"/>
      <c r="B286" s="3509"/>
      <c r="C286" s="3509"/>
      <c r="D286" s="3509"/>
      <c r="E286" s="3509"/>
      <c r="F286" s="3509"/>
      <c r="G286" s="3509"/>
      <c r="H286" s="3509"/>
      <c r="I286" s="3509"/>
      <c r="J286" s="3509"/>
      <c r="K286" s="3510"/>
      <c r="L286" s="3511"/>
      <c r="M286" s="3509"/>
      <c r="N286" s="3509"/>
      <c r="O286" s="3509"/>
      <c r="P286" s="3553"/>
      <c r="Q286" s="3509"/>
      <c r="R286" s="3509"/>
      <c r="S286" s="3509"/>
      <c r="T286" s="3509"/>
      <c r="U286" s="3509"/>
      <c r="V286" s="3509"/>
      <c r="W286" s="3509"/>
      <c r="X286" s="3509"/>
      <c r="Y286" s="3509"/>
      <c r="Z286" s="3509"/>
      <c r="AA286" s="3509"/>
      <c r="AB286" s="3509"/>
      <c r="AC286" s="3509"/>
    </row>
    <row r="287" spans="1:29">
      <c r="A287" s="3509"/>
      <c r="B287" s="3509"/>
      <c r="C287" s="3509"/>
      <c r="D287" s="3509"/>
      <c r="E287" s="3509"/>
      <c r="F287" s="3509"/>
      <c r="G287" s="3509"/>
      <c r="H287" s="3509"/>
      <c r="I287" s="3509"/>
      <c r="J287" s="3509"/>
      <c r="K287" s="3510"/>
      <c r="L287" s="3511"/>
      <c r="M287" s="3509"/>
      <c r="N287" s="3509"/>
      <c r="O287" s="3509"/>
      <c r="P287" s="3553"/>
      <c r="Q287" s="3509"/>
      <c r="R287" s="3509"/>
      <c r="S287" s="3509"/>
      <c r="T287" s="3509"/>
      <c r="U287" s="3509"/>
      <c r="V287" s="3509"/>
      <c r="W287" s="3509"/>
      <c r="X287" s="3509"/>
      <c r="Y287" s="3509"/>
      <c r="Z287" s="3509"/>
      <c r="AA287" s="3509"/>
      <c r="AB287" s="3509"/>
      <c r="AC287" s="3509"/>
    </row>
    <row r="288" spans="1:29">
      <c r="A288" s="3509"/>
      <c r="B288" s="3509"/>
      <c r="C288" s="3509"/>
      <c r="D288" s="3509"/>
      <c r="E288" s="3509"/>
      <c r="F288" s="3509"/>
      <c r="G288" s="3509"/>
      <c r="H288" s="3509"/>
      <c r="I288" s="3509"/>
      <c r="J288" s="3509"/>
      <c r="K288" s="3510"/>
      <c r="L288" s="3511"/>
      <c r="M288" s="3509"/>
      <c r="N288" s="3509"/>
      <c r="O288" s="3509"/>
      <c r="P288" s="3553"/>
      <c r="Q288" s="3509"/>
      <c r="R288" s="3509"/>
      <c r="S288" s="3509"/>
      <c r="T288" s="3509"/>
      <c r="U288" s="3509"/>
      <c r="V288" s="3509"/>
      <c r="W288" s="3509"/>
      <c r="X288" s="3509"/>
      <c r="Y288" s="3509"/>
      <c r="Z288" s="3509"/>
      <c r="AA288" s="3509"/>
      <c r="AB288" s="3509"/>
      <c r="AC288" s="3509"/>
    </row>
    <row r="289" spans="1:29">
      <c r="A289" s="3509"/>
      <c r="B289" s="3509"/>
      <c r="C289" s="3509"/>
      <c r="D289" s="3509"/>
      <c r="E289" s="3509"/>
      <c r="F289" s="3509"/>
      <c r="G289" s="3509"/>
      <c r="H289" s="3509"/>
      <c r="I289" s="3509"/>
      <c r="J289" s="3509"/>
      <c r="K289" s="3510"/>
      <c r="L289" s="3511"/>
      <c r="M289" s="3509"/>
      <c r="N289" s="3509"/>
      <c r="O289" s="3509"/>
      <c r="P289" s="3553"/>
      <c r="Q289" s="3509"/>
      <c r="R289" s="3509"/>
      <c r="S289" s="3509"/>
      <c r="T289" s="3509"/>
      <c r="U289" s="3509"/>
      <c r="V289" s="3509"/>
      <c r="W289" s="3509"/>
      <c r="X289" s="3509"/>
      <c r="Y289" s="3509"/>
      <c r="Z289" s="3509"/>
      <c r="AA289" s="3509"/>
      <c r="AB289" s="3509"/>
      <c r="AC289" s="3509"/>
    </row>
    <row r="290" spans="1:29">
      <c r="A290" s="3509"/>
      <c r="B290" s="3509"/>
      <c r="C290" s="3509"/>
      <c r="D290" s="3509"/>
      <c r="E290" s="3509"/>
      <c r="F290" s="3509"/>
      <c r="G290" s="3509"/>
      <c r="H290" s="3509"/>
      <c r="I290" s="3509"/>
      <c r="J290" s="3509"/>
      <c r="K290" s="3510"/>
      <c r="L290" s="3511"/>
      <c r="M290" s="3509"/>
      <c r="N290" s="3509"/>
      <c r="O290" s="3509"/>
      <c r="P290" s="3553"/>
      <c r="Q290" s="3509"/>
      <c r="R290" s="3509"/>
      <c r="S290" s="3509"/>
      <c r="T290" s="3509"/>
      <c r="U290" s="3509"/>
      <c r="V290" s="3509"/>
      <c r="W290" s="3509"/>
      <c r="X290" s="3509"/>
      <c r="Y290" s="3509"/>
      <c r="Z290" s="3509"/>
      <c r="AA290" s="3509"/>
      <c r="AB290" s="3509"/>
      <c r="AC290" s="3509"/>
    </row>
    <row r="291" spans="1:29">
      <c r="A291" s="3509"/>
      <c r="B291" s="3509"/>
      <c r="C291" s="3509"/>
      <c r="D291" s="3509"/>
      <c r="E291" s="3509"/>
      <c r="F291" s="3509"/>
      <c r="G291" s="3509"/>
      <c r="H291" s="3509"/>
      <c r="I291" s="3509"/>
      <c r="J291" s="3509"/>
      <c r="K291" s="3510"/>
      <c r="L291" s="3511"/>
      <c r="M291" s="3509"/>
      <c r="N291" s="3509"/>
      <c r="O291" s="3509"/>
      <c r="P291" s="3553"/>
      <c r="Q291" s="3509"/>
      <c r="R291" s="3509"/>
      <c r="S291" s="3509"/>
      <c r="T291" s="3509"/>
      <c r="U291" s="3509"/>
      <c r="V291" s="3509"/>
      <c r="W291" s="3509"/>
      <c r="X291" s="3509"/>
      <c r="Y291" s="3509"/>
      <c r="Z291" s="3509"/>
      <c r="AA291" s="3509"/>
      <c r="AB291" s="3509"/>
      <c r="AC291" s="3509"/>
    </row>
    <row r="292" spans="1:29">
      <c r="A292" s="3509"/>
      <c r="B292" s="3509"/>
      <c r="C292" s="3509"/>
      <c r="D292" s="3509"/>
      <c r="E292" s="3509"/>
      <c r="F292" s="3509"/>
      <c r="G292" s="3509"/>
      <c r="H292" s="3509"/>
      <c r="I292" s="3509"/>
      <c r="J292" s="3509"/>
      <c r="K292" s="3510"/>
      <c r="L292" s="3511"/>
      <c r="M292" s="3509"/>
      <c r="N292" s="3509"/>
      <c r="O292" s="3509"/>
      <c r="P292" s="3553"/>
      <c r="Q292" s="3509"/>
      <c r="R292" s="3509"/>
      <c r="S292" s="3509"/>
      <c r="T292" s="3509"/>
      <c r="U292" s="3509"/>
      <c r="V292" s="3509"/>
      <c r="W292" s="3509"/>
      <c r="X292" s="3509"/>
      <c r="Y292" s="3509"/>
      <c r="Z292" s="3509"/>
      <c r="AA292" s="3509"/>
      <c r="AB292" s="3509"/>
      <c r="AC292" s="3509"/>
    </row>
    <row r="293" spans="1:29">
      <c r="A293" s="3509"/>
      <c r="B293" s="3509"/>
      <c r="C293" s="3509"/>
      <c r="D293" s="3509"/>
      <c r="E293" s="3509"/>
      <c r="F293" s="3509"/>
      <c r="G293" s="3509"/>
      <c r="H293" s="3509"/>
      <c r="I293" s="3509"/>
      <c r="J293" s="3509"/>
      <c r="K293" s="3510"/>
      <c r="L293" s="3511"/>
      <c r="M293" s="3509"/>
      <c r="N293" s="3509"/>
      <c r="O293" s="3509"/>
      <c r="P293" s="3553"/>
      <c r="Q293" s="3509"/>
      <c r="R293" s="3509"/>
      <c r="S293" s="3509"/>
      <c r="T293" s="3509"/>
      <c r="U293" s="3509"/>
      <c r="V293" s="3509"/>
      <c r="W293" s="3509"/>
      <c r="X293" s="3509"/>
      <c r="Y293" s="3509"/>
      <c r="Z293" s="3509"/>
      <c r="AA293" s="3509"/>
      <c r="AB293" s="3509"/>
      <c r="AC293" s="3509"/>
    </row>
    <row r="294" spans="1:29">
      <c r="A294" s="3509"/>
      <c r="B294" s="3509"/>
      <c r="C294" s="3509"/>
      <c r="D294" s="3509"/>
      <c r="E294" s="3509"/>
      <c r="F294" s="3509"/>
      <c r="G294" s="3509"/>
      <c r="H294" s="3509"/>
      <c r="I294" s="3509"/>
      <c r="J294" s="3509"/>
      <c r="K294" s="3510"/>
      <c r="L294" s="3511"/>
      <c r="M294" s="3509"/>
      <c r="N294" s="3509"/>
      <c r="O294" s="3509"/>
      <c r="P294" s="3553"/>
      <c r="Q294" s="3509"/>
      <c r="R294" s="3509"/>
      <c r="S294" s="3509"/>
      <c r="T294" s="3509"/>
      <c r="U294" s="3509"/>
      <c r="V294" s="3509"/>
      <c r="W294" s="3509"/>
      <c r="X294" s="3509"/>
      <c r="Y294" s="3509"/>
      <c r="Z294" s="3509"/>
      <c r="AA294" s="3509"/>
      <c r="AB294" s="3509"/>
      <c r="AC294" s="3509"/>
    </row>
    <row r="295" spans="1:29">
      <c r="A295" s="3509"/>
      <c r="B295" s="3509"/>
      <c r="C295" s="3509"/>
      <c r="D295" s="3509"/>
      <c r="E295" s="3509"/>
      <c r="F295" s="3509"/>
      <c r="G295" s="3509"/>
      <c r="H295" s="3509"/>
      <c r="I295" s="3509"/>
      <c r="J295" s="3509"/>
      <c r="K295" s="3510"/>
      <c r="L295" s="3511"/>
      <c r="M295" s="3509"/>
      <c r="N295" s="3509"/>
      <c r="O295" s="3509"/>
      <c r="P295" s="3553"/>
      <c r="Q295" s="3509"/>
      <c r="R295" s="3509"/>
      <c r="S295" s="3509"/>
      <c r="T295" s="3509"/>
      <c r="U295" s="3509"/>
      <c r="V295" s="3509"/>
      <c r="W295" s="3509"/>
      <c r="X295" s="3509"/>
      <c r="Y295" s="3509"/>
      <c r="Z295" s="3509"/>
      <c r="AA295" s="3509"/>
      <c r="AB295" s="3509"/>
      <c r="AC295" s="3509"/>
    </row>
    <row r="296" spans="1:29">
      <c r="A296" s="3509"/>
      <c r="B296" s="3509"/>
      <c r="C296" s="3509"/>
      <c r="D296" s="3509"/>
      <c r="E296" s="3509"/>
      <c r="F296" s="3509"/>
      <c r="G296" s="3509"/>
      <c r="H296" s="3509"/>
      <c r="I296" s="3509"/>
      <c r="J296" s="3509"/>
      <c r="K296" s="3510"/>
      <c r="L296" s="3511"/>
      <c r="M296" s="3509"/>
      <c r="N296" s="3509"/>
      <c r="O296" s="3509"/>
      <c r="P296" s="3553"/>
      <c r="Q296" s="3509"/>
      <c r="R296" s="3509"/>
      <c r="S296" s="3509"/>
      <c r="T296" s="3509"/>
      <c r="U296" s="3509"/>
      <c r="V296" s="3509"/>
      <c r="W296" s="3509"/>
      <c r="X296" s="3509"/>
      <c r="Y296" s="3509"/>
      <c r="Z296" s="3509"/>
      <c r="AA296" s="3509"/>
      <c r="AB296" s="3509"/>
      <c r="AC296" s="3509"/>
    </row>
    <row r="297" spans="1:29">
      <c r="A297" s="3509"/>
      <c r="B297" s="3509"/>
      <c r="C297" s="3509"/>
      <c r="D297" s="3509"/>
      <c r="E297" s="3509"/>
      <c r="F297" s="3509"/>
      <c r="G297" s="3509"/>
      <c r="H297" s="3509"/>
      <c r="I297" s="3509"/>
      <c r="J297" s="3509"/>
      <c r="K297" s="3510"/>
      <c r="L297" s="3511"/>
      <c r="M297" s="3509"/>
      <c r="N297" s="3509"/>
      <c r="O297" s="3509"/>
      <c r="P297" s="3553"/>
      <c r="Q297" s="3509"/>
      <c r="R297" s="3509"/>
      <c r="S297" s="3509"/>
      <c r="T297" s="3509"/>
      <c r="U297" s="3509"/>
      <c r="V297" s="3509"/>
      <c r="W297" s="3509"/>
      <c r="X297" s="3509"/>
      <c r="Y297" s="3509"/>
      <c r="Z297" s="3509"/>
      <c r="AA297" s="3509"/>
      <c r="AB297" s="3509"/>
      <c r="AC297" s="3509"/>
    </row>
    <row r="298" spans="1:29">
      <c r="A298" s="3509"/>
      <c r="B298" s="3509"/>
      <c r="C298" s="3509"/>
      <c r="D298" s="3509"/>
      <c r="E298" s="3509"/>
      <c r="F298" s="3509"/>
      <c r="G298" s="3509"/>
      <c r="H298" s="3509"/>
      <c r="I298" s="3509"/>
      <c r="J298" s="3509"/>
      <c r="K298" s="3510"/>
      <c r="L298" s="3511"/>
      <c r="M298" s="3509"/>
      <c r="N298" s="3509"/>
      <c r="O298" s="3509"/>
      <c r="P298" s="3553"/>
      <c r="Q298" s="3509"/>
      <c r="R298" s="3509"/>
      <c r="S298" s="3509"/>
      <c r="T298" s="3509"/>
      <c r="U298" s="3509"/>
      <c r="V298" s="3509"/>
      <c r="W298" s="3509"/>
      <c r="X298" s="3509"/>
      <c r="Y298" s="3509"/>
      <c r="Z298" s="3509"/>
      <c r="AA298" s="3509"/>
      <c r="AB298" s="3509"/>
      <c r="AC298" s="3509"/>
    </row>
    <row r="299" spans="1:29">
      <c r="A299" s="3509"/>
      <c r="B299" s="3509"/>
      <c r="C299" s="3509"/>
      <c r="D299" s="3509"/>
      <c r="E299" s="3509"/>
      <c r="F299" s="3509"/>
      <c r="G299" s="3509"/>
      <c r="H299" s="3509"/>
      <c r="I299" s="3509"/>
      <c r="J299" s="3509"/>
      <c r="K299" s="3510"/>
      <c r="L299" s="3511"/>
      <c r="M299" s="3509"/>
      <c r="N299" s="3509"/>
      <c r="O299" s="3509"/>
      <c r="P299" s="3553"/>
      <c r="Q299" s="3509"/>
      <c r="R299" s="3509"/>
      <c r="S299" s="3509"/>
      <c r="T299" s="3509"/>
      <c r="U299" s="3509"/>
      <c r="V299" s="3509"/>
      <c r="W299" s="3509"/>
      <c r="X299" s="3509"/>
      <c r="Y299" s="3509"/>
      <c r="Z299" s="3509"/>
      <c r="AA299" s="3509"/>
      <c r="AB299" s="3509"/>
      <c r="AC299" s="3509"/>
    </row>
    <row r="300" spans="1:29">
      <c r="A300" s="3509"/>
      <c r="B300" s="3509"/>
      <c r="C300" s="3509"/>
      <c r="D300" s="3509"/>
      <c r="E300" s="3509"/>
      <c r="F300" s="3509"/>
      <c r="G300" s="3509"/>
      <c r="H300" s="3509"/>
      <c r="I300" s="3509"/>
      <c r="J300" s="3509"/>
      <c r="K300" s="3510"/>
      <c r="L300" s="3511"/>
      <c r="M300" s="3509"/>
      <c r="N300" s="3509"/>
      <c r="O300" s="3509"/>
      <c r="P300" s="3553"/>
      <c r="Q300" s="3509"/>
      <c r="R300" s="3509"/>
      <c r="S300" s="3509"/>
      <c r="T300" s="3509"/>
      <c r="U300" s="3509"/>
      <c r="V300" s="3509"/>
      <c r="W300" s="3509"/>
      <c r="X300" s="3509"/>
      <c r="Y300" s="3509"/>
      <c r="Z300" s="3509"/>
      <c r="AA300" s="3509"/>
      <c r="AB300" s="3509"/>
      <c r="AC300" s="3509"/>
    </row>
    <row r="301" spans="1:29">
      <c r="A301" s="3509"/>
      <c r="B301" s="3509"/>
      <c r="C301" s="3509"/>
      <c r="D301" s="3509"/>
      <c r="E301" s="3509"/>
      <c r="F301" s="3509"/>
      <c r="G301" s="3509"/>
      <c r="H301" s="3509"/>
      <c r="I301" s="3509"/>
      <c r="J301" s="3509"/>
      <c r="K301" s="3510"/>
      <c r="L301" s="3511"/>
      <c r="M301" s="3509"/>
      <c r="N301" s="3509"/>
      <c r="O301" s="3509"/>
      <c r="P301" s="3553"/>
      <c r="Q301" s="3509"/>
      <c r="R301" s="3509"/>
      <c r="S301" s="3509"/>
      <c r="T301" s="3509"/>
      <c r="U301" s="3509"/>
      <c r="V301" s="3509"/>
      <c r="W301" s="3509"/>
      <c r="X301" s="3509"/>
      <c r="Y301" s="3509"/>
      <c r="Z301" s="3509"/>
      <c r="AA301" s="3509"/>
      <c r="AB301" s="3509"/>
      <c r="AC301" s="3509"/>
    </row>
    <row r="302" spans="1:29">
      <c r="A302" s="3509"/>
      <c r="B302" s="3509"/>
      <c r="C302" s="3509"/>
      <c r="D302" s="3509"/>
      <c r="E302" s="3509"/>
      <c r="F302" s="3509"/>
      <c r="G302" s="3509"/>
      <c r="H302" s="3509"/>
      <c r="I302" s="3509"/>
      <c r="J302" s="3509"/>
      <c r="K302" s="3510"/>
      <c r="L302" s="3511"/>
      <c r="M302" s="3509"/>
      <c r="N302" s="3509"/>
      <c r="O302" s="3509"/>
      <c r="P302" s="3553"/>
      <c r="Q302" s="3509"/>
      <c r="R302" s="3509"/>
      <c r="S302" s="3509"/>
      <c r="T302" s="3509"/>
      <c r="U302" s="3509"/>
      <c r="V302" s="3509"/>
      <c r="W302" s="3509"/>
      <c r="X302" s="3509"/>
      <c r="Y302" s="3509"/>
      <c r="Z302" s="3509"/>
      <c r="AA302" s="3509"/>
      <c r="AB302" s="3509"/>
      <c r="AC302" s="3509"/>
    </row>
    <row r="303" spans="1:29">
      <c r="A303" s="3509"/>
      <c r="B303" s="3509"/>
      <c r="C303" s="3509"/>
      <c r="D303" s="3509"/>
      <c r="E303" s="3509"/>
      <c r="F303" s="3509"/>
      <c r="G303" s="3509"/>
      <c r="H303" s="3509"/>
      <c r="I303" s="3509"/>
      <c r="J303" s="3509"/>
      <c r="K303" s="3510"/>
      <c r="L303" s="3511"/>
      <c r="M303" s="3509"/>
      <c r="N303" s="3509"/>
      <c r="O303" s="3509"/>
      <c r="P303" s="3553"/>
      <c r="Q303" s="3509"/>
      <c r="R303" s="3509"/>
      <c r="S303" s="3509"/>
      <c r="T303" s="3509"/>
      <c r="U303" s="3509"/>
      <c r="V303" s="3509"/>
      <c r="W303" s="3509"/>
      <c r="X303" s="3509"/>
      <c r="Y303" s="3509"/>
      <c r="Z303" s="3509"/>
      <c r="AA303" s="3509"/>
      <c r="AB303" s="3509"/>
      <c r="AC303" s="3509"/>
    </row>
    <row r="304" spans="1:29">
      <c r="A304" s="3509"/>
      <c r="B304" s="3509"/>
      <c r="C304" s="3509"/>
      <c r="D304" s="3509"/>
      <c r="E304" s="3509"/>
      <c r="F304" s="3509"/>
      <c r="G304" s="3509"/>
      <c r="H304" s="3509"/>
      <c r="I304" s="3509"/>
      <c r="J304" s="3509"/>
      <c r="K304" s="3510"/>
      <c r="L304" s="3511"/>
      <c r="M304" s="3509"/>
      <c r="N304" s="3509"/>
      <c r="O304" s="3509"/>
      <c r="P304" s="3553"/>
      <c r="Q304" s="3509"/>
      <c r="R304" s="3509"/>
      <c r="S304" s="3509"/>
      <c r="T304" s="3509"/>
      <c r="U304" s="3509"/>
      <c r="V304" s="3509"/>
      <c r="W304" s="3509"/>
      <c r="X304" s="3509"/>
      <c r="Y304" s="3509"/>
      <c r="Z304" s="3509"/>
      <c r="AA304" s="3509"/>
      <c r="AB304" s="3509"/>
      <c r="AC304" s="3509"/>
    </row>
    <row r="305" spans="1:29">
      <c r="A305" s="3509"/>
      <c r="B305" s="3509"/>
      <c r="C305" s="3509"/>
      <c r="D305" s="3509"/>
      <c r="E305" s="3509"/>
      <c r="F305" s="3509"/>
      <c r="G305" s="3509"/>
      <c r="H305" s="3509"/>
      <c r="I305" s="3509"/>
      <c r="J305" s="3509"/>
      <c r="K305" s="3510"/>
      <c r="L305" s="3511"/>
      <c r="M305" s="3509"/>
      <c r="N305" s="3509"/>
      <c r="O305" s="3509"/>
      <c r="P305" s="3553"/>
      <c r="Q305" s="3509"/>
      <c r="R305" s="3509"/>
      <c r="S305" s="3509"/>
      <c r="T305" s="3509"/>
      <c r="U305" s="3509"/>
      <c r="V305" s="3509"/>
      <c r="W305" s="3509"/>
      <c r="X305" s="3509"/>
      <c r="Y305" s="3509"/>
      <c r="Z305" s="3509"/>
      <c r="AA305" s="3509"/>
      <c r="AB305" s="3509"/>
      <c r="AC305" s="3509"/>
    </row>
    <row r="306" spans="1:29">
      <c r="A306" s="3509"/>
      <c r="B306" s="3509"/>
      <c r="C306" s="3509"/>
      <c r="D306" s="3509"/>
      <c r="E306" s="3509"/>
      <c r="F306" s="3509"/>
      <c r="G306" s="3509"/>
      <c r="H306" s="3509"/>
      <c r="I306" s="3509"/>
      <c r="J306" s="3509"/>
      <c r="K306" s="3510"/>
      <c r="L306" s="3511"/>
      <c r="M306" s="3509"/>
      <c r="N306" s="3509"/>
      <c r="O306" s="3509"/>
      <c r="P306" s="3553"/>
      <c r="Q306" s="3509"/>
      <c r="R306" s="3509"/>
      <c r="S306" s="3509"/>
      <c r="T306" s="3509"/>
      <c r="U306" s="3509"/>
      <c r="V306" s="3509"/>
      <c r="W306" s="3509"/>
      <c r="X306" s="3509"/>
      <c r="Y306" s="3509"/>
      <c r="Z306" s="3509"/>
      <c r="AA306" s="3509"/>
      <c r="AB306" s="3509"/>
      <c r="AC306" s="3509"/>
    </row>
    <row r="307" spans="1:29">
      <c r="A307" s="3509"/>
      <c r="B307" s="3509"/>
      <c r="C307" s="3509"/>
      <c r="D307" s="3509"/>
      <c r="E307" s="3509"/>
      <c r="F307" s="3509"/>
      <c r="G307" s="3509"/>
      <c r="H307" s="3509"/>
      <c r="I307" s="3509"/>
      <c r="J307" s="3509"/>
      <c r="K307" s="3510"/>
      <c r="L307" s="3511"/>
      <c r="M307" s="3509"/>
      <c r="N307" s="3509"/>
      <c r="O307" s="3509"/>
      <c r="P307" s="3553"/>
      <c r="Q307" s="3509"/>
      <c r="R307" s="3509"/>
      <c r="S307" s="3509"/>
      <c r="T307" s="3509"/>
      <c r="U307" s="3509"/>
      <c r="V307" s="3509"/>
      <c r="W307" s="3509"/>
      <c r="X307" s="3509"/>
      <c r="Y307" s="3509"/>
      <c r="Z307" s="3509"/>
      <c r="AA307" s="3509"/>
      <c r="AB307" s="3509"/>
      <c r="AC307" s="3509"/>
    </row>
    <row r="308" spans="1:29">
      <c r="A308" s="3509"/>
      <c r="B308" s="3509"/>
      <c r="C308" s="3509"/>
      <c r="D308" s="3509"/>
      <c r="E308" s="3509"/>
      <c r="F308" s="3509"/>
      <c r="G308" s="3509"/>
      <c r="H308" s="3509"/>
      <c r="I308" s="3509"/>
      <c r="J308" s="3509"/>
      <c r="K308" s="3510"/>
      <c r="L308" s="3511"/>
      <c r="M308" s="3509"/>
      <c r="N308" s="3509"/>
      <c r="O308" s="3509"/>
      <c r="P308" s="3553"/>
      <c r="Q308" s="3509"/>
      <c r="R308" s="3509"/>
      <c r="S308" s="3509"/>
      <c r="T308" s="3509"/>
      <c r="U308" s="3509"/>
      <c r="V308" s="3509"/>
      <c r="W308" s="3509"/>
      <c r="X308" s="3509"/>
      <c r="Y308" s="3509"/>
      <c r="Z308" s="3509"/>
      <c r="AA308" s="3509"/>
      <c r="AB308" s="3509"/>
      <c r="AC308" s="3509"/>
    </row>
    <row r="309" spans="1:29">
      <c r="A309" s="3509"/>
      <c r="B309" s="3509"/>
      <c r="C309" s="3509"/>
      <c r="D309" s="3509"/>
      <c r="E309" s="3509"/>
      <c r="F309" s="3509"/>
      <c r="G309" s="3509"/>
      <c r="H309" s="3509"/>
      <c r="I309" s="3509"/>
      <c r="J309" s="3509"/>
      <c r="K309" s="3510"/>
      <c r="L309" s="3511"/>
      <c r="M309" s="3509"/>
      <c r="N309" s="3509"/>
      <c r="O309" s="3509"/>
      <c r="P309" s="3553"/>
      <c r="Q309" s="3509"/>
      <c r="R309" s="3509"/>
      <c r="S309" s="3509"/>
      <c r="T309" s="3509"/>
      <c r="U309" s="3509"/>
      <c r="V309" s="3509"/>
      <c r="W309" s="3509"/>
      <c r="X309" s="3509"/>
      <c r="Y309" s="3509"/>
      <c r="Z309" s="3509"/>
      <c r="AA309" s="3509"/>
      <c r="AB309" s="3509"/>
      <c r="AC309" s="3509"/>
    </row>
    <row r="310" spans="1:29">
      <c r="A310" s="3509"/>
      <c r="B310" s="3509"/>
      <c r="C310" s="3509"/>
      <c r="D310" s="3509"/>
      <c r="E310" s="3509"/>
      <c r="F310" s="3509"/>
      <c r="G310" s="3509"/>
      <c r="H310" s="3509"/>
      <c r="I310" s="3509"/>
      <c r="J310" s="3509"/>
      <c r="K310" s="3510"/>
      <c r="L310" s="3511"/>
      <c r="M310" s="3509"/>
      <c r="N310" s="3509"/>
      <c r="O310" s="3509"/>
      <c r="P310" s="3553"/>
      <c r="Q310" s="3509"/>
      <c r="R310" s="3509"/>
      <c r="S310" s="3509"/>
      <c r="T310" s="3509"/>
      <c r="U310" s="3509"/>
      <c r="V310" s="3509"/>
      <c r="W310" s="3509"/>
      <c r="X310" s="3509"/>
      <c r="Y310" s="3509"/>
      <c r="Z310" s="3509"/>
      <c r="AA310" s="3509"/>
      <c r="AB310" s="3509"/>
      <c r="AC310" s="3509"/>
    </row>
    <row r="311" spans="1:29">
      <c r="A311" s="3509"/>
      <c r="B311" s="3509"/>
      <c r="C311" s="3509"/>
      <c r="D311" s="3509"/>
      <c r="E311" s="3509"/>
      <c r="F311" s="3509"/>
      <c r="G311" s="3509"/>
      <c r="H311" s="3509"/>
      <c r="I311" s="3509"/>
      <c r="J311" s="3509"/>
      <c r="K311" s="3510"/>
      <c r="L311" s="3511"/>
      <c r="M311" s="3509"/>
      <c r="N311" s="3509"/>
      <c r="O311" s="3509"/>
      <c r="P311" s="3553"/>
      <c r="Q311" s="3509"/>
      <c r="R311" s="3509"/>
      <c r="S311" s="3509"/>
      <c r="T311" s="3509"/>
      <c r="U311" s="3509"/>
      <c r="V311" s="3509"/>
      <c r="W311" s="3509"/>
      <c r="X311" s="3509"/>
      <c r="Y311" s="3509"/>
      <c r="Z311" s="3509"/>
      <c r="AA311" s="3509"/>
      <c r="AB311" s="3509"/>
      <c r="AC311" s="3509"/>
    </row>
    <row r="312" spans="1:29">
      <c r="A312" s="3509"/>
      <c r="B312" s="3509"/>
      <c r="C312" s="3509"/>
      <c r="D312" s="3509"/>
      <c r="E312" s="3509"/>
      <c r="F312" s="3509"/>
      <c r="G312" s="3509"/>
      <c r="H312" s="3509"/>
      <c r="I312" s="3509"/>
      <c r="J312" s="3509"/>
      <c r="K312" s="3510"/>
      <c r="L312" s="3511"/>
      <c r="M312" s="3509"/>
      <c r="N312" s="3509"/>
      <c r="O312" s="3509"/>
      <c r="P312" s="3553"/>
      <c r="Q312" s="3509"/>
      <c r="R312" s="3509"/>
      <c r="S312" s="3509"/>
      <c r="T312" s="3509"/>
      <c r="U312" s="3509"/>
      <c r="V312" s="3509"/>
      <c r="W312" s="3509"/>
      <c r="X312" s="3509"/>
      <c r="Y312" s="3509"/>
      <c r="Z312" s="3509"/>
      <c r="AA312" s="3509"/>
      <c r="AB312" s="3509"/>
      <c r="AC312" s="3509"/>
    </row>
    <row r="313" spans="1:29">
      <c r="A313" s="3509"/>
      <c r="B313" s="3509"/>
      <c r="C313" s="3509"/>
      <c r="D313" s="3509"/>
      <c r="E313" s="3509"/>
      <c r="F313" s="3509"/>
      <c r="G313" s="3509"/>
      <c r="H313" s="3509"/>
      <c r="I313" s="3509"/>
      <c r="J313" s="3509"/>
      <c r="K313" s="3510"/>
      <c r="L313" s="3511"/>
      <c r="M313" s="3509"/>
      <c r="N313" s="3509"/>
      <c r="O313" s="3509"/>
      <c r="P313" s="3553"/>
      <c r="Q313" s="3509"/>
      <c r="R313" s="3509"/>
      <c r="S313" s="3509"/>
      <c r="T313" s="3509"/>
      <c r="U313" s="3509"/>
      <c r="V313" s="3509"/>
      <c r="W313" s="3509"/>
      <c r="X313" s="3509"/>
      <c r="Y313" s="3509"/>
      <c r="Z313" s="3509"/>
      <c r="AA313" s="3509"/>
      <c r="AB313" s="3509"/>
      <c r="AC313" s="3509"/>
    </row>
    <row r="314" spans="1:29">
      <c r="A314" s="3509"/>
      <c r="B314" s="3509"/>
      <c r="C314" s="3509"/>
      <c r="D314" s="3509"/>
      <c r="E314" s="3509"/>
      <c r="F314" s="3509"/>
      <c r="G314" s="3509"/>
      <c r="H314" s="3509"/>
      <c r="I314" s="3509"/>
      <c r="J314" s="3509"/>
      <c r="K314" s="3510"/>
      <c r="L314" s="3511"/>
      <c r="M314" s="3509"/>
      <c r="N314" s="3509"/>
      <c r="O314" s="3509"/>
      <c r="P314" s="3553"/>
      <c r="Q314" s="3509"/>
      <c r="R314" s="3509"/>
      <c r="S314" s="3509"/>
      <c r="T314" s="3509"/>
      <c r="U314" s="3509"/>
      <c r="V314" s="3509"/>
      <c r="W314" s="3509"/>
      <c r="X314" s="3509"/>
      <c r="Y314" s="3509"/>
      <c r="Z314" s="3509"/>
      <c r="AA314" s="3509"/>
      <c r="AB314" s="3509"/>
      <c r="AC314" s="3509"/>
    </row>
    <row r="315" spans="1:29">
      <c r="A315" s="3509"/>
      <c r="B315" s="3509"/>
      <c r="C315" s="3509"/>
      <c r="D315" s="3509"/>
      <c r="E315" s="3509"/>
      <c r="F315" s="3509"/>
      <c r="G315" s="3509"/>
      <c r="H315" s="3509"/>
      <c r="I315" s="3509"/>
      <c r="J315" s="3509"/>
      <c r="K315" s="3510"/>
      <c r="L315" s="3511"/>
      <c r="M315" s="3509"/>
      <c r="N315" s="3509"/>
      <c r="O315" s="3509"/>
      <c r="P315" s="3553"/>
      <c r="Q315" s="3509"/>
      <c r="R315" s="3509"/>
      <c r="S315" s="3509"/>
      <c r="T315" s="3509"/>
      <c r="U315" s="3509"/>
      <c r="V315" s="3509"/>
      <c r="W315" s="3509"/>
      <c r="X315" s="3509"/>
      <c r="Y315" s="3509"/>
      <c r="Z315" s="3509"/>
      <c r="AA315" s="3509"/>
      <c r="AB315" s="3509"/>
      <c r="AC315" s="3509"/>
    </row>
    <row r="316" spans="1:29">
      <c r="A316" s="3509"/>
      <c r="B316" s="3509"/>
      <c r="C316" s="3509"/>
      <c r="D316" s="3509"/>
      <c r="E316" s="3509"/>
      <c r="F316" s="3509"/>
      <c r="G316" s="3509"/>
      <c r="H316" s="3509"/>
      <c r="I316" s="3509"/>
      <c r="J316" s="3509"/>
      <c r="K316" s="3510"/>
      <c r="L316" s="3511"/>
      <c r="M316" s="3509"/>
      <c r="N316" s="3509"/>
      <c r="O316" s="3509"/>
      <c r="P316" s="3553"/>
      <c r="Q316" s="3509"/>
      <c r="R316" s="3509"/>
      <c r="S316" s="3509"/>
      <c r="T316" s="3509"/>
      <c r="U316" s="3509"/>
      <c r="V316" s="3509"/>
      <c r="W316" s="3509"/>
      <c r="X316" s="3509"/>
      <c r="Y316" s="3509"/>
      <c r="Z316" s="3509"/>
      <c r="AA316" s="3509"/>
      <c r="AB316" s="3509"/>
      <c r="AC316" s="3509"/>
    </row>
    <row r="317" spans="1:29">
      <c r="A317" s="3509"/>
      <c r="B317" s="3509"/>
      <c r="C317" s="3509"/>
      <c r="D317" s="3509"/>
      <c r="E317" s="3509"/>
      <c r="F317" s="3509"/>
      <c r="G317" s="3509"/>
      <c r="H317" s="3509"/>
      <c r="I317" s="3509"/>
      <c r="J317" s="3509"/>
      <c r="K317" s="3510"/>
      <c r="L317" s="3511"/>
      <c r="M317" s="3509"/>
      <c r="N317" s="3509"/>
      <c r="O317" s="3509"/>
      <c r="P317" s="3553"/>
      <c r="Q317" s="3509"/>
      <c r="R317" s="3509"/>
      <c r="S317" s="3509"/>
      <c r="T317" s="3509"/>
      <c r="U317" s="3509"/>
      <c r="V317" s="3509"/>
      <c r="W317" s="3509"/>
      <c r="X317" s="3509"/>
      <c r="Y317" s="3509"/>
      <c r="Z317" s="3509"/>
      <c r="AA317" s="3509"/>
      <c r="AB317" s="3509"/>
      <c r="AC317" s="3509"/>
    </row>
    <row r="318" spans="1:29">
      <c r="A318" s="3509"/>
      <c r="B318" s="3509"/>
      <c r="C318" s="3509"/>
      <c r="D318" s="3509"/>
      <c r="E318" s="3509"/>
      <c r="F318" s="3509"/>
      <c r="G318" s="3509"/>
      <c r="H318" s="3509"/>
      <c r="I318" s="3509"/>
      <c r="J318" s="3509"/>
      <c r="K318" s="3510"/>
      <c r="L318" s="3511"/>
      <c r="M318" s="3509"/>
      <c r="N318" s="3509"/>
      <c r="O318" s="3509"/>
      <c r="P318" s="3553"/>
      <c r="Q318" s="3509"/>
      <c r="R318" s="3509"/>
      <c r="S318" s="3509"/>
      <c r="T318" s="3509"/>
      <c r="U318" s="3509"/>
      <c r="V318" s="3509"/>
      <c r="W318" s="3509"/>
      <c r="X318" s="3509"/>
      <c r="Y318" s="3509"/>
      <c r="Z318" s="3509"/>
      <c r="AA318" s="3509"/>
      <c r="AB318" s="3509"/>
      <c r="AC318" s="3509"/>
    </row>
    <row r="319" spans="1:29">
      <c r="A319" s="3509"/>
      <c r="B319" s="3509"/>
      <c r="C319" s="3509"/>
      <c r="D319" s="3509"/>
      <c r="E319" s="3509"/>
      <c r="F319" s="3509"/>
      <c r="G319" s="3509"/>
      <c r="H319" s="3509"/>
      <c r="I319" s="3509"/>
      <c r="J319" s="3509"/>
      <c r="K319" s="3510"/>
      <c r="L319" s="3511"/>
      <c r="M319" s="3509"/>
      <c r="N319" s="3509"/>
      <c r="O319" s="3509"/>
      <c r="P319" s="3553"/>
      <c r="Q319" s="3509"/>
      <c r="R319" s="3509"/>
      <c r="S319" s="3509"/>
      <c r="T319" s="3509"/>
      <c r="U319" s="3509"/>
      <c r="V319" s="3509"/>
      <c r="W319" s="3509"/>
      <c r="X319" s="3509"/>
      <c r="Y319" s="3509"/>
      <c r="Z319" s="3509"/>
      <c r="AA319" s="3509"/>
      <c r="AB319" s="3509"/>
      <c r="AC319" s="3509"/>
    </row>
    <row r="320" spans="1:29">
      <c r="A320" s="3509"/>
      <c r="B320" s="3509"/>
      <c r="C320" s="3509"/>
      <c r="D320" s="3509"/>
      <c r="E320" s="3509"/>
      <c r="F320" s="3509"/>
      <c r="G320" s="3509"/>
      <c r="H320" s="3509"/>
      <c r="I320" s="3509"/>
      <c r="J320" s="3509"/>
      <c r="K320" s="3510"/>
      <c r="L320" s="3511"/>
      <c r="M320" s="3509"/>
      <c r="N320" s="3509"/>
      <c r="O320" s="3509"/>
      <c r="P320" s="3553"/>
      <c r="Q320" s="3509"/>
      <c r="R320" s="3509"/>
      <c r="S320" s="3509"/>
      <c r="T320" s="3509"/>
      <c r="U320" s="3509"/>
      <c r="V320" s="3509"/>
      <c r="W320" s="3509"/>
      <c r="X320" s="3509"/>
      <c r="Y320" s="3509"/>
      <c r="Z320" s="3509"/>
      <c r="AA320" s="3509"/>
      <c r="AB320" s="3509"/>
      <c r="AC320" s="3509"/>
    </row>
    <row r="321" spans="1:29">
      <c r="A321" s="3509"/>
      <c r="B321" s="3509"/>
      <c r="C321" s="3509"/>
      <c r="D321" s="3509"/>
      <c r="E321" s="3509"/>
      <c r="F321" s="3509"/>
      <c r="G321" s="3509"/>
      <c r="H321" s="3509"/>
      <c r="I321" s="3509"/>
      <c r="J321" s="3509"/>
      <c r="K321" s="3510"/>
      <c r="L321" s="3511"/>
      <c r="M321" s="3509"/>
      <c r="N321" s="3509"/>
      <c r="O321" s="3509"/>
      <c r="P321" s="3553"/>
      <c r="Q321" s="3509"/>
      <c r="R321" s="3509"/>
      <c r="S321" s="3509"/>
      <c r="T321" s="3509"/>
      <c r="U321" s="3509"/>
      <c r="V321" s="3509"/>
      <c r="W321" s="3509"/>
      <c r="X321" s="3509"/>
      <c r="Y321" s="3509"/>
      <c r="Z321" s="3509"/>
      <c r="AA321" s="3509"/>
      <c r="AB321" s="3509"/>
      <c r="AC321" s="3509"/>
    </row>
    <row r="322" spans="1:29">
      <c r="A322" s="3509"/>
      <c r="B322" s="3509"/>
      <c r="C322" s="3509"/>
      <c r="D322" s="3509"/>
      <c r="E322" s="3509"/>
      <c r="F322" s="3509"/>
      <c r="G322" s="3509"/>
      <c r="H322" s="3509"/>
      <c r="I322" s="3509"/>
      <c r="J322" s="3509"/>
      <c r="K322" s="3510"/>
      <c r="L322" s="3511"/>
      <c r="M322" s="3509"/>
      <c r="N322" s="3509"/>
      <c r="O322" s="3509"/>
      <c r="P322" s="3553"/>
      <c r="Q322" s="3509"/>
      <c r="R322" s="3509"/>
      <c r="S322" s="3509"/>
      <c r="T322" s="3509"/>
      <c r="U322" s="3509"/>
      <c r="V322" s="3509"/>
      <c r="W322" s="3509"/>
      <c r="X322" s="3509"/>
      <c r="Y322" s="3509"/>
      <c r="Z322" s="3509"/>
      <c r="AA322" s="3509"/>
      <c r="AB322" s="3509"/>
      <c r="AC322" s="3509"/>
    </row>
    <row r="323" spans="1:29">
      <c r="A323" s="3509"/>
      <c r="B323" s="3509"/>
      <c r="C323" s="3509"/>
      <c r="D323" s="3509"/>
      <c r="E323" s="3509"/>
      <c r="F323" s="3509"/>
      <c r="G323" s="3509"/>
      <c r="H323" s="3509"/>
      <c r="I323" s="3509"/>
      <c r="J323" s="3509"/>
      <c r="K323" s="3510"/>
      <c r="L323" s="3511"/>
      <c r="M323" s="3509"/>
      <c r="N323" s="3509"/>
      <c r="O323" s="3509"/>
      <c r="P323" s="3553"/>
      <c r="Q323" s="3509"/>
      <c r="R323" s="3509"/>
      <c r="S323" s="3509"/>
      <c r="T323" s="3509"/>
      <c r="U323" s="3509"/>
      <c r="V323" s="3509"/>
      <c r="W323" s="3509"/>
      <c r="X323" s="3509"/>
      <c r="Y323" s="3509"/>
      <c r="Z323" s="3509"/>
      <c r="AA323" s="3509"/>
      <c r="AB323" s="3509"/>
      <c r="AC323" s="3509"/>
    </row>
    <row r="324" spans="1:29">
      <c r="A324" s="3509"/>
      <c r="B324" s="3509"/>
      <c r="C324" s="3509"/>
      <c r="D324" s="3509"/>
      <c r="E324" s="3509"/>
      <c r="F324" s="3509"/>
      <c r="G324" s="3509"/>
      <c r="H324" s="3509"/>
      <c r="I324" s="3509"/>
      <c r="J324" s="3509"/>
      <c r="K324" s="3510"/>
      <c r="L324" s="3511"/>
      <c r="M324" s="3509"/>
      <c r="N324" s="3509"/>
      <c r="O324" s="3509"/>
      <c r="P324" s="3553"/>
      <c r="Q324" s="3509"/>
      <c r="R324" s="3509"/>
      <c r="S324" s="3509"/>
      <c r="T324" s="3509"/>
      <c r="U324" s="3509"/>
      <c r="V324" s="3509"/>
      <c r="W324" s="3509"/>
      <c r="X324" s="3509"/>
      <c r="Y324" s="3509"/>
      <c r="Z324" s="3509"/>
      <c r="AA324" s="3509"/>
      <c r="AB324" s="3509"/>
      <c r="AC324" s="3509"/>
    </row>
    <row r="325" spans="1:29">
      <c r="A325" s="3509"/>
      <c r="B325" s="3509"/>
      <c r="C325" s="3509"/>
      <c r="D325" s="3509"/>
      <c r="E325" s="3509"/>
      <c r="F325" s="3509"/>
      <c r="G325" s="3509"/>
      <c r="H325" s="3509"/>
      <c r="I325" s="3509"/>
      <c r="J325" s="3509"/>
      <c r="K325" s="3510"/>
      <c r="L325" s="3511"/>
      <c r="M325" s="3509"/>
      <c r="N325" s="3509"/>
      <c r="O325" s="3509"/>
      <c r="P325" s="3553"/>
      <c r="Q325" s="3509"/>
      <c r="R325" s="3509"/>
      <c r="S325" s="3509"/>
      <c r="T325" s="3509"/>
      <c r="U325" s="3509"/>
      <c r="V325" s="3509"/>
      <c r="W325" s="3509"/>
      <c r="X325" s="3509"/>
      <c r="Y325" s="3509"/>
      <c r="Z325" s="3509"/>
      <c r="AA325" s="3509"/>
      <c r="AB325" s="3509"/>
      <c r="AC325" s="3509"/>
    </row>
    <row r="326" spans="1:29">
      <c r="A326" s="3509"/>
      <c r="B326" s="3509"/>
      <c r="C326" s="3509"/>
      <c r="D326" s="3509"/>
      <c r="E326" s="3509"/>
      <c r="F326" s="3509"/>
      <c r="G326" s="3509"/>
      <c r="H326" s="3509"/>
      <c r="I326" s="3509"/>
      <c r="J326" s="3509"/>
      <c r="K326" s="3510"/>
      <c r="L326" s="3511"/>
      <c r="M326" s="3509"/>
      <c r="N326" s="3509"/>
      <c r="O326" s="3509"/>
      <c r="P326" s="3553"/>
      <c r="Q326" s="3509"/>
      <c r="R326" s="3509"/>
      <c r="S326" s="3509"/>
      <c r="T326" s="3509"/>
      <c r="U326" s="3509"/>
      <c r="V326" s="3509"/>
      <c r="W326" s="3509"/>
      <c r="X326" s="3509"/>
      <c r="Y326" s="3509"/>
      <c r="Z326" s="3509"/>
      <c r="AA326" s="3509"/>
      <c r="AB326" s="3509"/>
      <c r="AC326" s="3509"/>
    </row>
    <row r="327" spans="1:29">
      <c r="A327" s="3509"/>
      <c r="B327" s="3509"/>
      <c r="C327" s="3509"/>
      <c r="D327" s="3509"/>
      <c r="E327" s="3509"/>
      <c r="F327" s="3509"/>
      <c r="G327" s="3509"/>
      <c r="H327" s="3509"/>
      <c r="I327" s="3509"/>
      <c r="J327" s="3509"/>
      <c r="K327" s="3510"/>
      <c r="L327" s="3511"/>
      <c r="M327" s="3509"/>
      <c r="N327" s="3509"/>
      <c r="O327" s="3509"/>
      <c r="P327" s="3553"/>
      <c r="Q327" s="3509"/>
      <c r="R327" s="3509"/>
      <c r="S327" s="3509"/>
      <c r="T327" s="3509"/>
      <c r="U327" s="3509"/>
      <c r="V327" s="3509"/>
      <c r="W327" s="3509"/>
      <c r="X327" s="3509"/>
      <c r="Y327" s="3509"/>
      <c r="Z327" s="3509"/>
      <c r="AA327" s="3509"/>
      <c r="AB327" s="3509"/>
      <c r="AC327" s="3509"/>
    </row>
    <row r="328" spans="1:29">
      <c r="A328" s="3509"/>
      <c r="B328" s="3509"/>
      <c r="C328" s="3509"/>
      <c r="D328" s="3509"/>
      <c r="E328" s="3509"/>
      <c r="F328" s="3509"/>
      <c r="G328" s="3509"/>
      <c r="H328" s="3509"/>
      <c r="I328" s="3509"/>
      <c r="J328" s="3509"/>
      <c r="K328" s="3510"/>
      <c r="L328" s="3511"/>
      <c r="M328" s="3509"/>
      <c r="N328" s="3509"/>
      <c r="O328" s="3509"/>
      <c r="P328" s="3553"/>
      <c r="Q328" s="3509"/>
      <c r="R328" s="3509"/>
      <c r="S328" s="3509"/>
      <c r="T328" s="3509"/>
      <c r="U328" s="3509"/>
      <c r="V328" s="3509"/>
      <c r="W328" s="3509"/>
      <c r="X328" s="3509"/>
      <c r="Y328" s="3509"/>
      <c r="Z328" s="3509"/>
      <c r="AA328" s="3509"/>
      <c r="AB328" s="3509"/>
      <c r="AC328" s="3509"/>
    </row>
    <row r="329" spans="1:29">
      <c r="A329" s="3509"/>
      <c r="B329" s="3509"/>
      <c r="C329" s="3509"/>
      <c r="D329" s="3509"/>
      <c r="E329" s="3509"/>
      <c r="F329" s="3509"/>
      <c r="G329" s="3509"/>
      <c r="H329" s="3509"/>
      <c r="I329" s="3509"/>
      <c r="J329" s="3509"/>
      <c r="K329" s="3510"/>
      <c r="L329" s="3511"/>
      <c r="M329" s="3509"/>
      <c r="N329" s="3509"/>
      <c r="O329" s="3509"/>
      <c r="P329" s="3553"/>
      <c r="Q329" s="3509"/>
      <c r="R329" s="3509"/>
      <c r="S329" s="3509"/>
      <c r="T329" s="3509"/>
      <c r="U329" s="3509"/>
      <c r="V329" s="3509"/>
      <c r="W329" s="3509"/>
      <c r="X329" s="3509"/>
      <c r="Y329" s="3509"/>
      <c r="Z329" s="3509"/>
      <c r="AA329" s="3509"/>
      <c r="AB329" s="3509"/>
      <c r="AC329" s="3509"/>
    </row>
    <row r="330" spans="1:29">
      <c r="A330" s="3509"/>
      <c r="B330" s="3509"/>
      <c r="C330" s="3509"/>
      <c r="D330" s="3509"/>
      <c r="E330" s="3509"/>
      <c r="F330" s="3509"/>
      <c r="G330" s="3509"/>
      <c r="H330" s="3509"/>
      <c r="I330" s="3509"/>
      <c r="J330" s="3509"/>
      <c r="K330" s="3510"/>
      <c r="L330" s="3511"/>
      <c r="M330" s="3509"/>
      <c r="N330" s="3509"/>
      <c r="O330" s="3509"/>
      <c r="P330" s="3553"/>
      <c r="Q330" s="3509"/>
      <c r="R330" s="3509"/>
      <c r="S330" s="3509"/>
      <c r="T330" s="3509"/>
      <c r="U330" s="3509"/>
      <c r="V330" s="3509"/>
      <c r="W330" s="3509"/>
      <c r="X330" s="3509"/>
      <c r="Y330" s="3509"/>
      <c r="Z330" s="3509"/>
      <c r="AA330" s="3509"/>
      <c r="AB330" s="3509"/>
      <c r="AC330" s="3509"/>
    </row>
    <row r="331" spans="1:29">
      <c r="A331" s="3509"/>
      <c r="B331" s="3509"/>
      <c r="C331" s="3509"/>
      <c r="D331" s="3509"/>
      <c r="E331" s="3509"/>
      <c r="F331" s="3509"/>
      <c r="G331" s="3509"/>
      <c r="H331" s="3509"/>
      <c r="I331" s="3509"/>
      <c r="J331" s="3509"/>
      <c r="K331" s="3510"/>
      <c r="L331" s="3511"/>
      <c r="M331" s="3509"/>
      <c r="N331" s="3509"/>
      <c r="O331" s="3509"/>
      <c r="P331" s="3553"/>
      <c r="Q331" s="3509"/>
      <c r="R331" s="3509"/>
      <c r="S331" s="3509"/>
      <c r="T331" s="3509"/>
      <c r="U331" s="3509"/>
      <c r="V331" s="3509"/>
      <c r="W331" s="3509"/>
      <c r="X331" s="3509"/>
      <c r="Y331" s="3509"/>
      <c r="Z331" s="3509"/>
      <c r="AA331" s="3509"/>
      <c r="AB331" s="3509"/>
      <c r="AC331" s="3509"/>
    </row>
    <row r="332" spans="1:29">
      <c r="A332" s="3509"/>
      <c r="B332" s="3509"/>
      <c r="C332" s="3509"/>
      <c r="D332" s="3509"/>
      <c r="E332" s="3509"/>
      <c r="F332" s="3509"/>
      <c r="G332" s="3509"/>
      <c r="H332" s="3509"/>
      <c r="I332" s="3509"/>
      <c r="J332" s="3509"/>
      <c r="K332" s="3510"/>
      <c r="L332" s="3511"/>
      <c r="M332" s="3509"/>
      <c r="N332" s="3509"/>
      <c r="O332" s="3509"/>
      <c r="P332" s="3553"/>
      <c r="Q332" s="3509"/>
      <c r="R332" s="3509"/>
      <c r="S332" s="3509"/>
      <c r="T332" s="3509"/>
      <c r="U332" s="3509"/>
      <c r="V332" s="3509"/>
      <c r="W332" s="3509"/>
      <c r="X332" s="3509"/>
      <c r="Y332" s="3509"/>
      <c r="Z332" s="3509"/>
      <c r="AA332" s="3509"/>
      <c r="AB332" s="3509"/>
      <c r="AC332" s="3509"/>
    </row>
    <row r="333" spans="1:29">
      <c r="A333" s="3509"/>
      <c r="B333" s="3509"/>
      <c r="C333" s="3509"/>
      <c r="D333" s="3509"/>
      <c r="E333" s="3509"/>
      <c r="F333" s="3509"/>
      <c r="G333" s="3509"/>
      <c r="H333" s="3509"/>
      <c r="I333" s="3509"/>
      <c r="J333" s="3509"/>
      <c r="K333" s="3510"/>
      <c r="L333" s="3511"/>
      <c r="M333" s="3509"/>
      <c r="N333" s="3509"/>
      <c r="O333" s="3509"/>
      <c r="P333" s="3553"/>
      <c r="Q333" s="3509"/>
      <c r="R333" s="3509"/>
      <c r="S333" s="3509"/>
      <c r="T333" s="3509"/>
      <c r="U333" s="3509"/>
      <c r="V333" s="3509"/>
      <c r="W333" s="3509"/>
      <c r="X333" s="3509"/>
      <c r="Y333" s="3509"/>
      <c r="Z333" s="3509"/>
      <c r="AA333" s="3509"/>
      <c r="AB333" s="3509"/>
      <c r="AC333" s="3509"/>
    </row>
    <row r="334" spans="1:29">
      <c r="A334" s="3509"/>
      <c r="B334" s="3509"/>
      <c r="C334" s="3509"/>
      <c r="D334" s="3509"/>
      <c r="E334" s="3509"/>
      <c r="F334" s="3509"/>
      <c r="G334" s="3509"/>
      <c r="H334" s="3509"/>
      <c r="I334" s="3509"/>
      <c r="J334" s="3509"/>
      <c r="K334" s="3510"/>
      <c r="L334" s="3511"/>
      <c r="M334" s="3509"/>
      <c r="N334" s="3509"/>
      <c r="O334" s="3509"/>
      <c r="P334" s="3553"/>
      <c r="Q334" s="3509"/>
      <c r="R334" s="3509"/>
      <c r="S334" s="3509"/>
      <c r="T334" s="3509"/>
      <c r="U334" s="3509"/>
      <c r="V334" s="3509"/>
      <c r="W334" s="3509"/>
      <c r="X334" s="3509"/>
      <c r="Y334" s="3509"/>
      <c r="Z334" s="3509"/>
      <c r="AA334" s="3509"/>
      <c r="AB334" s="3509"/>
      <c r="AC334" s="3509"/>
    </row>
    <row r="335" spans="1:29">
      <c r="A335" s="3509"/>
      <c r="B335" s="3509"/>
      <c r="C335" s="3509"/>
      <c r="D335" s="3509"/>
      <c r="E335" s="3509"/>
      <c r="F335" s="3509"/>
      <c r="G335" s="3509"/>
      <c r="H335" s="3509"/>
      <c r="I335" s="3509"/>
      <c r="J335" s="3509"/>
      <c r="K335" s="3510"/>
      <c r="L335" s="3511"/>
      <c r="M335" s="3509"/>
      <c r="N335" s="3509"/>
      <c r="O335" s="3509"/>
      <c r="P335" s="3553"/>
      <c r="Q335" s="3509"/>
      <c r="R335" s="3509"/>
      <c r="S335" s="3509"/>
      <c r="T335" s="3509"/>
      <c r="U335" s="3509"/>
      <c r="V335" s="3509"/>
      <c r="W335" s="3509"/>
      <c r="X335" s="3509"/>
      <c r="Y335" s="3509"/>
      <c r="Z335" s="3509"/>
      <c r="AA335" s="3509"/>
      <c r="AB335" s="3509"/>
      <c r="AC335" s="3509"/>
    </row>
    <row r="336" spans="1:29">
      <c r="A336" s="3509"/>
      <c r="B336" s="3509"/>
      <c r="C336" s="3509"/>
      <c r="D336" s="3509"/>
      <c r="E336" s="3509"/>
      <c r="F336" s="3509"/>
      <c r="G336" s="3509"/>
      <c r="H336" s="3509"/>
      <c r="I336" s="3509"/>
      <c r="J336" s="3509"/>
      <c r="K336" s="3510"/>
      <c r="L336" s="3511"/>
      <c r="M336" s="3509"/>
      <c r="N336" s="3509"/>
      <c r="O336" s="3509"/>
      <c r="P336" s="3553"/>
      <c r="Q336" s="3509"/>
      <c r="R336" s="3509"/>
      <c r="S336" s="3509"/>
      <c r="T336" s="3509"/>
      <c r="U336" s="3509"/>
      <c r="V336" s="3509"/>
      <c r="W336" s="3509"/>
      <c r="X336" s="3509"/>
      <c r="Y336" s="3509"/>
      <c r="Z336" s="3509"/>
      <c r="AA336" s="3509"/>
      <c r="AB336" s="3509"/>
      <c r="AC336" s="3509"/>
    </row>
    <row r="337" spans="1:29">
      <c r="A337" s="3509"/>
      <c r="B337" s="3509"/>
      <c r="C337" s="3509"/>
      <c r="D337" s="3509"/>
      <c r="E337" s="3509"/>
      <c r="F337" s="3509"/>
      <c r="G337" s="3509"/>
      <c r="H337" s="3509"/>
      <c r="I337" s="3509"/>
      <c r="J337" s="3509"/>
      <c r="K337" s="3510"/>
      <c r="L337" s="3511"/>
      <c r="M337" s="3509"/>
      <c r="N337" s="3509"/>
      <c r="O337" s="3509"/>
      <c r="P337" s="3553"/>
      <c r="Q337" s="3509"/>
      <c r="R337" s="3509"/>
      <c r="S337" s="3509"/>
      <c r="T337" s="3509"/>
      <c r="U337" s="3509"/>
      <c r="V337" s="3509"/>
      <c r="W337" s="3509"/>
      <c r="X337" s="3509"/>
      <c r="Y337" s="3509"/>
      <c r="Z337" s="3509"/>
      <c r="AA337" s="3509"/>
      <c r="AB337" s="3509"/>
      <c r="AC337" s="3509"/>
    </row>
    <row r="338" spans="1:29">
      <c r="A338" s="3509"/>
      <c r="B338" s="3509"/>
      <c r="C338" s="3509"/>
      <c r="D338" s="3509"/>
      <c r="E338" s="3509"/>
      <c r="F338" s="3509"/>
      <c r="G338" s="3509"/>
      <c r="H338" s="3509"/>
      <c r="I338" s="3509"/>
      <c r="J338" s="3509"/>
      <c r="K338" s="3510"/>
      <c r="L338" s="3511"/>
      <c r="M338" s="3509"/>
      <c r="N338" s="3509"/>
      <c r="O338" s="3509"/>
      <c r="P338" s="3553"/>
      <c r="Q338" s="3509"/>
      <c r="R338" s="3509"/>
      <c r="S338" s="3509"/>
      <c r="T338" s="3509"/>
      <c r="U338" s="3509"/>
      <c r="V338" s="3509"/>
      <c r="W338" s="3509"/>
      <c r="X338" s="3509"/>
      <c r="Y338" s="3509"/>
      <c r="Z338" s="3509"/>
      <c r="AA338" s="3509"/>
      <c r="AB338" s="3509"/>
      <c r="AC338" s="3509"/>
    </row>
    <row r="339" spans="1:29">
      <c r="A339" s="3509"/>
      <c r="B339" s="3509"/>
      <c r="C339" s="3509"/>
      <c r="D339" s="3509"/>
      <c r="E339" s="3509"/>
      <c r="F339" s="3509"/>
      <c r="G339" s="3509"/>
      <c r="H339" s="3509"/>
      <c r="I339" s="3509"/>
      <c r="J339" s="3509"/>
      <c r="K339" s="3510"/>
      <c r="L339" s="3511"/>
      <c r="M339" s="3509"/>
      <c r="N339" s="3509"/>
      <c r="O339" s="3509"/>
      <c r="P339" s="3553"/>
      <c r="Q339" s="3509"/>
      <c r="R339" s="3509"/>
      <c r="S339" s="3509"/>
      <c r="T339" s="3509"/>
      <c r="U339" s="3509"/>
      <c r="V339" s="3509"/>
      <c r="W339" s="3509"/>
      <c r="X339" s="3509"/>
      <c r="Y339" s="3509"/>
      <c r="Z339" s="3509"/>
      <c r="AA339" s="3509"/>
      <c r="AB339" s="3509"/>
      <c r="AC339" s="3509"/>
    </row>
    <row r="340" spans="1:29">
      <c r="A340" s="3509"/>
      <c r="B340" s="3509"/>
      <c r="C340" s="3509"/>
      <c r="D340" s="3509"/>
      <c r="E340" s="3509"/>
      <c r="F340" s="3509"/>
      <c r="G340" s="3509"/>
      <c r="H340" s="3509"/>
      <c r="I340" s="3509"/>
      <c r="J340" s="3509"/>
      <c r="K340" s="3510"/>
      <c r="L340" s="3511"/>
      <c r="M340" s="3509"/>
      <c r="N340" s="3509"/>
      <c r="O340" s="3509"/>
      <c r="P340" s="3553"/>
      <c r="Q340" s="3509"/>
      <c r="R340" s="3509"/>
      <c r="S340" s="3509"/>
      <c r="T340" s="3509"/>
      <c r="U340" s="3509"/>
      <c r="V340" s="3509"/>
      <c r="W340" s="3509"/>
      <c r="X340" s="3509"/>
      <c r="Y340" s="3509"/>
      <c r="Z340" s="3509"/>
      <c r="AA340" s="3509"/>
      <c r="AB340" s="3509"/>
      <c r="AC340" s="3509"/>
    </row>
    <row r="341" spans="1:29">
      <c r="A341" s="3509"/>
      <c r="B341" s="3509"/>
      <c r="C341" s="3509"/>
      <c r="D341" s="3509"/>
      <c r="E341" s="3509"/>
      <c r="F341" s="3509"/>
      <c r="G341" s="3509"/>
      <c r="H341" s="3509"/>
      <c r="I341" s="3509"/>
      <c r="J341" s="3509"/>
      <c r="K341" s="3510"/>
      <c r="L341" s="3511"/>
      <c r="M341" s="3509"/>
      <c r="N341" s="3509"/>
      <c r="O341" s="3509"/>
      <c r="P341" s="3553"/>
      <c r="Q341" s="3509"/>
      <c r="R341" s="3509"/>
      <c r="S341" s="3509"/>
      <c r="T341" s="3509"/>
      <c r="U341" s="3509"/>
      <c r="V341" s="3509"/>
      <c r="W341" s="3509"/>
      <c r="X341" s="3509"/>
      <c r="Y341" s="3509"/>
      <c r="Z341" s="3509"/>
      <c r="AA341" s="3509"/>
      <c r="AB341" s="3509"/>
      <c r="AC341" s="3509"/>
    </row>
    <row r="342" spans="1:29">
      <c r="A342" s="3509"/>
      <c r="B342" s="3509"/>
      <c r="C342" s="3509"/>
      <c r="D342" s="3509"/>
      <c r="E342" s="3509"/>
      <c r="F342" s="3509"/>
      <c r="G342" s="3509"/>
      <c r="H342" s="3509"/>
      <c r="I342" s="3509"/>
      <c r="J342" s="3509"/>
      <c r="K342" s="3510"/>
      <c r="L342" s="3511"/>
      <c r="M342" s="3509"/>
      <c r="N342" s="3509"/>
      <c r="O342" s="3509"/>
      <c r="P342" s="3553"/>
      <c r="Q342" s="3509"/>
      <c r="R342" s="3509"/>
      <c r="S342" s="3509"/>
      <c r="T342" s="3509"/>
      <c r="U342" s="3509"/>
      <c r="V342" s="3509"/>
      <c r="W342" s="3509"/>
      <c r="X342" s="3509"/>
      <c r="Y342" s="3509"/>
      <c r="Z342" s="3509"/>
      <c r="AA342" s="3509"/>
      <c r="AB342" s="3509"/>
      <c r="AC342" s="3509"/>
    </row>
    <row r="343" spans="1:29">
      <c r="A343" s="3509"/>
      <c r="B343" s="3509"/>
      <c r="C343" s="3509"/>
      <c r="D343" s="3509"/>
      <c r="E343" s="3509"/>
      <c r="F343" s="3509"/>
      <c r="G343" s="3509"/>
      <c r="H343" s="3509"/>
      <c r="I343" s="3509"/>
      <c r="J343" s="3509"/>
      <c r="K343" s="3510"/>
      <c r="L343" s="3511"/>
      <c r="M343" s="3509"/>
      <c r="N343" s="3509"/>
      <c r="O343" s="3509"/>
      <c r="P343" s="3553"/>
      <c r="Q343" s="3509"/>
      <c r="R343" s="3509"/>
      <c r="S343" s="3509"/>
      <c r="T343" s="3509"/>
      <c r="U343" s="3509"/>
      <c r="V343" s="3509"/>
      <c r="W343" s="3509"/>
      <c r="X343" s="3509"/>
      <c r="Y343" s="3509"/>
      <c r="Z343" s="3509"/>
      <c r="AA343" s="3509"/>
      <c r="AB343" s="3509"/>
      <c r="AC343" s="3509"/>
    </row>
    <row r="344" spans="1:29">
      <c r="A344" s="3509"/>
      <c r="B344" s="3509"/>
      <c r="C344" s="3509"/>
      <c r="D344" s="3509"/>
      <c r="E344" s="3509"/>
      <c r="F344" s="3509"/>
      <c r="G344" s="3509"/>
      <c r="H344" s="3509"/>
      <c r="I344" s="3509"/>
      <c r="J344" s="3509"/>
      <c r="K344" s="3510"/>
      <c r="L344" s="3511"/>
      <c r="M344" s="3509"/>
      <c r="N344" s="3509"/>
      <c r="O344" s="3509"/>
      <c r="P344" s="3553"/>
      <c r="Q344" s="3509"/>
      <c r="R344" s="3509"/>
      <c r="S344" s="3509"/>
      <c r="T344" s="3509"/>
      <c r="U344" s="3509"/>
      <c r="V344" s="3509"/>
      <c r="W344" s="3509"/>
      <c r="X344" s="3509"/>
      <c r="Y344" s="3509"/>
      <c r="Z344" s="3509"/>
      <c r="AA344" s="3509"/>
      <c r="AB344" s="3509"/>
      <c r="AC344" s="3509"/>
    </row>
    <row r="345" spans="1:29">
      <c r="A345" s="3509"/>
      <c r="B345" s="3509"/>
      <c r="C345" s="3509"/>
      <c r="D345" s="3509"/>
      <c r="E345" s="3509"/>
      <c r="F345" s="3509"/>
      <c r="G345" s="3509"/>
      <c r="H345" s="3509"/>
      <c r="I345" s="3509"/>
      <c r="J345" s="3509"/>
      <c r="K345" s="3510"/>
      <c r="L345" s="3511"/>
      <c r="M345" s="3509"/>
      <c r="N345" s="3509"/>
      <c r="O345" s="3509"/>
      <c r="P345" s="3553"/>
      <c r="Q345" s="3509"/>
      <c r="R345" s="3509"/>
      <c r="S345" s="3509"/>
      <c r="T345" s="3509"/>
      <c r="U345" s="3509"/>
      <c r="V345" s="3509"/>
      <c r="W345" s="3509"/>
      <c r="X345" s="3509"/>
      <c r="Y345" s="3509"/>
      <c r="Z345" s="3509"/>
      <c r="AA345" s="3509"/>
      <c r="AB345" s="3509"/>
      <c r="AC345" s="3509"/>
    </row>
    <row r="346" spans="1:29">
      <c r="A346" s="3509"/>
      <c r="B346" s="3509"/>
      <c r="C346" s="3509"/>
      <c r="D346" s="3509"/>
      <c r="E346" s="3509"/>
      <c r="F346" s="3509"/>
      <c r="G346" s="3509"/>
      <c r="H346" s="3509"/>
      <c r="I346" s="3509"/>
      <c r="J346" s="3509"/>
      <c r="K346" s="3510"/>
      <c r="L346" s="3511"/>
      <c r="M346" s="3509"/>
      <c r="N346" s="3509"/>
      <c r="O346" s="3509"/>
      <c r="P346" s="3553"/>
      <c r="Q346" s="3509"/>
      <c r="R346" s="3509"/>
      <c r="S346" s="3509"/>
      <c r="T346" s="3509"/>
      <c r="U346" s="3509"/>
      <c r="V346" s="3509"/>
      <c r="W346" s="3509"/>
      <c r="X346" s="3509"/>
      <c r="Y346" s="3509"/>
      <c r="Z346" s="3509"/>
      <c r="AA346" s="3509"/>
      <c r="AB346" s="3509"/>
      <c r="AC346" s="3509"/>
    </row>
    <row r="347" spans="1:29">
      <c r="A347" s="3509"/>
      <c r="B347" s="3509"/>
      <c r="C347" s="3509"/>
      <c r="D347" s="3509"/>
      <c r="E347" s="3509"/>
      <c r="F347" s="3509"/>
      <c r="G347" s="3509"/>
      <c r="H347" s="3509"/>
      <c r="I347" s="3509"/>
      <c r="J347" s="3509"/>
      <c r="K347" s="3510"/>
      <c r="L347" s="3511"/>
      <c r="M347" s="3509"/>
      <c r="N347" s="3509"/>
      <c r="O347" s="3509"/>
      <c r="P347" s="3553"/>
      <c r="Q347" s="3509"/>
      <c r="R347" s="3509"/>
      <c r="S347" s="3509"/>
      <c r="T347" s="3509"/>
      <c r="U347" s="3509"/>
      <c r="V347" s="3509"/>
      <c r="W347" s="3509"/>
      <c r="X347" s="3509"/>
      <c r="Y347" s="3509"/>
      <c r="Z347" s="3509"/>
      <c r="AA347" s="3509"/>
      <c r="AB347" s="3509"/>
      <c r="AC347" s="3509"/>
    </row>
    <row r="348" spans="1:29">
      <c r="A348" s="3509"/>
      <c r="B348" s="3509"/>
      <c r="C348" s="3509"/>
      <c r="D348" s="3509"/>
      <c r="E348" s="3509"/>
      <c r="F348" s="3509"/>
      <c r="G348" s="3509"/>
      <c r="H348" s="3509"/>
      <c r="I348" s="3509"/>
      <c r="J348" s="3509"/>
      <c r="K348" s="3510"/>
      <c r="L348" s="3511"/>
      <c r="M348" s="3509"/>
      <c r="N348" s="3509"/>
      <c r="O348" s="3509"/>
      <c r="P348" s="3553"/>
      <c r="Q348" s="3509"/>
      <c r="R348" s="3509"/>
      <c r="S348" s="3509"/>
      <c r="T348" s="3509"/>
      <c r="U348" s="3509"/>
      <c r="V348" s="3509"/>
      <c r="W348" s="3509"/>
      <c r="X348" s="3509"/>
      <c r="Y348" s="3509"/>
      <c r="Z348" s="3509"/>
      <c r="AA348" s="3509"/>
      <c r="AB348" s="3509"/>
      <c r="AC348" s="3509"/>
    </row>
    <row r="349" spans="1:29">
      <c r="A349" s="3509"/>
      <c r="B349" s="3509"/>
      <c r="C349" s="3509"/>
      <c r="D349" s="3509"/>
      <c r="E349" s="3509"/>
      <c r="F349" s="3509"/>
      <c r="G349" s="3509"/>
      <c r="H349" s="3509"/>
      <c r="I349" s="3509"/>
      <c r="J349" s="3509"/>
      <c r="K349" s="3510"/>
      <c r="L349" s="3511"/>
      <c r="M349" s="3509"/>
      <c r="N349" s="3509"/>
      <c r="O349" s="3509"/>
      <c r="P349" s="3553"/>
      <c r="Q349" s="3509"/>
      <c r="R349" s="3509"/>
      <c r="S349" s="3509"/>
      <c r="T349" s="3509"/>
      <c r="U349" s="3509"/>
      <c r="V349" s="3509"/>
      <c r="W349" s="3509"/>
      <c r="X349" s="3509"/>
      <c r="Y349" s="3509"/>
      <c r="Z349" s="3509"/>
      <c r="AA349" s="3509"/>
      <c r="AB349" s="3509"/>
      <c r="AC349" s="3509"/>
    </row>
    <row r="350" spans="1:29">
      <c r="A350" s="3509"/>
      <c r="B350" s="3509"/>
      <c r="C350" s="3509"/>
      <c r="D350" s="3509"/>
      <c r="E350" s="3509"/>
      <c r="F350" s="3509"/>
      <c r="G350" s="3509"/>
      <c r="H350" s="3509"/>
      <c r="I350" s="3509"/>
      <c r="J350" s="3509"/>
      <c r="K350" s="3510"/>
      <c r="L350" s="3511"/>
      <c r="M350" s="3509"/>
      <c r="N350" s="3509"/>
      <c r="O350" s="3509"/>
      <c r="P350" s="3553"/>
      <c r="Q350" s="3509"/>
      <c r="R350" s="3509"/>
      <c r="S350" s="3509"/>
      <c r="T350" s="3509"/>
      <c r="U350" s="3509"/>
      <c r="V350" s="3509"/>
      <c r="W350" s="3509"/>
      <c r="X350" s="3509"/>
      <c r="Y350" s="3509"/>
      <c r="Z350" s="3509"/>
      <c r="AA350" s="3509"/>
      <c r="AB350" s="3509"/>
      <c r="AC350" s="3509"/>
    </row>
    <row r="351" spans="1:29">
      <c r="A351" s="3509"/>
      <c r="B351" s="3509"/>
      <c r="C351" s="3509"/>
      <c r="D351" s="3509"/>
      <c r="E351" s="3509"/>
      <c r="F351" s="3509"/>
      <c r="G351" s="3509"/>
      <c r="H351" s="3509"/>
      <c r="I351" s="3509"/>
      <c r="J351" s="3509"/>
      <c r="K351" s="3510"/>
      <c r="L351" s="3511"/>
      <c r="M351" s="3509"/>
      <c r="N351" s="3509"/>
      <c r="O351" s="3509"/>
      <c r="P351" s="3553"/>
      <c r="Q351" s="3509"/>
      <c r="R351" s="3509"/>
      <c r="S351" s="3509"/>
      <c r="T351" s="3509"/>
      <c r="U351" s="3509"/>
      <c r="V351" s="3509"/>
      <c r="W351" s="3509"/>
      <c r="X351" s="3509"/>
      <c r="Y351" s="3509"/>
      <c r="Z351" s="3509"/>
      <c r="AA351" s="3509"/>
      <c r="AB351" s="3509"/>
      <c r="AC351" s="3509"/>
    </row>
    <row r="352" spans="1:29">
      <c r="A352" s="3509"/>
      <c r="B352" s="3509"/>
      <c r="C352" s="3509"/>
      <c r="D352" s="3509"/>
      <c r="E352" s="3509"/>
      <c r="F352" s="3509"/>
      <c r="G352" s="3509"/>
      <c r="H352" s="3509"/>
      <c r="I352" s="3509"/>
      <c r="J352" s="3509"/>
      <c r="K352" s="3510"/>
      <c r="L352" s="3511"/>
      <c r="M352" s="3509"/>
      <c r="N352" s="3509"/>
      <c r="O352" s="3509"/>
      <c r="P352" s="3553"/>
      <c r="Q352" s="3509"/>
      <c r="R352" s="3509"/>
      <c r="S352" s="3509"/>
      <c r="T352" s="3509"/>
      <c r="U352" s="3509"/>
      <c r="V352" s="3509"/>
      <c r="W352" s="3509"/>
      <c r="X352" s="3509"/>
      <c r="Y352" s="3509"/>
      <c r="Z352" s="3509"/>
      <c r="AA352" s="3509"/>
      <c r="AB352" s="3509"/>
      <c r="AC352" s="3509"/>
    </row>
    <row r="353" spans="1:29">
      <c r="A353" s="3509"/>
      <c r="B353" s="3509"/>
      <c r="C353" s="3509"/>
      <c r="D353" s="3509"/>
      <c r="E353" s="3509"/>
      <c r="F353" s="3509"/>
      <c r="G353" s="3509"/>
      <c r="H353" s="3509"/>
      <c r="I353" s="3509"/>
      <c r="J353" s="3509"/>
      <c r="K353" s="3510"/>
      <c r="L353" s="3511"/>
      <c r="M353" s="3509"/>
      <c r="N353" s="3509"/>
      <c r="O353" s="3509"/>
      <c r="P353" s="3553"/>
      <c r="Q353" s="3509"/>
      <c r="R353" s="3509"/>
      <c r="S353" s="3509"/>
      <c r="T353" s="3509"/>
      <c r="U353" s="3509"/>
      <c r="V353" s="3509"/>
      <c r="W353" s="3509"/>
      <c r="X353" s="3509"/>
      <c r="Y353" s="3509"/>
      <c r="Z353" s="3509"/>
      <c r="AA353" s="3509"/>
      <c r="AB353" s="3509"/>
      <c r="AC353" s="3509"/>
    </row>
    <row r="354" spans="1:29">
      <c r="A354" s="3509"/>
      <c r="B354" s="3509"/>
      <c r="C354" s="3509"/>
      <c r="D354" s="3509"/>
      <c r="E354" s="3509"/>
      <c r="F354" s="3509"/>
      <c r="G354" s="3509"/>
      <c r="H354" s="3509"/>
      <c r="I354" s="3509"/>
      <c r="J354" s="3509"/>
      <c r="K354" s="3510"/>
      <c r="L354" s="3511"/>
      <c r="M354" s="3509"/>
      <c r="N354" s="3509"/>
      <c r="O354" s="3509"/>
      <c r="P354" s="3553"/>
      <c r="Q354" s="3509"/>
      <c r="R354" s="3509"/>
      <c r="S354" s="3509"/>
      <c r="T354" s="3509"/>
      <c r="U354" s="3509"/>
      <c r="V354" s="3509"/>
      <c r="W354" s="3509"/>
      <c r="X354" s="3509"/>
      <c r="Y354" s="3509"/>
      <c r="Z354" s="3509"/>
      <c r="AA354" s="3509"/>
      <c r="AB354" s="3509"/>
      <c r="AC354" s="3509"/>
    </row>
    <row r="355" spans="1:29">
      <c r="A355" s="3509"/>
      <c r="B355" s="3509"/>
      <c r="C355" s="3509"/>
      <c r="D355" s="3509"/>
      <c r="E355" s="3509"/>
      <c r="F355" s="3509"/>
      <c r="G355" s="3509"/>
      <c r="H355" s="3509"/>
      <c r="I355" s="3509"/>
      <c r="J355" s="3509"/>
      <c r="K355" s="3510"/>
      <c r="L355" s="3511"/>
      <c r="M355" s="3509"/>
      <c r="N355" s="3509"/>
      <c r="O355" s="3509"/>
      <c r="P355" s="3553"/>
      <c r="Q355" s="3509"/>
      <c r="R355" s="3509"/>
      <c r="S355" s="3509"/>
      <c r="T355" s="3509"/>
      <c r="U355" s="3509"/>
      <c r="V355" s="3509"/>
      <c r="W355" s="3509"/>
      <c r="X355" s="3509"/>
      <c r="Y355" s="3509"/>
      <c r="Z355" s="3509"/>
      <c r="AA355" s="3509"/>
      <c r="AB355" s="3509"/>
      <c r="AC355" s="3509"/>
    </row>
    <row r="356" spans="1:29">
      <c r="A356" s="3509"/>
      <c r="B356" s="3509"/>
      <c r="C356" s="3509"/>
      <c r="D356" s="3509"/>
      <c r="E356" s="3509"/>
      <c r="F356" s="3509"/>
      <c r="G356" s="3509"/>
      <c r="H356" s="3509"/>
      <c r="I356" s="3509"/>
      <c r="J356" s="3509"/>
      <c r="K356" s="3510"/>
      <c r="L356" s="3511"/>
      <c r="M356" s="3509"/>
      <c r="N356" s="3509"/>
      <c r="O356" s="3509"/>
      <c r="P356" s="3553"/>
      <c r="Q356" s="3509"/>
      <c r="R356" s="3509"/>
      <c r="S356" s="3509"/>
      <c r="T356" s="3509"/>
      <c r="U356" s="3509"/>
      <c r="V356" s="3509"/>
      <c r="W356" s="3509"/>
      <c r="X356" s="3509"/>
      <c r="Y356" s="3509"/>
      <c r="Z356" s="3509"/>
      <c r="AA356" s="3509"/>
      <c r="AB356" s="3509"/>
      <c r="AC356" s="3509"/>
    </row>
    <row r="357" spans="1:29">
      <c r="A357" s="3509"/>
      <c r="B357" s="3509"/>
      <c r="C357" s="3509"/>
      <c r="D357" s="3509"/>
      <c r="E357" s="3509"/>
      <c r="F357" s="3509"/>
      <c r="G357" s="3509"/>
      <c r="H357" s="3509"/>
      <c r="I357" s="3509"/>
      <c r="J357" s="3509"/>
      <c r="K357" s="3510"/>
      <c r="L357" s="3511"/>
      <c r="M357" s="3509"/>
      <c r="N357" s="3509"/>
      <c r="O357" s="3509"/>
      <c r="P357" s="3553"/>
      <c r="Q357" s="3509"/>
      <c r="R357" s="3509"/>
      <c r="S357" s="3509"/>
      <c r="T357" s="3509"/>
      <c r="U357" s="3509"/>
      <c r="V357" s="3509"/>
      <c r="W357" s="3509"/>
      <c r="X357" s="3509"/>
      <c r="Y357" s="3509"/>
      <c r="Z357" s="3509"/>
      <c r="AA357" s="3509"/>
      <c r="AB357" s="3509"/>
      <c r="AC357" s="3509"/>
    </row>
    <row r="358" spans="1:29">
      <c r="A358" s="3509"/>
      <c r="B358" s="3509"/>
      <c r="C358" s="3509"/>
      <c r="D358" s="3509"/>
      <c r="E358" s="3509"/>
      <c r="F358" s="3509"/>
      <c r="G358" s="3509"/>
      <c r="H358" s="3509"/>
      <c r="I358" s="3509"/>
      <c r="J358" s="3509"/>
      <c r="K358" s="3510"/>
      <c r="L358" s="3511"/>
      <c r="M358" s="3509"/>
      <c r="N358" s="3509"/>
      <c r="O358" s="3509"/>
      <c r="P358" s="3553"/>
      <c r="Q358" s="3509"/>
      <c r="R358" s="3509"/>
      <c r="S358" s="3509"/>
      <c r="T358" s="3509"/>
      <c r="U358" s="3509"/>
      <c r="V358" s="3509"/>
      <c r="W358" s="3509"/>
      <c r="X358" s="3509"/>
      <c r="Y358" s="3509"/>
      <c r="Z358" s="3509"/>
      <c r="AA358" s="3509"/>
      <c r="AB358" s="3509"/>
      <c r="AC358" s="3509"/>
    </row>
    <row r="359" spans="1:29">
      <c r="A359" s="3509"/>
      <c r="B359" s="3509"/>
      <c r="C359" s="3509"/>
      <c r="D359" s="3509"/>
      <c r="E359" s="3509"/>
      <c r="F359" s="3509"/>
      <c r="G359" s="3509"/>
      <c r="H359" s="3509"/>
      <c r="I359" s="3509"/>
      <c r="J359" s="3509"/>
      <c r="K359" s="3510"/>
      <c r="L359" s="3511"/>
      <c r="M359" s="3509"/>
      <c r="N359" s="3509"/>
      <c r="O359" s="3509"/>
      <c r="P359" s="3553"/>
      <c r="Q359" s="3509"/>
      <c r="R359" s="3509"/>
      <c r="S359" s="3509"/>
      <c r="T359" s="3509"/>
      <c r="U359" s="3509"/>
      <c r="V359" s="3509"/>
      <c r="W359" s="3509"/>
      <c r="X359" s="3509"/>
      <c r="Y359" s="3509"/>
      <c r="Z359" s="3509"/>
      <c r="AA359" s="3509"/>
      <c r="AB359" s="3509"/>
      <c r="AC359" s="3509"/>
    </row>
    <row r="360" spans="1:29">
      <c r="A360" s="3509"/>
      <c r="B360" s="3509"/>
      <c r="C360" s="3509"/>
      <c r="D360" s="3509"/>
      <c r="E360" s="3509"/>
      <c r="F360" s="3509"/>
      <c r="G360" s="3509"/>
      <c r="H360" s="3509"/>
      <c r="I360" s="3509"/>
      <c r="J360" s="3509"/>
      <c r="K360" s="3510"/>
      <c r="L360" s="3511"/>
      <c r="M360" s="3509"/>
      <c r="N360" s="3509"/>
      <c r="O360" s="3509"/>
      <c r="P360" s="3553"/>
      <c r="Q360" s="3509"/>
      <c r="R360" s="3509"/>
      <c r="S360" s="3509"/>
      <c r="T360" s="3509"/>
      <c r="U360" s="3509"/>
      <c r="V360" s="3509"/>
      <c r="W360" s="3509"/>
      <c r="X360" s="3509"/>
      <c r="Y360" s="3509"/>
      <c r="Z360" s="3509"/>
      <c r="AA360" s="3509"/>
      <c r="AB360" s="3509"/>
      <c r="AC360" s="3509"/>
    </row>
    <row r="361" spans="1:29">
      <c r="A361" s="3509"/>
      <c r="B361" s="3509"/>
      <c r="C361" s="3509"/>
      <c r="D361" s="3509"/>
      <c r="E361" s="3509"/>
      <c r="F361" s="3509"/>
      <c r="G361" s="3509"/>
      <c r="H361" s="3509"/>
      <c r="I361" s="3509"/>
      <c r="J361" s="3509"/>
      <c r="K361" s="3510"/>
      <c r="L361" s="3511"/>
      <c r="M361" s="3509"/>
      <c r="N361" s="3509"/>
      <c r="O361" s="3509"/>
      <c r="P361" s="3553"/>
      <c r="Q361" s="3509"/>
      <c r="R361" s="3509"/>
      <c r="S361" s="3509"/>
      <c r="T361" s="3509"/>
      <c r="U361" s="3509"/>
      <c r="V361" s="3509"/>
      <c r="W361" s="3509"/>
      <c r="X361" s="3509"/>
      <c r="Y361" s="3509"/>
      <c r="Z361" s="3509"/>
      <c r="AA361" s="3509"/>
      <c r="AB361" s="3509"/>
      <c r="AC361" s="3509"/>
    </row>
    <row r="362" spans="1:29">
      <c r="A362" s="3509"/>
      <c r="B362" s="3509"/>
      <c r="C362" s="3509"/>
      <c r="D362" s="3509"/>
      <c r="E362" s="3509"/>
      <c r="F362" s="3509"/>
      <c r="G362" s="3509"/>
      <c r="H362" s="3509"/>
      <c r="I362" s="3509"/>
      <c r="J362" s="3509"/>
      <c r="K362" s="3510"/>
      <c r="L362" s="3511"/>
      <c r="M362" s="3509"/>
      <c r="N362" s="3509"/>
      <c r="O362" s="3509"/>
      <c r="P362" s="3553"/>
      <c r="Q362" s="3509"/>
      <c r="R362" s="3509"/>
      <c r="S362" s="3509"/>
      <c r="T362" s="3509"/>
      <c r="U362" s="3509"/>
      <c r="V362" s="3509"/>
      <c r="W362" s="3509"/>
      <c r="X362" s="3509"/>
      <c r="Y362" s="3509"/>
      <c r="Z362" s="3509"/>
      <c r="AA362" s="3509"/>
      <c r="AB362" s="3509"/>
      <c r="AC362" s="3509"/>
    </row>
    <row r="363" spans="1:29">
      <c r="A363" s="3509"/>
      <c r="B363" s="3509"/>
      <c r="C363" s="3509"/>
      <c r="D363" s="3509"/>
      <c r="E363" s="3509"/>
      <c r="F363" s="3509"/>
      <c r="G363" s="3509"/>
      <c r="H363" s="3509"/>
      <c r="I363" s="3509"/>
      <c r="J363" s="3509"/>
      <c r="K363" s="3510"/>
      <c r="L363" s="3511"/>
      <c r="M363" s="3509"/>
      <c r="N363" s="3509"/>
      <c r="O363" s="3509"/>
      <c r="P363" s="3553"/>
      <c r="Q363" s="3509"/>
      <c r="R363" s="3509"/>
      <c r="S363" s="3509"/>
      <c r="T363" s="3509"/>
      <c r="U363" s="3509"/>
      <c r="V363" s="3509"/>
      <c r="W363" s="3509"/>
      <c r="X363" s="3509"/>
      <c r="Y363" s="3509"/>
      <c r="Z363" s="3509"/>
      <c r="AA363" s="3509"/>
      <c r="AB363" s="3509"/>
      <c r="AC363" s="3509"/>
    </row>
    <row r="364" spans="1:29">
      <c r="A364" s="3509"/>
      <c r="B364" s="3509"/>
      <c r="C364" s="3509"/>
      <c r="D364" s="3509"/>
      <c r="E364" s="3509"/>
      <c r="F364" s="3509"/>
      <c r="G364" s="3509"/>
      <c r="H364" s="3509"/>
      <c r="I364" s="3509"/>
      <c r="J364" s="3509"/>
      <c r="K364" s="3510"/>
      <c r="L364" s="3511"/>
      <c r="M364" s="3509"/>
      <c r="N364" s="3509"/>
      <c r="O364" s="3509"/>
      <c r="P364" s="3553"/>
      <c r="Q364" s="3509"/>
      <c r="R364" s="3509"/>
      <c r="S364" s="3509"/>
      <c r="T364" s="3509"/>
      <c r="U364" s="3509"/>
      <c r="V364" s="3509"/>
      <c r="W364" s="3509"/>
      <c r="X364" s="3509"/>
      <c r="Y364" s="3509"/>
      <c r="Z364" s="3509"/>
      <c r="AA364" s="3509"/>
      <c r="AB364" s="3509"/>
      <c r="AC364" s="3509"/>
    </row>
    <row r="365" spans="1:29">
      <c r="A365" s="3509"/>
      <c r="B365" s="3509"/>
      <c r="C365" s="3509"/>
      <c r="D365" s="3509"/>
      <c r="E365" s="3509"/>
      <c r="F365" s="3509"/>
      <c r="G365" s="3509"/>
      <c r="H365" s="3509"/>
      <c r="I365" s="3509"/>
      <c r="J365" s="3509"/>
      <c r="K365" s="3510"/>
      <c r="L365" s="3511"/>
      <c r="M365" s="3509"/>
      <c r="N365" s="3509"/>
      <c r="O365" s="3509"/>
      <c r="P365" s="3553"/>
      <c r="Q365" s="3509"/>
      <c r="R365" s="3509"/>
      <c r="S365" s="3509"/>
      <c r="T365" s="3509"/>
      <c r="U365" s="3509"/>
      <c r="V365" s="3509"/>
      <c r="W365" s="3509"/>
      <c r="X365" s="3509"/>
      <c r="Y365" s="3509"/>
      <c r="Z365" s="3509"/>
      <c r="AA365" s="3509"/>
      <c r="AB365" s="3509"/>
      <c r="AC365" s="3509"/>
    </row>
    <row r="366" spans="1:29">
      <c r="A366" s="3509"/>
      <c r="B366" s="3509"/>
      <c r="C366" s="3509"/>
      <c r="D366" s="3509"/>
      <c r="E366" s="3509"/>
      <c r="F366" s="3509"/>
      <c r="G366" s="3509"/>
      <c r="H366" s="3509"/>
      <c r="I366" s="3509"/>
      <c r="J366" s="3509"/>
      <c r="K366" s="3510"/>
      <c r="L366" s="3511"/>
      <c r="M366" s="3509"/>
      <c r="N366" s="3509"/>
      <c r="O366" s="3509"/>
      <c r="P366" s="3553"/>
      <c r="Q366" s="3509"/>
      <c r="R366" s="3509"/>
      <c r="S366" s="3509"/>
      <c r="T366" s="3509"/>
      <c r="U366" s="3509"/>
      <c r="V366" s="3509"/>
      <c r="W366" s="3509"/>
      <c r="X366" s="3509"/>
      <c r="Y366" s="3509"/>
      <c r="Z366" s="3509"/>
      <c r="AA366" s="3509"/>
      <c r="AB366" s="3509"/>
      <c r="AC366" s="3509"/>
    </row>
    <row r="367" spans="1:29">
      <c r="A367" s="3509"/>
      <c r="B367" s="3509"/>
      <c r="C367" s="3509"/>
      <c r="D367" s="3509"/>
      <c r="E367" s="3509"/>
      <c r="F367" s="3509"/>
      <c r="G367" s="3509"/>
      <c r="H367" s="3509"/>
      <c r="I367" s="3509"/>
      <c r="J367" s="3509"/>
      <c r="K367" s="3510"/>
      <c r="L367" s="3511"/>
      <c r="M367" s="3509"/>
      <c r="N367" s="3509"/>
      <c r="O367" s="3509"/>
      <c r="P367" s="3553"/>
      <c r="Q367" s="3509"/>
      <c r="R367" s="3509"/>
      <c r="S367" s="3509"/>
      <c r="T367" s="3509"/>
      <c r="U367" s="3509"/>
      <c r="V367" s="3509"/>
      <c r="W367" s="3509"/>
      <c r="X367" s="3509"/>
      <c r="Y367" s="3509"/>
      <c r="Z367" s="3509"/>
      <c r="AA367" s="3509"/>
      <c r="AB367" s="3509"/>
      <c r="AC367" s="3509"/>
    </row>
    <row r="368" spans="1:29">
      <c r="A368" s="3509"/>
      <c r="B368" s="3509"/>
      <c r="C368" s="3509"/>
      <c r="D368" s="3509"/>
      <c r="E368" s="3509"/>
      <c r="F368" s="3509"/>
      <c r="G368" s="3509"/>
      <c r="H368" s="3509"/>
      <c r="I368" s="3509"/>
      <c r="J368" s="3509"/>
      <c r="K368" s="3510"/>
      <c r="L368" s="3511"/>
      <c r="M368" s="3509"/>
      <c r="N368" s="3509"/>
      <c r="O368" s="3509"/>
      <c r="P368" s="3553"/>
      <c r="Q368" s="3509"/>
      <c r="R368" s="3509"/>
      <c r="S368" s="3509"/>
      <c r="T368" s="3509"/>
      <c r="U368" s="3509"/>
      <c r="V368" s="3509"/>
      <c r="W368" s="3509"/>
      <c r="X368" s="3509"/>
      <c r="Y368" s="3509"/>
      <c r="Z368" s="3509"/>
      <c r="AA368" s="3509"/>
      <c r="AB368" s="3509"/>
      <c r="AC368" s="3509"/>
    </row>
    <row r="369" spans="1:29">
      <c r="A369" s="3509"/>
      <c r="B369" s="3509"/>
      <c r="C369" s="3509"/>
      <c r="D369" s="3509"/>
      <c r="E369" s="3509"/>
      <c r="F369" s="3509"/>
      <c r="G369" s="3509"/>
      <c r="H369" s="3509"/>
      <c r="I369" s="3509"/>
      <c r="J369" s="3509"/>
      <c r="K369" s="3510"/>
      <c r="L369" s="3511"/>
      <c r="M369" s="3509"/>
      <c r="N369" s="3509"/>
      <c r="O369" s="3509"/>
      <c r="P369" s="3553"/>
      <c r="Q369" s="3509"/>
      <c r="R369" s="3509"/>
      <c r="S369" s="3509"/>
      <c r="T369" s="3509"/>
      <c r="U369" s="3509"/>
      <c r="V369" s="3509"/>
      <c r="W369" s="3509"/>
      <c r="X369" s="3509"/>
      <c r="Y369" s="3509"/>
      <c r="Z369" s="3509"/>
      <c r="AA369" s="3509"/>
      <c r="AB369" s="3509"/>
      <c r="AC369" s="3509"/>
    </row>
    <row r="370" spans="1:29">
      <c r="A370" s="3509"/>
      <c r="B370" s="3509"/>
      <c r="C370" s="3509"/>
      <c r="D370" s="3509"/>
      <c r="E370" s="3509"/>
      <c r="F370" s="3509"/>
      <c r="G370" s="3509"/>
      <c r="H370" s="3509"/>
      <c r="I370" s="3509"/>
      <c r="J370" s="3509"/>
      <c r="K370" s="3510"/>
      <c r="L370" s="3511"/>
      <c r="M370" s="3509"/>
      <c r="N370" s="3509"/>
      <c r="O370" s="3509"/>
      <c r="P370" s="3553"/>
      <c r="Q370" s="3509"/>
      <c r="R370" s="3509"/>
      <c r="S370" s="3509"/>
      <c r="T370" s="3509"/>
      <c r="U370" s="3509"/>
      <c r="V370" s="3509"/>
      <c r="W370" s="3509"/>
      <c r="X370" s="3509"/>
      <c r="Y370" s="3509"/>
      <c r="Z370" s="3509"/>
      <c r="AA370" s="3509"/>
      <c r="AB370" s="3509"/>
      <c r="AC370" s="3509"/>
    </row>
    <row r="371" spans="1:29">
      <c r="A371" s="3509"/>
      <c r="B371" s="3509"/>
      <c r="C371" s="3509"/>
      <c r="D371" s="3509"/>
      <c r="E371" s="3509"/>
      <c r="F371" s="3509"/>
      <c r="G371" s="3509"/>
      <c r="H371" s="3509"/>
      <c r="I371" s="3509"/>
      <c r="J371" s="3509"/>
      <c r="K371" s="3510"/>
      <c r="L371" s="3511"/>
      <c r="M371" s="3509"/>
      <c r="N371" s="3509"/>
      <c r="O371" s="3509"/>
      <c r="P371" s="3553"/>
      <c r="Q371" s="3509"/>
      <c r="R371" s="3509"/>
      <c r="S371" s="3509"/>
      <c r="T371" s="3509"/>
      <c r="U371" s="3509"/>
      <c r="V371" s="3509"/>
      <c r="W371" s="3509"/>
      <c r="X371" s="3509"/>
      <c r="Y371" s="3509"/>
      <c r="Z371" s="3509"/>
      <c r="AA371" s="3509"/>
      <c r="AB371" s="3509"/>
      <c r="AC371" s="3509"/>
    </row>
    <row r="372" spans="1:29">
      <c r="A372" s="3509"/>
      <c r="B372" s="3509"/>
      <c r="C372" s="3509"/>
      <c r="D372" s="3509"/>
      <c r="E372" s="3509"/>
      <c r="F372" s="3509"/>
      <c r="G372" s="3509"/>
      <c r="H372" s="3509"/>
      <c r="I372" s="3509"/>
      <c r="J372" s="3509"/>
      <c r="K372" s="3510"/>
      <c r="L372" s="3511"/>
      <c r="M372" s="3509"/>
      <c r="N372" s="3509"/>
      <c r="O372" s="3509"/>
      <c r="P372" s="3553"/>
      <c r="Q372" s="3509"/>
      <c r="R372" s="3509"/>
      <c r="S372" s="3509"/>
      <c r="T372" s="3509"/>
      <c r="U372" s="3509"/>
      <c r="V372" s="3509"/>
      <c r="W372" s="3509"/>
      <c r="X372" s="3509"/>
      <c r="Y372" s="3509"/>
      <c r="Z372" s="3509"/>
      <c r="AA372" s="3509"/>
      <c r="AB372" s="3509"/>
      <c r="AC372" s="3509"/>
    </row>
    <row r="373" spans="1:29">
      <c r="A373" s="3509"/>
      <c r="B373" s="3509"/>
      <c r="C373" s="3509"/>
      <c r="D373" s="3509"/>
      <c r="E373" s="3509"/>
      <c r="F373" s="3509"/>
      <c r="G373" s="3509"/>
      <c r="H373" s="3509"/>
      <c r="I373" s="3509"/>
      <c r="J373" s="3509"/>
      <c r="K373" s="3510"/>
      <c r="L373" s="3511"/>
      <c r="M373" s="3509"/>
      <c r="N373" s="3509"/>
      <c r="O373" s="3509"/>
      <c r="P373" s="3553"/>
      <c r="Q373" s="3509"/>
      <c r="R373" s="3509"/>
      <c r="S373" s="3509"/>
      <c r="T373" s="3509"/>
      <c r="U373" s="3509"/>
      <c r="V373" s="3509"/>
      <c r="W373" s="3509"/>
      <c r="X373" s="3509"/>
      <c r="Y373" s="3509"/>
      <c r="Z373" s="3509"/>
      <c r="AA373" s="3509"/>
      <c r="AB373" s="3509"/>
      <c r="AC373" s="3509"/>
    </row>
    <row r="374" spans="1:29">
      <c r="A374" s="3509"/>
      <c r="B374" s="3509"/>
      <c r="C374" s="3509"/>
      <c r="D374" s="3509"/>
      <c r="E374" s="3509"/>
      <c r="F374" s="3509"/>
      <c r="G374" s="3509"/>
      <c r="H374" s="3509"/>
      <c r="I374" s="3509"/>
      <c r="J374" s="3509"/>
      <c r="K374" s="3510"/>
      <c r="L374" s="3511"/>
      <c r="M374" s="3509"/>
      <c r="N374" s="3509"/>
      <c r="O374" s="3509"/>
      <c r="P374" s="3553"/>
      <c r="Q374" s="3509"/>
      <c r="R374" s="3509"/>
      <c r="S374" s="3509"/>
      <c r="T374" s="3509"/>
      <c r="U374" s="3509"/>
      <c r="V374" s="3509"/>
      <c r="W374" s="3509"/>
      <c r="X374" s="3509"/>
      <c r="Y374" s="3509"/>
      <c r="Z374" s="3509"/>
      <c r="AA374" s="3509"/>
      <c r="AB374" s="3509"/>
      <c r="AC374" s="3509"/>
    </row>
    <row r="375" spans="1:29">
      <c r="A375" s="3509"/>
      <c r="B375" s="3509"/>
      <c r="C375" s="3509"/>
      <c r="D375" s="3509"/>
      <c r="E375" s="3509"/>
      <c r="F375" s="3509"/>
      <c r="G375" s="3509"/>
      <c r="H375" s="3509"/>
      <c r="I375" s="3509"/>
      <c r="J375" s="3509"/>
      <c r="K375" s="3510"/>
      <c r="L375" s="3511"/>
      <c r="M375" s="3509"/>
      <c r="N375" s="3509"/>
      <c r="O375" s="3509"/>
      <c r="P375" s="3553"/>
      <c r="Q375" s="3509"/>
      <c r="R375" s="3509"/>
      <c r="S375" s="3509"/>
      <c r="T375" s="3509"/>
      <c r="U375" s="3509"/>
      <c r="V375" s="3509"/>
      <c r="W375" s="3509"/>
      <c r="X375" s="3509"/>
      <c r="Y375" s="3509"/>
      <c r="Z375" s="3509"/>
      <c r="AA375" s="3509"/>
      <c r="AB375" s="3509"/>
      <c r="AC375" s="3509"/>
    </row>
    <row r="376" spans="1:29">
      <c r="A376" s="3509"/>
      <c r="B376" s="3509"/>
      <c r="C376" s="3509"/>
      <c r="D376" s="3509"/>
      <c r="E376" s="3509"/>
      <c r="F376" s="3509"/>
      <c r="G376" s="3509"/>
      <c r="H376" s="3509"/>
      <c r="I376" s="3509"/>
      <c r="J376" s="3509"/>
      <c r="K376" s="3510"/>
      <c r="L376" s="3511"/>
      <c r="M376" s="3509"/>
      <c r="N376" s="3509"/>
      <c r="O376" s="3509"/>
      <c r="P376" s="3553"/>
      <c r="Q376" s="3509"/>
      <c r="R376" s="3509"/>
      <c r="S376" s="3509"/>
      <c r="T376" s="3509"/>
      <c r="U376" s="3509"/>
      <c r="V376" s="3509"/>
      <c r="W376" s="3509"/>
      <c r="X376" s="3509"/>
      <c r="Y376" s="3509"/>
      <c r="Z376" s="3509"/>
      <c r="AA376" s="3509"/>
      <c r="AB376" s="3509"/>
      <c r="AC376" s="3509"/>
    </row>
    <row r="377" spans="1:29">
      <c r="A377" s="3509"/>
      <c r="B377" s="3509"/>
      <c r="C377" s="3509"/>
      <c r="D377" s="3509"/>
      <c r="E377" s="3509"/>
      <c r="F377" s="3509"/>
      <c r="G377" s="3509"/>
      <c r="H377" s="3509"/>
      <c r="I377" s="3509"/>
      <c r="J377" s="3509"/>
      <c r="K377" s="3510"/>
      <c r="L377" s="3511"/>
      <c r="M377" s="3509"/>
      <c r="N377" s="3509"/>
      <c r="O377" s="3509"/>
      <c r="P377" s="3553"/>
      <c r="Q377" s="3509"/>
      <c r="R377" s="3509"/>
      <c r="S377" s="3509"/>
      <c r="T377" s="3509"/>
      <c r="U377" s="3509"/>
      <c r="V377" s="3509"/>
      <c r="W377" s="3509"/>
      <c r="X377" s="3509"/>
      <c r="Y377" s="3509"/>
      <c r="Z377" s="3509"/>
      <c r="AA377" s="3509"/>
      <c r="AB377" s="3509"/>
      <c r="AC377" s="3509"/>
    </row>
    <row r="378" spans="1:29">
      <c r="A378" s="3509"/>
      <c r="B378" s="3509"/>
      <c r="C378" s="3509"/>
      <c r="D378" s="3509"/>
      <c r="E378" s="3509"/>
      <c r="F378" s="3509"/>
      <c r="G378" s="3509"/>
      <c r="H378" s="3509"/>
      <c r="I378" s="3509"/>
      <c r="J378" s="3509"/>
      <c r="K378" s="3510"/>
      <c r="L378" s="3511"/>
      <c r="M378" s="3509"/>
      <c r="N378" s="3509"/>
      <c r="O378" s="3509"/>
      <c r="P378" s="3553"/>
      <c r="Q378" s="3509"/>
      <c r="R378" s="3509"/>
      <c r="S378" s="3509"/>
      <c r="T378" s="3509"/>
      <c r="U378" s="3509"/>
      <c r="V378" s="3509"/>
      <c r="W378" s="3509"/>
      <c r="X378" s="3509"/>
      <c r="Y378" s="3509"/>
      <c r="Z378" s="3509"/>
      <c r="AA378" s="3509"/>
      <c r="AB378" s="3509"/>
      <c r="AC378" s="3509"/>
    </row>
    <row r="379" spans="1:29">
      <c r="A379" s="3509"/>
      <c r="B379" s="3509"/>
      <c r="C379" s="3509"/>
      <c r="D379" s="3509"/>
      <c r="E379" s="3509"/>
      <c r="F379" s="3509"/>
      <c r="G379" s="3509"/>
      <c r="H379" s="3509"/>
      <c r="I379" s="3509"/>
      <c r="J379" s="3509"/>
      <c r="K379" s="3510"/>
      <c r="L379" s="3511"/>
      <c r="M379" s="3509"/>
      <c r="N379" s="3509"/>
      <c r="O379" s="3509"/>
      <c r="P379" s="3553"/>
      <c r="Q379" s="3509"/>
      <c r="R379" s="3509"/>
      <c r="S379" s="3509"/>
      <c r="T379" s="3509"/>
      <c r="U379" s="3509"/>
      <c r="V379" s="3509"/>
      <c r="W379" s="3509"/>
      <c r="X379" s="3509"/>
      <c r="Y379" s="3509"/>
      <c r="Z379" s="3509"/>
      <c r="AA379" s="3509"/>
      <c r="AB379" s="3509"/>
      <c r="AC379" s="3509"/>
    </row>
    <row r="380" spans="1:29">
      <c r="A380" s="3509"/>
      <c r="B380" s="3509"/>
      <c r="C380" s="3509"/>
      <c r="D380" s="3509"/>
      <c r="E380" s="3509"/>
      <c r="F380" s="3509"/>
      <c r="G380" s="3509"/>
      <c r="H380" s="3509"/>
      <c r="I380" s="3509"/>
      <c r="J380" s="3509"/>
      <c r="K380" s="3510"/>
      <c r="L380" s="3511"/>
      <c r="M380" s="3509"/>
      <c r="N380" s="3509"/>
      <c r="O380" s="3509"/>
      <c r="P380" s="3553"/>
      <c r="Q380" s="3509"/>
      <c r="R380" s="3509"/>
      <c r="S380" s="3509"/>
      <c r="T380" s="3509"/>
      <c r="U380" s="3509"/>
      <c r="V380" s="3509"/>
      <c r="W380" s="3509"/>
      <c r="X380" s="3509"/>
      <c r="Y380" s="3509"/>
      <c r="Z380" s="3509"/>
      <c r="AA380" s="3509"/>
      <c r="AB380" s="3509"/>
      <c r="AC380" s="3509"/>
    </row>
    <row r="381" spans="1:29">
      <c r="A381" s="3509"/>
      <c r="B381" s="3509"/>
      <c r="C381" s="3509"/>
      <c r="D381" s="3509"/>
      <c r="E381" s="3509"/>
      <c r="F381" s="3509"/>
      <c r="G381" s="3509"/>
      <c r="H381" s="3509"/>
      <c r="I381" s="3509"/>
      <c r="J381" s="3509"/>
      <c r="K381" s="3510"/>
      <c r="L381" s="3511"/>
      <c r="M381" s="3509"/>
      <c r="N381" s="3509"/>
      <c r="O381" s="3509"/>
      <c r="P381" s="3553"/>
      <c r="Q381" s="3509"/>
      <c r="R381" s="3509"/>
      <c r="S381" s="3509"/>
      <c r="T381" s="3509"/>
      <c r="U381" s="3509"/>
      <c r="V381" s="3509"/>
      <c r="W381" s="3509"/>
      <c r="X381" s="3509"/>
      <c r="Y381" s="3509"/>
      <c r="Z381" s="3509"/>
      <c r="AA381" s="3509"/>
      <c r="AB381" s="3509"/>
      <c r="AC381" s="3509"/>
    </row>
    <row r="382" spans="1:29">
      <c r="A382" s="3509"/>
      <c r="B382" s="3509"/>
      <c r="C382" s="3509"/>
      <c r="D382" s="3509"/>
      <c r="E382" s="3509"/>
      <c r="F382" s="3509"/>
      <c r="G382" s="3509"/>
      <c r="H382" s="3509"/>
      <c r="I382" s="3509"/>
      <c r="J382" s="3509"/>
      <c r="K382" s="3510"/>
      <c r="L382" s="3511"/>
      <c r="M382" s="3509"/>
      <c r="N382" s="3509"/>
      <c r="O382" s="3509"/>
      <c r="P382" s="3553"/>
      <c r="Q382" s="3509"/>
      <c r="R382" s="3509"/>
      <c r="S382" s="3509"/>
      <c r="T382" s="3509"/>
      <c r="U382" s="3509"/>
      <c r="V382" s="3509"/>
      <c r="W382" s="3509"/>
      <c r="X382" s="3509"/>
      <c r="Y382" s="3509"/>
      <c r="Z382" s="3509"/>
      <c r="AA382" s="3509"/>
      <c r="AB382" s="3509"/>
      <c r="AC382" s="3509"/>
    </row>
    <row r="383" spans="1:29">
      <c r="A383" s="3509"/>
      <c r="B383" s="3509"/>
      <c r="C383" s="3509"/>
      <c r="D383" s="3509"/>
      <c r="E383" s="3509"/>
      <c r="F383" s="3509"/>
      <c r="G383" s="3509"/>
      <c r="H383" s="3509"/>
      <c r="I383" s="3509"/>
      <c r="J383" s="3509"/>
      <c r="K383" s="3510"/>
      <c r="L383" s="3511"/>
      <c r="M383" s="3509"/>
      <c r="N383" s="3509"/>
      <c r="O383" s="3509"/>
      <c r="P383" s="3553"/>
      <c r="Q383" s="3509"/>
      <c r="R383" s="3509"/>
      <c r="S383" s="3509"/>
      <c r="T383" s="3509"/>
      <c r="U383" s="3509"/>
      <c r="V383" s="3509"/>
      <c r="W383" s="3509"/>
      <c r="X383" s="3509"/>
      <c r="Y383" s="3509"/>
      <c r="Z383" s="3509"/>
      <c r="AA383" s="3509"/>
      <c r="AB383" s="3509"/>
      <c r="AC383" s="3509"/>
    </row>
    <row r="384" spans="1:29">
      <c r="A384" s="3509"/>
      <c r="B384" s="3509"/>
      <c r="C384" s="3509"/>
      <c r="D384" s="3509"/>
      <c r="E384" s="3509"/>
      <c r="F384" s="3509"/>
      <c r="G384" s="3509"/>
      <c r="H384" s="3509"/>
      <c r="I384" s="3509"/>
      <c r="J384" s="3509"/>
      <c r="K384" s="3510"/>
      <c r="L384" s="3511"/>
      <c r="M384" s="3509"/>
      <c r="N384" s="3509"/>
      <c r="O384" s="3509"/>
      <c r="P384" s="3553"/>
      <c r="Q384" s="3509"/>
      <c r="R384" s="3509"/>
      <c r="S384" s="3509"/>
      <c r="T384" s="3509"/>
      <c r="U384" s="3509"/>
      <c r="V384" s="3509"/>
      <c r="W384" s="3509"/>
      <c r="X384" s="3509"/>
      <c r="Y384" s="3509"/>
      <c r="Z384" s="3509"/>
      <c r="AA384" s="3509"/>
      <c r="AB384" s="3509"/>
      <c r="AC384" s="3509"/>
    </row>
    <row r="385" spans="1:29">
      <c r="A385" s="3509"/>
      <c r="B385" s="3509"/>
      <c r="C385" s="3509"/>
      <c r="D385" s="3509"/>
      <c r="E385" s="3509"/>
      <c r="F385" s="3509"/>
      <c r="G385" s="3509"/>
      <c r="H385" s="3509"/>
      <c r="I385" s="3509"/>
      <c r="J385" s="3509"/>
      <c r="K385" s="3510"/>
      <c r="L385" s="3511"/>
      <c r="M385" s="3509"/>
      <c r="N385" s="3509"/>
      <c r="O385" s="3509"/>
      <c r="P385" s="3553"/>
      <c r="Q385" s="3509"/>
      <c r="R385" s="3509"/>
      <c r="S385" s="3509"/>
      <c r="T385" s="3509"/>
      <c r="U385" s="3509"/>
      <c r="V385" s="3509"/>
      <c r="W385" s="3509"/>
      <c r="X385" s="3509"/>
      <c r="Y385" s="3509"/>
      <c r="Z385" s="3509"/>
      <c r="AA385" s="3509"/>
      <c r="AB385" s="3509"/>
      <c r="AC385" s="3509"/>
    </row>
    <row r="386" spans="1:29">
      <c r="A386" s="3509"/>
      <c r="B386" s="3509"/>
      <c r="C386" s="3509"/>
      <c r="D386" s="3509"/>
      <c r="E386" s="3509"/>
      <c r="F386" s="3509"/>
      <c r="G386" s="3509"/>
      <c r="H386" s="3509"/>
      <c r="I386" s="3509"/>
      <c r="J386" s="3509"/>
      <c r="K386" s="3510"/>
      <c r="L386" s="3511"/>
      <c r="M386" s="3509"/>
      <c r="N386" s="3509"/>
      <c r="O386" s="3509"/>
      <c r="P386" s="3553"/>
      <c r="Q386" s="3509"/>
      <c r="R386" s="3509"/>
      <c r="S386" s="3509"/>
      <c r="T386" s="3509"/>
      <c r="U386" s="3509"/>
      <c r="V386" s="3509"/>
      <c r="W386" s="3509"/>
      <c r="X386" s="3509"/>
      <c r="Y386" s="3509"/>
      <c r="Z386" s="3509"/>
      <c r="AA386" s="3509"/>
      <c r="AB386" s="3509"/>
      <c r="AC386" s="3509"/>
    </row>
    <row r="387" spans="1:29">
      <c r="A387" s="3509"/>
      <c r="B387" s="3509"/>
      <c r="C387" s="3509"/>
      <c r="D387" s="3509"/>
      <c r="E387" s="3509"/>
      <c r="F387" s="3509"/>
      <c r="G387" s="3509"/>
      <c r="H387" s="3509"/>
      <c r="I387" s="3509"/>
      <c r="J387" s="3509"/>
      <c r="K387" s="3510"/>
      <c r="L387" s="3511"/>
      <c r="M387" s="3509"/>
      <c r="N387" s="3509"/>
      <c r="O387" s="3509"/>
      <c r="P387" s="3553"/>
      <c r="Q387" s="3509"/>
      <c r="R387" s="3509"/>
      <c r="S387" s="3509"/>
      <c r="T387" s="3509"/>
      <c r="U387" s="3509"/>
      <c r="V387" s="3509"/>
      <c r="W387" s="3509"/>
      <c r="X387" s="3509"/>
      <c r="Y387" s="3509"/>
      <c r="Z387" s="3509"/>
      <c r="AA387" s="3509"/>
      <c r="AB387" s="3509"/>
      <c r="AC387" s="3509"/>
    </row>
    <row r="388" spans="1:29">
      <c r="A388" s="3509"/>
      <c r="B388" s="3509"/>
      <c r="C388" s="3509"/>
      <c r="D388" s="3509"/>
      <c r="E388" s="3509"/>
      <c r="F388" s="3509"/>
      <c r="G388" s="3509"/>
      <c r="H388" s="3509"/>
      <c r="I388" s="3509"/>
      <c r="J388" s="3509"/>
      <c r="K388" s="3510"/>
      <c r="L388" s="3511"/>
      <c r="M388" s="3509"/>
      <c r="N388" s="3509"/>
      <c r="O388" s="3509"/>
      <c r="P388" s="3553"/>
      <c r="Q388" s="3509"/>
      <c r="R388" s="3509"/>
      <c r="S388" s="3509"/>
      <c r="T388" s="3509"/>
      <c r="U388" s="3509"/>
      <c r="V388" s="3509"/>
      <c r="W388" s="3509"/>
      <c r="X388" s="3509"/>
      <c r="Y388" s="3509"/>
      <c r="Z388" s="3509"/>
      <c r="AA388" s="3509"/>
      <c r="AB388" s="3509"/>
      <c r="AC388" s="3509"/>
    </row>
    <row r="389" spans="1:29">
      <c r="A389" s="3509"/>
      <c r="B389" s="3509"/>
      <c r="C389" s="3509"/>
      <c r="D389" s="3509"/>
      <c r="E389" s="3509"/>
      <c r="F389" s="3509"/>
      <c r="G389" s="3509"/>
      <c r="H389" s="3509"/>
      <c r="I389" s="3509"/>
      <c r="J389" s="3509"/>
      <c r="K389" s="3510"/>
      <c r="L389" s="3511"/>
      <c r="M389" s="3509"/>
      <c r="N389" s="3509"/>
      <c r="O389" s="3509"/>
      <c r="P389" s="3553"/>
      <c r="Q389" s="3509"/>
      <c r="R389" s="3509"/>
      <c r="S389" s="3509"/>
      <c r="T389" s="3509"/>
      <c r="U389" s="3509"/>
      <c r="V389" s="3509"/>
      <c r="W389" s="3509"/>
      <c r="X389" s="3509"/>
      <c r="Y389" s="3509"/>
      <c r="Z389" s="3509"/>
      <c r="AA389" s="3509"/>
      <c r="AB389" s="3509"/>
      <c r="AC389" s="3509"/>
    </row>
    <row r="390" spans="1:29">
      <c r="A390" s="3509"/>
      <c r="B390" s="3509"/>
      <c r="C390" s="3509"/>
      <c r="D390" s="3509"/>
      <c r="E390" s="3509"/>
      <c r="F390" s="3509"/>
      <c r="G390" s="3509"/>
      <c r="H390" s="3509"/>
      <c r="I390" s="3509"/>
      <c r="J390" s="3509"/>
      <c r="K390" s="3510"/>
      <c r="L390" s="3511"/>
      <c r="M390" s="3509"/>
      <c r="N390" s="3509"/>
      <c r="O390" s="3509"/>
      <c r="P390" s="3553"/>
      <c r="Q390" s="3509"/>
      <c r="R390" s="3509"/>
      <c r="S390" s="3509"/>
      <c r="T390" s="3509"/>
      <c r="U390" s="3509"/>
      <c r="V390" s="3509"/>
      <c r="W390" s="3509"/>
      <c r="X390" s="3509"/>
      <c r="Y390" s="3509"/>
      <c r="Z390" s="3509"/>
      <c r="AA390" s="3509"/>
      <c r="AB390" s="3509"/>
      <c r="AC390" s="3509"/>
    </row>
    <row r="391" spans="1:29">
      <c r="A391" s="3509"/>
      <c r="B391" s="3509"/>
      <c r="C391" s="3509"/>
      <c r="D391" s="3509"/>
      <c r="E391" s="3509"/>
      <c r="F391" s="3509"/>
      <c r="G391" s="3509"/>
      <c r="H391" s="3509"/>
      <c r="I391" s="3509"/>
      <c r="J391" s="3509"/>
      <c r="K391" s="3510"/>
      <c r="L391" s="3511"/>
      <c r="M391" s="3509"/>
      <c r="N391" s="3509"/>
      <c r="O391" s="3509"/>
      <c r="P391" s="3553"/>
      <c r="Q391" s="3509"/>
      <c r="R391" s="3509"/>
      <c r="S391" s="3509"/>
      <c r="T391" s="3509"/>
      <c r="U391" s="3509"/>
      <c r="V391" s="3509"/>
      <c r="W391" s="3509"/>
      <c r="X391" s="3509"/>
      <c r="Y391" s="3509"/>
      <c r="Z391" s="3509"/>
      <c r="AA391" s="3509"/>
      <c r="AB391" s="3509"/>
      <c r="AC391" s="3509"/>
    </row>
    <row r="392" spans="1:29">
      <c r="A392" s="3509"/>
      <c r="B392" s="3509"/>
      <c r="C392" s="3509"/>
      <c r="D392" s="3509"/>
      <c r="E392" s="3509"/>
      <c r="F392" s="3509"/>
      <c r="G392" s="3509"/>
      <c r="H392" s="3509"/>
      <c r="I392" s="3509"/>
      <c r="J392" s="3509"/>
      <c r="K392" s="3510"/>
      <c r="L392" s="3511"/>
      <c r="M392" s="3509"/>
      <c r="N392" s="3509"/>
      <c r="O392" s="3509"/>
      <c r="P392" s="3553"/>
      <c r="Q392" s="3509"/>
      <c r="R392" s="3509"/>
      <c r="S392" s="3509"/>
      <c r="T392" s="3509"/>
      <c r="U392" s="3509"/>
      <c r="V392" s="3509"/>
      <c r="W392" s="3509"/>
      <c r="X392" s="3509"/>
      <c r="Y392" s="3509"/>
      <c r="Z392" s="3509"/>
      <c r="AA392" s="3509"/>
      <c r="AB392" s="3509"/>
      <c r="AC392" s="3509"/>
    </row>
    <row r="393" spans="1:29">
      <c r="A393" s="3509"/>
      <c r="B393" s="3509"/>
      <c r="C393" s="3509"/>
      <c r="D393" s="3509"/>
      <c r="E393" s="3509"/>
      <c r="F393" s="3509"/>
      <c r="G393" s="3509"/>
      <c r="H393" s="3509"/>
      <c r="I393" s="3509"/>
      <c r="J393" s="3509"/>
      <c r="K393" s="3510"/>
      <c r="L393" s="3511"/>
      <c r="M393" s="3509"/>
      <c r="N393" s="3509"/>
      <c r="O393" s="3509"/>
      <c r="P393" s="3553"/>
      <c r="Q393" s="3509"/>
      <c r="R393" s="3509"/>
      <c r="S393" s="3509"/>
      <c r="T393" s="3509"/>
      <c r="U393" s="3509"/>
      <c r="V393" s="3509"/>
      <c r="W393" s="3509"/>
      <c r="X393" s="3509"/>
      <c r="Y393" s="3509"/>
      <c r="Z393" s="3509"/>
      <c r="AA393" s="3509"/>
      <c r="AB393" s="3509"/>
      <c r="AC393" s="3509"/>
    </row>
    <row r="394" spans="1:29">
      <c r="A394" s="3509"/>
      <c r="B394" s="3509"/>
      <c r="C394" s="3509"/>
      <c r="D394" s="3509"/>
      <c r="E394" s="3509"/>
      <c r="F394" s="3509"/>
      <c r="G394" s="3509"/>
      <c r="H394" s="3509"/>
      <c r="I394" s="3509"/>
      <c r="J394" s="3509"/>
      <c r="K394" s="3510"/>
      <c r="L394" s="3511"/>
      <c r="M394" s="3509"/>
      <c r="N394" s="3509"/>
      <c r="O394" s="3509"/>
      <c r="P394" s="3553"/>
      <c r="Q394" s="3509"/>
      <c r="R394" s="3509"/>
      <c r="S394" s="3509"/>
      <c r="T394" s="3509"/>
      <c r="U394" s="3509"/>
      <c r="V394" s="3509"/>
      <c r="W394" s="3509"/>
      <c r="X394" s="3509"/>
      <c r="Y394" s="3509"/>
      <c r="Z394" s="3509"/>
      <c r="AA394" s="3509"/>
      <c r="AB394" s="3509"/>
      <c r="AC394" s="3509"/>
    </row>
    <row r="395" spans="1:29">
      <c r="A395" s="3509"/>
      <c r="B395" s="3509"/>
      <c r="C395" s="3509"/>
      <c r="D395" s="3509"/>
      <c r="E395" s="3509"/>
      <c r="F395" s="3509"/>
      <c r="G395" s="3509"/>
      <c r="H395" s="3509"/>
      <c r="I395" s="3509"/>
      <c r="J395" s="3509"/>
      <c r="K395" s="3510"/>
      <c r="L395" s="3511"/>
      <c r="M395" s="3509"/>
      <c r="N395" s="3509"/>
      <c r="O395" s="3509"/>
      <c r="P395" s="3553"/>
      <c r="Q395" s="3509"/>
      <c r="R395" s="3509"/>
      <c r="S395" s="3509"/>
      <c r="T395" s="3509"/>
      <c r="U395" s="3509"/>
      <c r="V395" s="3509"/>
      <c r="W395" s="3509"/>
      <c r="X395" s="3509"/>
      <c r="Y395" s="3509"/>
      <c r="Z395" s="3509"/>
      <c r="AA395" s="3509"/>
      <c r="AB395" s="3509"/>
      <c r="AC395" s="3509"/>
    </row>
    <row r="396" spans="1:29">
      <c r="A396" s="3509"/>
      <c r="B396" s="3509"/>
      <c r="C396" s="3509"/>
      <c r="D396" s="3509"/>
      <c r="E396" s="3509"/>
      <c r="F396" s="3509"/>
      <c r="G396" s="3509"/>
      <c r="H396" s="3509"/>
      <c r="I396" s="3509"/>
      <c r="J396" s="3509"/>
      <c r="K396" s="3510"/>
      <c r="L396" s="3511"/>
      <c r="M396" s="3509"/>
      <c r="N396" s="3509"/>
      <c r="O396" s="3509"/>
      <c r="P396" s="3553"/>
      <c r="Q396" s="3509"/>
      <c r="R396" s="3509"/>
      <c r="S396" s="3509"/>
      <c r="T396" s="3509"/>
      <c r="U396" s="3509"/>
      <c r="V396" s="3509"/>
      <c r="W396" s="3509"/>
      <c r="X396" s="3509"/>
      <c r="Y396" s="3509"/>
      <c r="Z396" s="3509"/>
      <c r="AA396" s="3509"/>
      <c r="AB396" s="3509"/>
      <c r="AC396" s="3509"/>
    </row>
    <row r="397" spans="1:29">
      <c r="A397" s="3509"/>
      <c r="B397" s="3509"/>
      <c r="C397" s="3509"/>
      <c r="D397" s="3509"/>
      <c r="E397" s="3509"/>
      <c r="F397" s="3509"/>
      <c r="G397" s="3509"/>
      <c r="H397" s="3509"/>
      <c r="I397" s="3509"/>
      <c r="J397" s="3509"/>
      <c r="K397" s="3510"/>
      <c r="L397" s="3511"/>
      <c r="M397" s="3509"/>
      <c r="N397" s="3509"/>
      <c r="O397" s="3509"/>
      <c r="P397" s="3553"/>
      <c r="Q397" s="3509"/>
      <c r="R397" s="3509"/>
      <c r="S397" s="3509"/>
      <c r="T397" s="3509"/>
      <c r="U397" s="3509"/>
      <c r="V397" s="3509"/>
      <c r="W397" s="3509"/>
      <c r="X397" s="3509"/>
      <c r="Y397" s="3509"/>
      <c r="Z397" s="3509"/>
      <c r="AA397" s="3509"/>
      <c r="AB397" s="3509"/>
      <c r="AC397" s="3509"/>
    </row>
    <row r="398" spans="1:29">
      <c r="A398" s="3509"/>
      <c r="B398" s="3509"/>
      <c r="C398" s="3509"/>
      <c r="D398" s="3509"/>
      <c r="E398" s="3509"/>
      <c r="F398" s="3509"/>
      <c r="G398" s="3509"/>
      <c r="H398" s="3509"/>
      <c r="I398" s="3509"/>
      <c r="J398" s="3509"/>
      <c r="K398" s="3510"/>
      <c r="L398" s="3511"/>
      <c r="M398" s="3509"/>
      <c r="N398" s="3509"/>
      <c r="O398" s="3509"/>
      <c r="P398" s="3553"/>
      <c r="Q398" s="3509"/>
      <c r="R398" s="3509"/>
      <c r="S398" s="3509"/>
      <c r="T398" s="3509"/>
      <c r="U398" s="3509"/>
      <c r="V398" s="3509"/>
      <c r="W398" s="3509"/>
      <c r="X398" s="3509"/>
      <c r="Y398" s="3509"/>
      <c r="Z398" s="3509"/>
      <c r="AA398" s="3509"/>
      <c r="AB398" s="3509"/>
      <c r="AC398" s="3509"/>
    </row>
    <row r="399" spans="1:29">
      <c r="A399" s="3509"/>
      <c r="B399" s="3509"/>
      <c r="C399" s="3509"/>
      <c r="D399" s="3509"/>
      <c r="E399" s="3509"/>
      <c r="F399" s="3509"/>
      <c r="G399" s="3509"/>
      <c r="H399" s="3509"/>
      <c r="I399" s="3509"/>
      <c r="J399" s="3509"/>
      <c r="K399" s="3510"/>
      <c r="L399" s="3511"/>
      <c r="M399" s="3509"/>
      <c r="N399" s="3509"/>
      <c r="O399" s="3509"/>
      <c r="P399" s="3553"/>
      <c r="Q399" s="3509"/>
      <c r="R399" s="3509"/>
      <c r="S399" s="3509"/>
      <c r="T399" s="3509"/>
      <c r="U399" s="3509"/>
      <c r="V399" s="3509"/>
      <c r="W399" s="3509"/>
      <c r="X399" s="3509"/>
      <c r="Y399" s="3509"/>
      <c r="Z399" s="3509"/>
      <c r="AA399" s="3509"/>
      <c r="AB399" s="3509"/>
      <c r="AC399" s="3509"/>
    </row>
    <row r="400" spans="1:29">
      <c r="A400" s="3509"/>
      <c r="B400" s="3509"/>
      <c r="C400" s="3509"/>
      <c r="D400" s="3509"/>
      <c r="E400" s="3509"/>
      <c r="F400" s="3509"/>
      <c r="G400" s="3509"/>
      <c r="H400" s="3509"/>
      <c r="I400" s="3509"/>
      <c r="J400" s="3509"/>
      <c r="K400" s="3510"/>
      <c r="L400" s="3511"/>
      <c r="M400" s="3509"/>
      <c r="N400" s="3509"/>
      <c r="O400" s="3509"/>
      <c r="P400" s="3553"/>
      <c r="Q400" s="3509"/>
      <c r="R400" s="3509"/>
      <c r="S400" s="3509"/>
      <c r="T400" s="3509"/>
      <c r="U400" s="3509"/>
      <c r="V400" s="3509"/>
      <c r="W400" s="3509"/>
      <c r="X400" s="3509"/>
      <c r="Y400" s="3509"/>
      <c r="Z400" s="3509"/>
      <c r="AA400" s="3509"/>
      <c r="AB400" s="3509"/>
      <c r="AC400" s="3509"/>
    </row>
    <row r="401" spans="1:29">
      <c r="A401" s="3509"/>
      <c r="B401" s="3509"/>
      <c r="C401" s="3509"/>
      <c r="D401" s="3509"/>
      <c r="E401" s="3509"/>
      <c r="F401" s="3509"/>
      <c r="G401" s="3509"/>
      <c r="H401" s="3509"/>
      <c r="I401" s="3509"/>
      <c r="J401" s="3509"/>
      <c r="K401" s="3510"/>
      <c r="L401" s="3511"/>
      <c r="M401" s="3509"/>
      <c r="N401" s="3509"/>
      <c r="O401" s="3509"/>
      <c r="P401" s="3553"/>
      <c r="Q401" s="3509"/>
      <c r="R401" s="3509"/>
      <c r="S401" s="3509"/>
      <c r="T401" s="3509"/>
      <c r="U401" s="3509"/>
      <c r="V401" s="3509"/>
      <c r="W401" s="3509"/>
      <c r="X401" s="3509"/>
      <c r="Y401" s="3509"/>
      <c r="Z401" s="3509"/>
      <c r="AA401" s="3509"/>
      <c r="AB401" s="3509"/>
      <c r="AC401" s="3509"/>
    </row>
    <row r="402" spans="1:29">
      <c r="A402" s="3509"/>
      <c r="B402" s="3509"/>
      <c r="C402" s="3509"/>
      <c r="D402" s="3509"/>
      <c r="E402" s="3509"/>
      <c r="F402" s="3509"/>
      <c r="G402" s="3509"/>
      <c r="H402" s="3509"/>
      <c r="I402" s="3509"/>
      <c r="J402" s="3509"/>
      <c r="K402" s="3510"/>
      <c r="L402" s="3511"/>
      <c r="M402" s="3509"/>
      <c r="N402" s="3509"/>
      <c r="O402" s="3509"/>
      <c r="P402" s="3553"/>
      <c r="Q402" s="3509"/>
      <c r="R402" s="3509"/>
      <c r="S402" s="3509"/>
      <c r="T402" s="3509"/>
      <c r="U402" s="3509"/>
      <c r="V402" s="3509"/>
      <c r="W402" s="3509"/>
      <c r="X402" s="3509"/>
      <c r="Y402" s="3509"/>
      <c r="Z402" s="3509"/>
      <c r="AA402" s="3509"/>
      <c r="AB402" s="3509"/>
      <c r="AC402" s="3509"/>
    </row>
    <row r="403" spans="1:29">
      <c r="A403" s="3509"/>
      <c r="B403" s="3509"/>
      <c r="C403" s="3509"/>
      <c r="D403" s="3509"/>
      <c r="E403" s="3509"/>
      <c r="F403" s="3509"/>
      <c r="G403" s="3509"/>
      <c r="H403" s="3509"/>
      <c r="I403" s="3509"/>
      <c r="J403" s="3509"/>
      <c r="K403" s="3510"/>
      <c r="L403" s="3511"/>
      <c r="M403" s="3509"/>
      <c r="N403" s="3509"/>
      <c r="O403" s="3509"/>
      <c r="P403" s="3553"/>
      <c r="Q403" s="3509"/>
      <c r="R403" s="3509"/>
      <c r="S403" s="3509"/>
      <c r="T403" s="3509"/>
      <c r="U403" s="3509"/>
      <c r="V403" s="3509"/>
      <c r="W403" s="3509"/>
      <c r="X403" s="3509"/>
      <c r="Y403" s="3509"/>
      <c r="Z403" s="3509"/>
      <c r="AA403" s="3509"/>
      <c r="AB403" s="3509"/>
      <c r="AC403" s="3509"/>
    </row>
    <row r="404" spans="1:29">
      <c r="A404" s="3509"/>
      <c r="B404" s="3509"/>
      <c r="C404" s="3509"/>
      <c r="D404" s="3509"/>
      <c r="E404" s="3509"/>
      <c r="F404" s="3509"/>
      <c r="G404" s="3509"/>
      <c r="H404" s="3509"/>
      <c r="I404" s="3509"/>
      <c r="J404" s="3509"/>
      <c r="K404" s="3510"/>
      <c r="L404" s="3511"/>
      <c r="M404" s="3509"/>
      <c r="N404" s="3509"/>
      <c r="O404" s="3509"/>
      <c r="P404" s="3553"/>
      <c r="Q404" s="3509"/>
      <c r="R404" s="3509"/>
      <c r="S404" s="3509"/>
      <c r="T404" s="3509"/>
      <c r="U404" s="3509"/>
      <c r="V404" s="3509"/>
      <c r="W404" s="3509"/>
      <c r="X404" s="3509"/>
      <c r="Y404" s="3509"/>
      <c r="Z404" s="3509"/>
      <c r="AA404" s="3509"/>
      <c r="AB404" s="3509"/>
      <c r="AC404" s="3509"/>
    </row>
    <row r="405" spans="1:29">
      <c r="A405" s="3509"/>
      <c r="B405" s="3509"/>
      <c r="C405" s="3509"/>
      <c r="D405" s="3509"/>
      <c r="E405" s="3509"/>
      <c r="F405" s="3509"/>
      <c r="G405" s="3509"/>
      <c r="H405" s="3509"/>
      <c r="I405" s="3509"/>
      <c r="J405" s="3509"/>
      <c r="K405" s="3510"/>
      <c r="L405" s="3511"/>
      <c r="M405" s="3509"/>
      <c r="N405" s="3509"/>
      <c r="O405" s="3509"/>
      <c r="P405" s="3553"/>
      <c r="Q405" s="3509"/>
      <c r="R405" s="3509"/>
      <c r="S405" s="3509"/>
      <c r="T405" s="3509"/>
      <c r="U405" s="3509"/>
      <c r="V405" s="3509"/>
      <c r="W405" s="3509"/>
      <c r="X405" s="3509"/>
      <c r="Y405" s="3509"/>
      <c r="Z405" s="3509"/>
      <c r="AA405" s="3509"/>
      <c r="AB405" s="3509"/>
      <c r="AC405" s="3509"/>
    </row>
    <row r="406" spans="1:29">
      <c r="A406" s="3509"/>
      <c r="B406" s="3509"/>
      <c r="C406" s="3509"/>
      <c r="D406" s="3509"/>
      <c r="E406" s="3509"/>
      <c r="F406" s="3509"/>
      <c r="G406" s="3509"/>
      <c r="H406" s="3509"/>
      <c r="I406" s="3509"/>
      <c r="J406" s="3509"/>
      <c r="K406" s="3510"/>
      <c r="L406" s="3511"/>
      <c r="M406" s="3509"/>
      <c r="N406" s="3509"/>
      <c r="O406" s="3509"/>
      <c r="P406" s="3553"/>
      <c r="Q406" s="3509"/>
      <c r="R406" s="3509"/>
      <c r="S406" s="3509"/>
      <c r="T406" s="3509"/>
      <c r="U406" s="3509"/>
      <c r="V406" s="3509"/>
      <c r="W406" s="3509"/>
      <c r="X406" s="3509"/>
      <c r="Y406" s="3509"/>
      <c r="Z406" s="3509"/>
      <c r="AA406" s="3509"/>
      <c r="AB406" s="3509"/>
      <c r="AC406" s="3509"/>
    </row>
    <row r="407" spans="1:29">
      <c r="A407" s="3509"/>
      <c r="B407" s="3509"/>
      <c r="C407" s="3509"/>
      <c r="D407" s="3509"/>
      <c r="E407" s="3509"/>
      <c r="F407" s="3509"/>
      <c r="G407" s="3509"/>
      <c r="H407" s="3509"/>
      <c r="I407" s="3509"/>
      <c r="J407" s="3509"/>
      <c r="K407" s="3510"/>
      <c r="L407" s="3511"/>
      <c r="M407" s="3509"/>
      <c r="N407" s="3509"/>
      <c r="O407" s="3509"/>
      <c r="P407" s="3553"/>
      <c r="Q407" s="3509"/>
      <c r="R407" s="3509"/>
      <c r="S407" s="3509"/>
      <c r="T407" s="3509"/>
      <c r="U407" s="3509"/>
      <c r="V407" s="3509"/>
      <c r="W407" s="3509"/>
      <c r="X407" s="3509"/>
      <c r="Y407" s="3509"/>
      <c r="Z407" s="3509"/>
      <c r="AA407" s="3509"/>
      <c r="AB407" s="3509"/>
      <c r="AC407" s="3509"/>
    </row>
    <row r="408" spans="1:29">
      <c r="A408" s="3509"/>
      <c r="B408" s="3509"/>
      <c r="C408" s="3509"/>
      <c r="D408" s="3509"/>
      <c r="E408" s="3509"/>
      <c r="F408" s="3509"/>
      <c r="G408" s="3509"/>
      <c r="H408" s="3509"/>
      <c r="I408" s="3509"/>
      <c r="J408" s="3509"/>
      <c r="K408" s="3510"/>
      <c r="L408" s="3511"/>
      <c r="M408" s="3509"/>
      <c r="N408" s="3509"/>
      <c r="O408" s="3509"/>
      <c r="P408" s="3553"/>
      <c r="Q408" s="3509"/>
      <c r="R408" s="3509"/>
      <c r="S408" s="3509"/>
      <c r="T408" s="3509"/>
      <c r="U408" s="3509"/>
      <c r="V408" s="3509"/>
      <c r="W408" s="3509"/>
      <c r="X408" s="3509"/>
      <c r="Y408" s="3509"/>
      <c r="Z408" s="3509"/>
      <c r="AA408" s="3509"/>
      <c r="AB408" s="3509"/>
      <c r="AC408" s="3509"/>
    </row>
    <row r="409" spans="1:29">
      <c r="A409" s="3509"/>
      <c r="B409" s="3509"/>
      <c r="C409" s="3509"/>
      <c r="D409" s="3509"/>
      <c r="E409" s="3509"/>
      <c r="F409" s="3509"/>
      <c r="G409" s="3509"/>
      <c r="H409" s="3509"/>
      <c r="I409" s="3509"/>
      <c r="J409" s="3509"/>
      <c r="K409" s="3510"/>
      <c r="L409" s="3511"/>
      <c r="M409" s="3509"/>
      <c r="N409" s="3509"/>
      <c r="O409" s="3509"/>
      <c r="P409" s="3553"/>
      <c r="Q409" s="3509"/>
      <c r="R409" s="3509"/>
      <c r="S409" s="3509"/>
      <c r="T409" s="3509"/>
      <c r="U409" s="3509"/>
      <c r="V409" s="3509"/>
      <c r="W409" s="3509"/>
      <c r="X409" s="3509"/>
      <c r="Y409" s="3509"/>
      <c r="Z409" s="3509"/>
      <c r="AA409" s="3509"/>
      <c r="AB409" s="3509"/>
      <c r="AC409" s="3509"/>
    </row>
    <row r="410" spans="1:29">
      <c r="A410" s="3509"/>
      <c r="B410" s="3509"/>
      <c r="C410" s="3509"/>
      <c r="D410" s="3509"/>
      <c r="E410" s="3509"/>
      <c r="F410" s="3509"/>
      <c r="G410" s="3509"/>
      <c r="H410" s="3509"/>
      <c r="I410" s="3509"/>
      <c r="J410" s="3509"/>
      <c r="K410" s="3510"/>
      <c r="L410" s="3511"/>
      <c r="M410" s="3509"/>
      <c r="N410" s="3509"/>
      <c r="O410" s="3509"/>
      <c r="P410" s="3553"/>
      <c r="Q410" s="3509"/>
      <c r="R410" s="3509"/>
      <c r="S410" s="3509"/>
      <c r="T410" s="3509"/>
      <c r="U410" s="3509"/>
      <c r="V410" s="3509"/>
      <c r="W410" s="3509"/>
      <c r="X410" s="3509"/>
      <c r="Y410" s="3509"/>
      <c r="Z410" s="3509"/>
      <c r="AA410" s="3509"/>
      <c r="AB410" s="3509"/>
      <c r="AC410" s="3509"/>
    </row>
    <row r="411" spans="1:29">
      <c r="A411" s="3509"/>
      <c r="B411" s="3509"/>
      <c r="C411" s="3509"/>
      <c r="D411" s="3509"/>
      <c r="E411" s="3509"/>
      <c r="F411" s="3509"/>
      <c r="G411" s="3509"/>
      <c r="H411" s="3509"/>
      <c r="I411" s="3509"/>
      <c r="J411" s="3509"/>
      <c r="K411" s="3510"/>
      <c r="L411" s="3511"/>
      <c r="M411" s="3509"/>
      <c r="N411" s="3509"/>
      <c r="O411" s="3509"/>
      <c r="P411" s="3553"/>
      <c r="Q411" s="3509"/>
      <c r="R411" s="3509"/>
      <c r="S411" s="3509"/>
      <c r="T411" s="3509"/>
      <c r="U411" s="3509"/>
      <c r="V411" s="3509"/>
      <c r="W411" s="3509"/>
      <c r="X411" s="3509"/>
      <c r="Y411" s="3509"/>
      <c r="Z411" s="3509"/>
      <c r="AA411" s="3509"/>
      <c r="AB411" s="3509"/>
      <c r="AC411" s="3509"/>
    </row>
    <row r="412" spans="1:29">
      <c r="A412" s="3509"/>
      <c r="B412" s="3509"/>
      <c r="C412" s="3509"/>
      <c r="D412" s="3509"/>
      <c r="E412" s="3509"/>
      <c r="F412" s="3509"/>
      <c r="G412" s="3509"/>
      <c r="H412" s="3509"/>
      <c r="I412" s="3509"/>
      <c r="J412" s="3509"/>
      <c r="K412" s="3510"/>
      <c r="L412" s="3511"/>
      <c r="M412" s="3509"/>
      <c r="N412" s="3509"/>
      <c r="O412" s="3509"/>
      <c r="P412" s="3553"/>
      <c r="Q412" s="3509"/>
      <c r="R412" s="3509"/>
      <c r="S412" s="3509"/>
      <c r="T412" s="3509"/>
      <c r="U412" s="3509"/>
      <c r="V412" s="3509"/>
      <c r="W412" s="3509"/>
      <c r="X412" s="3509"/>
      <c r="Y412" s="3509"/>
      <c r="Z412" s="3509"/>
      <c r="AA412" s="3509"/>
      <c r="AB412" s="3509"/>
      <c r="AC412" s="3509"/>
    </row>
    <row r="413" spans="1:29">
      <c r="A413" s="3509"/>
      <c r="B413" s="3509"/>
      <c r="C413" s="3509"/>
      <c r="D413" s="3509"/>
      <c r="E413" s="3509"/>
      <c r="F413" s="3509"/>
      <c r="G413" s="3509"/>
      <c r="H413" s="3509"/>
      <c r="I413" s="3509"/>
      <c r="J413" s="3509"/>
      <c r="K413" s="3510"/>
      <c r="L413" s="3511"/>
      <c r="M413" s="3509"/>
      <c r="N413" s="3509"/>
      <c r="O413" s="3509"/>
      <c r="P413" s="3553"/>
      <c r="Q413" s="3509"/>
      <c r="R413" s="3509"/>
      <c r="S413" s="3509"/>
      <c r="T413" s="3509"/>
      <c r="U413" s="3509"/>
      <c r="V413" s="3509"/>
      <c r="W413" s="3509"/>
      <c r="X413" s="3509"/>
      <c r="Y413" s="3509"/>
      <c r="Z413" s="3509"/>
      <c r="AA413" s="3509"/>
      <c r="AB413" s="3509"/>
      <c r="AC413" s="3509"/>
    </row>
    <row r="414" spans="1:29">
      <c r="A414" s="3509"/>
      <c r="B414" s="3509"/>
      <c r="C414" s="3509"/>
      <c r="D414" s="3509"/>
      <c r="E414" s="3509"/>
      <c r="F414" s="3509"/>
      <c r="G414" s="3509"/>
      <c r="H414" s="3509"/>
      <c r="I414" s="3509"/>
      <c r="J414" s="3509"/>
      <c r="K414" s="3510"/>
      <c r="L414" s="3511"/>
      <c r="M414" s="3509"/>
      <c r="N414" s="3509"/>
      <c r="O414" s="3509"/>
      <c r="P414" s="3553"/>
      <c r="Q414" s="3509"/>
      <c r="R414" s="3509"/>
      <c r="S414" s="3509"/>
      <c r="T414" s="3509"/>
      <c r="U414" s="3509"/>
      <c r="V414" s="3509"/>
      <c r="W414" s="3509"/>
      <c r="X414" s="3509"/>
      <c r="Y414" s="3509"/>
      <c r="Z414" s="3509"/>
      <c r="AA414" s="3509"/>
      <c r="AB414" s="3509"/>
      <c r="AC414" s="3509"/>
    </row>
    <row r="415" spans="1:29">
      <c r="A415" s="3509"/>
      <c r="B415" s="3509"/>
      <c r="C415" s="3509"/>
      <c r="D415" s="3509"/>
      <c r="E415" s="3509"/>
      <c r="F415" s="3509"/>
      <c r="G415" s="3509"/>
      <c r="H415" s="3509"/>
      <c r="I415" s="3509"/>
      <c r="J415" s="3509"/>
      <c r="K415" s="3510"/>
      <c r="L415" s="3511"/>
      <c r="M415" s="3509"/>
      <c r="N415" s="3509"/>
      <c r="O415" s="3509"/>
      <c r="P415" s="3553"/>
      <c r="Q415" s="3509"/>
      <c r="R415" s="3509"/>
      <c r="S415" s="3509"/>
      <c r="T415" s="3509"/>
      <c r="U415" s="3509"/>
      <c r="V415" s="3509"/>
      <c r="W415" s="3509"/>
      <c r="X415" s="3509"/>
      <c r="Y415" s="3509"/>
      <c r="Z415" s="3509"/>
      <c r="AA415" s="3509"/>
      <c r="AB415" s="3509"/>
      <c r="AC415" s="3509"/>
    </row>
    <row r="416" spans="1:29">
      <c r="A416" s="3509"/>
      <c r="B416" s="3509"/>
      <c r="C416" s="3509"/>
      <c r="D416" s="3509"/>
      <c r="E416" s="3509"/>
      <c r="F416" s="3509"/>
      <c r="G416" s="3509"/>
      <c r="H416" s="3509"/>
      <c r="I416" s="3509"/>
      <c r="J416" s="3509"/>
      <c r="K416" s="3510"/>
      <c r="L416" s="3511"/>
      <c r="M416" s="3509"/>
      <c r="N416" s="3509"/>
      <c r="O416" s="3509"/>
      <c r="P416" s="3553"/>
      <c r="Q416" s="3509"/>
      <c r="R416" s="3509"/>
      <c r="S416" s="3509"/>
      <c r="T416" s="3509"/>
      <c r="U416" s="3509"/>
      <c r="V416" s="3509"/>
      <c r="W416" s="3509"/>
      <c r="X416" s="3509"/>
      <c r="Y416" s="3509"/>
      <c r="Z416" s="3509"/>
      <c r="AA416" s="3509"/>
      <c r="AB416" s="3509"/>
      <c r="AC416" s="3509"/>
    </row>
    <row r="417" spans="1:29">
      <c r="A417" s="3509"/>
      <c r="B417" s="3509"/>
      <c r="C417" s="3509"/>
      <c r="D417" s="3509"/>
      <c r="E417" s="3509"/>
      <c r="F417" s="3509"/>
      <c r="G417" s="3509"/>
      <c r="H417" s="3509"/>
      <c r="I417" s="3509"/>
      <c r="J417" s="3509"/>
      <c r="K417" s="3510"/>
      <c r="L417" s="3511"/>
      <c r="M417" s="3509"/>
      <c r="N417" s="3509"/>
      <c r="O417" s="3509"/>
      <c r="P417" s="3553"/>
      <c r="Q417" s="3509"/>
      <c r="R417" s="3509"/>
      <c r="S417" s="3509"/>
      <c r="T417" s="3509"/>
      <c r="U417" s="3509"/>
      <c r="V417" s="3509"/>
      <c r="W417" s="3509"/>
      <c r="X417" s="3509"/>
      <c r="Y417" s="3509"/>
      <c r="Z417" s="3509"/>
      <c r="AA417" s="3509"/>
      <c r="AB417" s="3509"/>
      <c r="AC417" s="3509"/>
    </row>
    <row r="418" spans="1:29">
      <c r="A418" s="3509"/>
      <c r="B418" s="3509"/>
      <c r="C418" s="3509"/>
      <c r="D418" s="3509"/>
      <c r="E418" s="3509"/>
      <c r="F418" s="3509"/>
      <c r="G418" s="3509"/>
      <c r="H418" s="3509"/>
      <c r="I418" s="3509"/>
      <c r="J418" s="3509"/>
      <c r="K418" s="3510"/>
      <c r="L418" s="3511"/>
      <c r="M418" s="3509"/>
      <c r="N418" s="3509"/>
      <c r="O418" s="3509"/>
      <c r="P418" s="3553"/>
      <c r="Q418" s="3509"/>
      <c r="R418" s="3509"/>
      <c r="S418" s="3509"/>
      <c r="T418" s="3509"/>
      <c r="U418" s="3509"/>
      <c r="V418" s="3509"/>
      <c r="W418" s="3509"/>
      <c r="X418" s="3509"/>
      <c r="Y418" s="3509"/>
      <c r="Z418" s="3509"/>
      <c r="AA418" s="3509"/>
      <c r="AB418" s="3509"/>
      <c r="AC418" s="3509"/>
    </row>
    <row r="419" spans="1:29">
      <c r="A419" s="3509"/>
      <c r="B419" s="3509"/>
      <c r="C419" s="3509"/>
      <c r="D419" s="3509"/>
      <c r="E419" s="3509"/>
      <c r="F419" s="3509"/>
      <c r="G419" s="3509"/>
      <c r="H419" s="3509"/>
      <c r="I419" s="3509"/>
      <c r="J419" s="3509"/>
      <c r="K419" s="3510"/>
      <c r="L419" s="3511"/>
      <c r="M419" s="3509"/>
      <c r="N419" s="3509"/>
      <c r="O419" s="3509"/>
      <c r="P419" s="3553"/>
      <c r="Q419" s="3509"/>
      <c r="R419" s="3509"/>
      <c r="S419" s="3509"/>
      <c r="T419" s="3509"/>
      <c r="U419" s="3509"/>
      <c r="V419" s="3509"/>
      <c r="W419" s="3509"/>
      <c r="X419" s="3509"/>
      <c r="Y419" s="3509"/>
      <c r="Z419" s="3509"/>
      <c r="AA419" s="3509"/>
      <c r="AB419" s="3509"/>
      <c r="AC419" s="3509"/>
    </row>
    <row r="420" spans="1:29">
      <c r="A420" s="3509"/>
      <c r="B420" s="3509"/>
      <c r="C420" s="3509"/>
      <c r="D420" s="3509"/>
      <c r="E420" s="3509"/>
      <c r="F420" s="3509"/>
      <c r="G420" s="3509"/>
      <c r="H420" s="3509"/>
      <c r="I420" s="3509"/>
      <c r="J420" s="3509"/>
      <c r="K420" s="3510"/>
      <c r="L420" s="3511"/>
      <c r="M420" s="3509"/>
      <c r="N420" s="3509"/>
      <c r="O420" s="3509"/>
      <c r="P420" s="3553"/>
      <c r="Q420" s="3509"/>
      <c r="R420" s="3509"/>
      <c r="S420" s="3509"/>
      <c r="T420" s="3509"/>
      <c r="U420" s="3509"/>
      <c r="V420" s="3509"/>
      <c r="W420" s="3509"/>
      <c r="X420" s="3509"/>
      <c r="Y420" s="3509"/>
      <c r="Z420" s="3509"/>
      <c r="AA420" s="3509"/>
      <c r="AB420" s="3509"/>
      <c r="AC420" s="3509"/>
    </row>
    <row r="421" spans="1:29">
      <c r="A421" s="3509"/>
      <c r="B421" s="3509"/>
      <c r="C421" s="3509"/>
      <c r="D421" s="3509"/>
      <c r="E421" s="3509"/>
      <c r="F421" s="3509"/>
      <c r="G421" s="3509"/>
      <c r="H421" s="3509"/>
      <c r="I421" s="3509"/>
      <c r="J421" s="3509"/>
      <c r="K421" s="3510"/>
      <c r="L421" s="3511"/>
      <c r="M421" s="3509"/>
      <c r="N421" s="3509"/>
      <c r="O421" s="3509"/>
      <c r="P421" s="3553"/>
      <c r="Q421" s="3509"/>
      <c r="R421" s="3509"/>
      <c r="S421" s="3509"/>
      <c r="T421" s="3509"/>
      <c r="U421" s="3509"/>
      <c r="V421" s="3509"/>
      <c r="W421" s="3509"/>
      <c r="X421" s="3509"/>
      <c r="Y421" s="3509"/>
      <c r="Z421" s="3509"/>
      <c r="AA421" s="3509"/>
      <c r="AB421" s="3509"/>
      <c r="AC421" s="3509"/>
    </row>
    <row r="422" spans="1:29">
      <c r="A422" s="3509"/>
      <c r="B422" s="3509"/>
      <c r="C422" s="3509"/>
      <c r="D422" s="3509"/>
      <c r="E422" s="3509"/>
      <c r="F422" s="3509"/>
      <c r="G422" s="3509"/>
      <c r="H422" s="3509"/>
      <c r="I422" s="3509"/>
      <c r="J422" s="3509"/>
      <c r="K422" s="3510"/>
      <c r="L422" s="3511"/>
      <c r="M422" s="3509"/>
      <c r="N422" s="3509"/>
      <c r="O422" s="3509"/>
      <c r="P422" s="3553"/>
      <c r="Q422" s="3509"/>
      <c r="R422" s="3509"/>
      <c r="S422" s="3509"/>
      <c r="T422" s="3509"/>
      <c r="U422" s="3509"/>
      <c r="V422" s="3509"/>
      <c r="W422" s="3509"/>
      <c r="X422" s="3509"/>
      <c r="Y422" s="3509"/>
      <c r="Z422" s="3509"/>
      <c r="AA422" s="3509"/>
      <c r="AB422" s="3509"/>
      <c r="AC422" s="3509"/>
    </row>
    <row r="423" spans="1:29">
      <c r="A423" s="3509"/>
      <c r="B423" s="3509"/>
      <c r="C423" s="3509"/>
      <c r="D423" s="3509"/>
      <c r="E423" s="3509"/>
      <c r="F423" s="3509"/>
      <c r="G423" s="3509"/>
      <c r="H423" s="3509"/>
      <c r="I423" s="3509"/>
      <c r="J423" s="3509"/>
      <c r="K423" s="3510"/>
      <c r="L423" s="3511"/>
      <c r="M423" s="3509"/>
      <c r="N423" s="3509"/>
      <c r="O423" s="3509"/>
      <c r="P423" s="3553"/>
      <c r="Q423" s="3509"/>
      <c r="R423" s="3509"/>
      <c r="S423" s="3509"/>
      <c r="T423" s="3509"/>
      <c r="U423" s="3509"/>
      <c r="V423" s="3509"/>
      <c r="W423" s="3509"/>
      <c r="X423" s="3509"/>
      <c r="Y423" s="3509"/>
      <c r="Z423" s="3509"/>
      <c r="AA423" s="3509"/>
      <c r="AB423" s="3509"/>
      <c r="AC423" s="3509"/>
    </row>
    <row r="424" spans="1:29">
      <c r="A424" s="3509"/>
      <c r="B424" s="3509"/>
      <c r="C424" s="3509"/>
      <c r="D424" s="3509"/>
      <c r="E424" s="3509"/>
      <c r="F424" s="3509"/>
      <c r="G424" s="3509"/>
      <c r="H424" s="3509"/>
      <c r="I424" s="3509"/>
      <c r="J424" s="3509"/>
      <c r="K424" s="3510"/>
      <c r="L424" s="3511"/>
      <c r="M424" s="3509"/>
      <c r="N424" s="3509"/>
      <c r="O424" s="3509"/>
      <c r="P424" s="3553"/>
      <c r="Q424" s="3509"/>
      <c r="R424" s="3509"/>
      <c r="S424" s="3509"/>
      <c r="T424" s="3509"/>
      <c r="U424" s="3509"/>
      <c r="V424" s="3509"/>
      <c r="W424" s="3509"/>
      <c r="X424" s="3509"/>
      <c r="Y424" s="3509"/>
      <c r="Z424" s="3509"/>
      <c r="AA424" s="3509"/>
      <c r="AB424" s="3509"/>
      <c r="AC424" s="3509"/>
    </row>
    <row r="425" spans="1:29">
      <c r="A425" s="3509"/>
      <c r="B425" s="3509"/>
      <c r="C425" s="3509"/>
      <c r="D425" s="3509"/>
      <c r="E425" s="3509"/>
      <c r="F425" s="3509"/>
      <c r="G425" s="3509"/>
      <c r="H425" s="3509"/>
      <c r="I425" s="3509"/>
      <c r="J425" s="3509"/>
      <c r="K425" s="3510"/>
      <c r="L425" s="3511"/>
      <c r="M425" s="3509"/>
      <c r="N425" s="3509"/>
      <c r="O425" s="3509"/>
      <c r="P425" s="3553"/>
      <c r="Q425" s="3509"/>
      <c r="R425" s="3509"/>
      <c r="S425" s="3509"/>
      <c r="T425" s="3509"/>
      <c r="U425" s="3509"/>
      <c r="V425" s="3509"/>
      <c r="W425" s="3509"/>
      <c r="X425" s="3509"/>
      <c r="Y425" s="3509"/>
      <c r="Z425" s="3509"/>
      <c r="AA425" s="3509"/>
      <c r="AB425" s="3509"/>
      <c r="AC425" s="3509"/>
    </row>
    <row r="426" spans="1:29">
      <c r="A426" s="3509"/>
      <c r="B426" s="3509"/>
      <c r="C426" s="3509"/>
      <c r="D426" s="3509"/>
      <c r="E426" s="3509"/>
      <c r="F426" s="3509"/>
      <c r="G426" s="3509"/>
      <c r="H426" s="3509"/>
      <c r="I426" s="3509"/>
      <c r="J426" s="3509"/>
      <c r="K426" s="3510"/>
      <c r="L426" s="3511"/>
      <c r="M426" s="3509"/>
      <c r="N426" s="3509"/>
      <c r="O426" s="3509"/>
      <c r="P426" s="3553"/>
      <c r="Q426" s="3509"/>
      <c r="R426" s="3509"/>
      <c r="S426" s="3509"/>
      <c r="T426" s="3509"/>
      <c r="U426" s="3509"/>
      <c r="V426" s="3509"/>
      <c r="W426" s="3509"/>
      <c r="X426" s="3509"/>
      <c r="Y426" s="3509"/>
      <c r="Z426" s="3509"/>
      <c r="AA426" s="3509"/>
      <c r="AB426" s="3509"/>
      <c r="AC426" s="3509"/>
    </row>
    <row r="427" spans="1:29">
      <c r="A427" s="3509"/>
      <c r="B427" s="3509"/>
      <c r="C427" s="3509"/>
      <c r="D427" s="3509"/>
      <c r="E427" s="3509"/>
      <c r="F427" s="3509"/>
      <c r="G427" s="3509"/>
      <c r="H427" s="3509"/>
      <c r="I427" s="3509"/>
      <c r="J427" s="3509"/>
      <c r="K427" s="3510"/>
      <c r="L427" s="3511"/>
      <c r="M427" s="3509"/>
      <c r="N427" s="3509"/>
      <c r="O427" s="3509"/>
      <c r="P427" s="3553"/>
      <c r="Q427" s="3509"/>
      <c r="R427" s="3509"/>
      <c r="S427" s="3509"/>
      <c r="T427" s="3509"/>
      <c r="U427" s="3509"/>
      <c r="V427" s="3509"/>
      <c r="W427" s="3509"/>
      <c r="X427" s="3509"/>
      <c r="Y427" s="3509"/>
      <c r="Z427" s="3509"/>
      <c r="AA427" s="3509"/>
      <c r="AB427" s="3509"/>
      <c r="AC427" s="3509"/>
    </row>
    <row r="428" spans="1:29">
      <c r="A428" s="3509"/>
      <c r="B428" s="3509"/>
      <c r="C428" s="3509"/>
      <c r="D428" s="3509"/>
      <c r="E428" s="3509"/>
      <c r="F428" s="3509"/>
      <c r="G428" s="3509"/>
      <c r="H428" s="3509"/>
      <c r="I428" s="3509"/>
      <c r="J428" s="3509"/>
      <c r="K428" s="3510"/>
      <c r="L428" s="3511"/>
      <c r="M428" s="3509"/>
      <c r="N428" s="3509"/>
      <c r="O428" s="3509"/>
      <c r="P428" s="3553"/>
      <c r="Q428" s="3509"/>
      <c r="R428" s="3509"/>
      <c r="S428" s="3509"/>
      <c r="T428" s="3509"/>
      <c r="U428" s="3509"/>
      <c r="V428" s="3509"/>
      <c r="W428" s="3509"/>
      <c r="X428" s="3509"/>
      <c r="Y428" s="3509"/>
      <c r="Z428" s="3509"/>
      <c r="AA428" s="3509"/>
      <c r="AB428" s="3509"/>
      <c r="AC428" s="3509"/>
    </row>
    <row r="429" spans="1:29">
      <c r="A429" s="3509"/>
      <c r="B429" s="3509"/>
      <c r="C429" s="3509"/>
      <c r="D429" s="3509"/>
      <c r="E429" s="3509"/>
      <c r="F429" s="3509"/>
      <c r="G429" s="3509"/>
      <c r="H429" s="3509"/>
      <c r="I429" s="3509"/>
      <c r="J429" s="3509"/>
      <c r="K429" s="3510"/>
      <c r="L429" s="3511"/>
      <c r="M429" s="3509"/>
      <c r="N429" s="3509"/>
      <c r="O429" s="3509"/>
      <c r="P429" s="3553"/>
      <c r="Q429" s="3509"/>
      <c r="R429" s="3509"/>
      <c r="S429" s="3509"/>
      <c r="T429" s="3509"/>
      <c r="U429" s="3509"/>
      <c r="V429" s="3509"/>
      <c r="W429" s="3509"/>
      <c r="X429" s="3509"/>
      <c r="Y429" s="3509"/>
      <c r="Z429" s="3509"/>
      <c r="AA429" s="3509"/>
      <c r="AB429" s="3509"/>
      <c r="AC429" s="3509"/>
    </row>
    <row r="430" spans="1:29">
      <c r="A430" s="3509"/>
      <c r="B430" s="3509"/>
      <c r="C430" s="3509"/>
      <c r="D430" s="3509"/>
      <c r="E430" s="3509"/>
      <c r="F430" s="3509"/>
      <c r="G430" s="3509"/>
      <c r="H430" s="3509"/>
      <c r="I430" s="3509"/>
      <c r="J430" s="3509"/>
      <c r="K430" s="3510"/>
      <c r="L430" s="3511"/>
      <c r="M430" s="3509"/>
      <c r="N430" s="3509"/>
      <c r="O430" s="3509"/>
      <c r="P430" s="3553"/>
      <c r="Q430" s="3509"/>
      <c r="R430" s="3509"/>
      <c r="S430" s="3509"/>
      <c r="T430" s="3509"/>
      <c r="U430" s="3509"/>
      <c r="V430" s="3509"/>
      <c r="W430" s="3509"/>
      <c r="X430" s="3509"/>
      <c r="Y430" s="3509"/>
      <c r="Z430" s="3509"/>
      <c r="AA430" s="3509"/>
      <c r="AB430" s="3509"/>
      <c r="AC430" s="3509"/>
    </row>
    <row r="431" spans="1:29">
      <c r="A431" s="3509"/>
      <c r="B431" s="3509"/>
      <c r="C431" s="3509"/>
      <c r="D431" s="3509"/>
      <c r="E431" s="3509"/>
      <c r="F431" s="3509"/>
      <c r="G431" s="3509"/>
      <c r="H431" s="3509"/>
      <c r="I431" s="3509"/>
      <c r="J431" s="3509"/>
      <c r="K431" s="3510"/>
      <c r="L431" s="3511"/>
      <c r="M431" s="3509"/>
      <c r="N431" s="3509"/>
      <c r="O431" s="3509"/>
      <c r="P431" s="3553"/>
      <c r="Q431" s="3509"/>
      <c r="R431" s="3509"/>
      <c r="S431" s="3509"/>
      <c r="T431" s="3509"/>
      <c r="U431" s="3509"/>
      <c r="V431" s="3509"/>
      <c r="W431" s="3509"/>
      <c r="X431" s="3509"/>
      <c r="Y431" s="3509"/>
      <c r="Z431" s="3509"/>
      <c r="AA431" s="3509"/>
      <c r="AB431" s="3509"/>
      <c r="AC431" s="3509"/>
    </row>
    <row r="432" spans="1:29">
      <c r="A432" s="3509"/>
      <c r="B432" s="3509"/>
      <c r="C432" s="3509"/>
      <c r="D432" s="3509"/>
      <c r="E432" s="3509"/>
      <c r="F432" s="3509"/>
      <c r="G432" s="3509"/>
      <c r="H432" s="3509"/>
      <c r="I432" s="3509"/>
      <c r="J432" s="3509"/>
      <c r="K432" s="3510"/>
      <c r="L432" s="3511"/>
      <c r="M432" s="3509"/>
      <c r="N432" s="3509"/>
      <c r="O432" s="3509"/>
      <c r="P432" s="3553"/>
      <c r="Q432" s="3509"/>
      <c r="R432" s="3509"/>
      <c r="S432" s="3509"/>
      <c r="T432" s="3509"/>
      <c r="U432" s="3509"/>
      <c r="V432" s="3509"/>
      <c r="W432" s="3509"/>
      <c r="X432" s="3509"/>
      <c r="Y432" s="3509"/>
      <c r="Z432" s="3509"/>
      <c r="AA432" s="3509"/>
      <c r="AB432" s="3509"/>
      <c r="AC432" s="3509"/>
    </row>
    <row r="433" spans="1:29">
      <c r="A433" s="3509"/>
      <c r="B433" s="3509"/>
      <c r="C433" s="3509"/>
      <c r="D433" s="3509"/>
      <c r="E433" s="3509"/>
      <c r="F433" s="3509"/>
      <c r="G433" s="3509"/>
      <c r="H433" s="3509"/>
      <c r="I433" s="3509"/>
      <c r="J433" s="3509"/>
      <c r="K433" s="3510"/>
      <c r="L433" s="3511"/>
      <c r="M433" s="3509"/>
      <c r="N433" s="3509"/>
      <c r="O433" s="3509"/>
      <c r="P433" s="3553"/>
      <c r="Q433" s="3509"/>
      <c r="R433" s="3509"/>
      <c r="S433" s="3509"/>
      <c r="T433" s="3509"/>
      <c r="U433" s="3509"/>
      <c r="V433" s="3509"/>
      <c r="W433" s="3509"/>
      <c r="X433" s="3509"/>
      <c r="Y433" s="3509"/>
      <c r="Z433" s="3509"/>
      <c r="AA433" s="3509"/>
      <c r="AB433" s="3509"/>
      <c r="AC433" s="3509"/>
    </row>
    <row r="434" spans="1:29">
      <c r="A434" s="3509"/>
      <c r="B434" s="3509"/>
      <c r="C434" s="3509"/>
      <c r="D434" s="3509"/>
      <c r="E434" s="3509"/>
      <c r="F434" s="3509"/>
      <c r="G434" s="3509"/>
      <c r="H434" s="3509"/>
      <c r="I434" s="3509"/>
      <c r="J434" s="3509"/>
      <c r="K434" s="3510"/>
      <c r="L434" s="3511"/>
      <c r="M434" s="3509"/>
      <c r="N434" s="3509"/>
      <c r="O434" s="3509"/>
      <c r="P434" s="3553"/>
      <c r="Q434" s="3509"/>
      <c r="R434" s="3509"/>
      <c r="S434" s="3509"/>
      <c r="T434" s="3509"/>
      <c r="U434" s="3509"/>
      <c r="V434" s="3509"/>
      <c r="W434" s="3509"/>
      <c r="X434" s="3509"/>
      <c r="Y434" s="3509"/>
      <c r="Z434" s="3509"/>
      <c r="AA434" s="3509"/>
      <c r="AB434" s="3509"/>
      <c r="AC434" s="3509"/>
    </row>
    <row r="435" spans="1:29">
      <c r="A435" s="3509"/>
      <c r="B435" s="3509"/>
      <c r="C435" s="3509"/>
      <c r="D435" s="3509"/>
      <c r="E435" s="3509"/>
      <c r="F435" s="3509"/>
      <c r="G435" s="3509"/>
      <c r="H435" s="3509"/>
      <c r="I435" s="3509"/>
      <c r="J435" s="3509"/>
      <c r="K435" s="3510"/>
      <c r="L435" s="3511"/>
      <c r="M435" s="3509"/>
      <c r="N435" s="3509"/>
      <c r="O435" s="3509"/>
      <c r="P435" s="3553"/>
      <c r="Q435" s="3509"/>
      <c r="R435" s="3509"/>
      <c r="S435" s="3509"/>
      <c r="T435" s="3509"/>
      <c r="U435" s="3509"/>
      <c r="V435" s="3509"/>
      <c r="W435" s="3509"/>
      <c r="X435" s="3509"/>
      <c r="Y435" s="3509"/>
      <c r="Z435" s="3509"/>
      <c r="AA435" s="3509"/>
      <c r="AB435" s="3509"/>
      <c r="AC435" s="3509"/>
    </row>
    <row r="436" spans="1:29">
      <c r="A436" s="3509"/>
      <c r="B436" s="3509"/>
      <c r="C436" s="3509"/>
      <c r="D436" s="3509"/>
      <c r="E436" s="3509"/>
      <c r="F436" s="3509"/>
      <c r="G436" s="3509"/>
      <c r="H436" s="3509"/>
      <c r="I436" s="3509"/>
      <c r="J436" s="3509"/>
      <c r="K436" s="3510"/>
      <c r="L436" s="3511"/>
      <c r="M436" s="3509"/>
      <c r="N436" s="3509"/>
      <c r="O436" s="3509"/>
      <c r="P436" s="3553"/>
      <c r="Q436" s="3509"/>
      <c r="R436" s="3509"/>
      <c r="S436" s="3509"/>
      <c r="T436" s="3509"/>
      <c r="U436" s="3509"/>
      <c r="V436" s="3509"/>
      <c r="W436" s="3509"/>
      <c r="X436" s="3509"/>
      <c r="Y436" s="3509"/>
      <c r="Z436" s="3509"/>
      <c r="AA436" s="3509"/>
      <c r="AB436" s="3509"/>
      <c r="AC436" s="3509"/>
    </row>
    <row r="437" spans="1:29">
      <c r="A437" s="3509"/>
      <c r="B437" s="3509"/>
      <c r="C437" s="3509"/>
      <c r="D437" s="3509"/>
      <c r="E437" s="3509"/>
      <c r="F437" s="3509"/>
      <c r="G437" s="3509"/>
      <c r="H437" s="3509"/>
      <c r="I437" s="3509"/>
      <c r="J437" s="3509"/>
      <c r="K437" s="3510"/>
      <c r="L437" s="3511"/>
      <c r="M437" s="3509"/>
      <c r="N437" s="3509"/>
      <c r="O437" s="3509"/>
      <c r="P437" s="3553"/>
      <c r="Q437" s="3509"/>
      <c r="R437" s="3509"/>
      <c r="S437" s="3509"/>
      <c r="T437" s="3509"/>
      <c r="U437" s="3509"/>
      <c r="V437" s="3509"/>
      <c r="W437" s="3509"/>
      <c r="X437" s="3509"/>
      <c r="Y437" s="3509"/>
      <c r="Z437" s="3509"/>
      <c r="AA437" s="3509"/>
      <c r="AB437" s="3509"/>
      <c r="AC437" s="3509"/>
    </row>
    <row r="438" spans="1:29">
      <c r="A438" s="3509"/>
      <c r="B438" s="3509"/>
      <c r="C438" s="3509"/>
      <c r="D438" s="3509"/>
      <c r="E438" s="3509"/>
      <c r="F438" s="3509"/>
      <c r="G438" s="3509"/>
      <c r="H438" s="3509"/>
      <c r="I438" s="3509"/>
      <c r="J438" s="3509"/>
      <c r="K438" s="3510"/>
      <c r="L438" s="3511"/>
      <c r="M438" s="3509"/>
      <c r="N438" s="3509"/>
      <c r="O438" s="3509"/>
      <c r="P438" s="3553"/>
      <c r="Q438" s="3509"/>
      <c r="R438" s="3509"/>
      <c r="S438" s="3509"/>
      <c r="T438" s="3509"/>
      <c r="U438" s="3509"/>
      <c r="V438" s="3509"/>
      <c r="W438" s="3509"/>
      <c r="X438" s="3509"/>
      <c r="Y438" s="3509"/>
      <c r="Z438" s="3509"/>
      <c r="AA438" s="3509"/>
      <c r="AB438" s="3509"/>
      <c r="AC438" s="3509"/>
    </row>
    <row r="439" spans="1:29">
      <c r="A439" s="3509"/>
      <c r="B439" s="3509"/>
      <c r="C439" s="3509"/>
      <c r="D439" s="3509"/>
      <c r="E439" s="3509"/>
      <c r="F439" s="3509"/>
      <c r="G439" s="3509"/>
      <c r="H439" s="3509"/>
      <c r="I439" s="3509"/>
      <c r="J439" s="3509"/>
      <c r="K439" s="3510"/>
      <c r="L439" s="3511"/>
      <c r="M439" s="3509"/>
      <c r="N439" s="3509"/>
      <c r="O439" s="3509"/>
      <c r="P439" s="3553"/>
      <c r="Q439" s="3509"/>
      <c r="R439" s="3509"/>
      <c r="S439" s="3509"/>
      <c r="T439" s="3509"/>
      <c r="U439" s="3509"/>
      <c r="V439" s="3509"/>
      <c r="W439" s="3509"/>
      <c r="X439" s="3509"/>
      <c r="Y439" s="3509"/>
      <c r="Z439" s="3509"/>
      <c r="AA439" s="3509"/>
      <c r="AB439" s="3509"/>
      <c r="AC439" s="3509"/>
    </row>
    <row r="440" spans="1:29">
      <c r="A440" s="3509"/>
      <c r="B440" s="3509"/>
      <c r="C440" s="3509"/>
      <c r="D440" s="3509"/>
      <c r="E440" s="3509"/>
      <c r="F440" s="3509"/>
      <c r="G440" s="3509"/>
      <c r="H440" s="3509"/>
      <c r="I440" s="3509"/>
      <c r="J440" s="3509"/>
      <c r="K440" s="3510"/>
      <c r="L440" s="3511"/>
      <c r="M440" s="3509"/>
      <c r="N440" s="3509"/>
      <c r="O440" s="3509"/>
      <c r="P440" s="3553"/>
      <c r="Q440" s="3509"/>
      <c r="R440" s="3509"/>
      <c r="S440" s="3509"/>
      <c r="T440" s="3509"/>
      <c r="U440" s="3509"/>
      <c r="V440" s="3509"/>
      <c r="W440" s="3509"/>
      <c r="X440" s="3509"/>
      <c r="Y440" s="3509"/>
      <c r="Z440" s="3509"/>
      <c r="AA440" s="3509"/>
      <c r="AB440" s="3509"/>
      <c r="AC440" s="3509"/>
    </row>
    <row r="441" spans="1:29">
      <c r="A441" s="3509"/>
      <c r="B441" s="3509"/>
      <c r="C441" s="3509"/>
      <c r="D441" s="3509"/>
      <c r="E441" s="3509"/>
      <c r="F441" s="3509"/>
      <c r="G441" s="3509"/>
      <c r="H441" s="3509"/>
      <c r="I441" s="3509"/>
      <c r="J441" s="3509"/>
      <c r="K441" s="3510"/>
      <c r="L441" s="3511"/>
      <c r="M441" s="3509"/>
      <c r="N441" s="3509"/>
      <c r="O441" s="3509"/>
      <c r="P441" s="3553"/>
      <c r="Q441" s="3509"/>
      <c r="R441" s="3509"/>
      <c r="S441" s="3509"/>
      <c r="T441" s="3509"/>
      <c r="U441" s="3509"/>
      <c r="V441" s="3509"/>
      <c r="W441" s="3509"/>
      <c r="X441" s="3509"/>
      <c r="Y441" s="3509"/>
      <c r="Z441" s="3509"/>
      <c r="AA441" s="3509"/>
      <c r="AB441" s="3509"/>
      <c r="AC441" s="3509"/>
    </row>
    <row r="442" spans="1:29">
      <c r="A442" s="3509"/>
      <c r="B442" s="3509"/>
      <c r="C442" s="3509"/>
      <c r="D442" s="3509"/>
      <c r="E442" s="3509"/>
      <c r="F442" s="3509"/>
      <c r="G442" s="3509"/>
      <c r="H442" s="3509"/>
      <c r="I442" s="3509"/>
      <c r="J442" s="3509"/>
      <c r="K442" s="3510"/>
      <c r="L442" s="3511"/>
      <c r="M442" s="3509"/>
      <c r="N442" s="3509"/>
      <c r="O442" s="3509"/>
      <c r="P442" s="3553"/>
      <c r="Q442" s="3509"/>
      <c r="R442" s="3509"/>
      <c r="S442" s="3509"/>
      <c r="T442" s="3509"/>
      <c r="U442" s="3509"/>
      <c r="V442" s="3509"/>
      <c r="W442" s="3509"/>
      <c r="X442" s="3509"/>
      <c r="Y442" s="3509"/>
      <c r="Z442" s="3509"/>
      <c r="AA442" s="3509"/>
      <c r="AB442" s="3509"/>
      <c r="AC442" s="3509"/>
    </row>
    <row r="443" spans="1:29">
      <c r="A443" s="3509"/>
      <c r="B443" s="3509"/>
      <c r="C443" s="3509"/>
      <c r="D443" s="3509"/>
      <c r="E443" s="3509"/>
      <c r="F443" s="3509"/>
      <c r="G443" s="3509"/>
      <c r="H443" s="3509"/>
      <c r="I443" s="3509"/>
      <c r="J443" s="3509"/>
      <c r="K443" s="3510"/>
      <c r="L443" s="3511"/>
      <c r="M443" s="3509"/>
      <c r="N443" s="3509"/>
      <c r="O443" s="3509"/>
      <c r="P443" s="3553"/>
      <c r="Q443" s="3509"/>
      <c r="R443" s="3509"/>
      <c r="S443" s="3509"/>
      <c r="T443" s="3509"/>
      <c r="U443" s="3509"/>
      <c r="V443" s="3509"/>
      <c r="W443" s="3509"/>
      <c r="X443" s="3509"/>
      <c r="Y443" s="3509"/>
      <c r="Z443" s="3509"/>
      <c r="AA443" s="3509"/>
      <c r="AB443" s="3509"/>
      <c r="AC443" s="3509"/>
    </row>
    <row r="444" spans="1:29">
      <c r="A444" s="3509"/>
      <c r="B444" s="3509"/>
      <c r="C444" s="3509"/>
      <c r="D444" s="3509"/>
      <c r="E444" s="3509"/>
      <c r="F444" s="3509"/>
      <c r="G444" s="3509"/>
      <c r="H444" s="3509"/>
      <c r="I444" s="3509"/>
      <c r="J444" s="3509"/>
      <c r="K444" s="3510"/>
      <c r="L444" s="3511"/>
      <c r="M444" s="3509"/>
      <c r="N444" s="3509"/>
      <c r="O444" s="3509"/>
      <c r="P444" s="3553"/>
      <c r="Q444" s="3509"/>
      <c r="R444" s="3509"/>
      <c r="S444" s="3509"/>
      <c r="T444" s="3509"/>
      <c r="U444" s="3509"/>
      <c r="V444" s="3509"/>
      <c r="W444" s="3509"/>
      <c r="X444" s="3509"/>
      <c r="Y444" s="3509"/>
      <c r="Z444" s="3509"/>
      <c r="AA444" s="3509"/>
      <c r="AB444" s="3509"/>
      <c r="AC444" s="3509"/>
    </row>
    <row r="445" spans="1:29">
      <c r="A445" s="3509"/>
      <c r="B445" s="3509"/>
      <c r="C445" s="3509"/>
      <c r="D445" s="3509"/>
      <c r="E445" s="3509"/>
      <c r="F445" s="3509"/>
      <c r="G445" s="3509"/>
      <c r="H445" s="3509"/>
      <c r="I445" s="3509"/>
      <c r="J445" s="3509"/>
      <c r="K445" s="3510"/>
      <c r="L445" s="3511"/>
      <c r="M445" s="3509"/>
      <c r="N445" s="3509"/>
      <c r="O445" s="3509"/>
      <c r="P445" s="3553"/>
      <c r="Q445" s="3509"/>
      <c r="R445" s="3509"/>
      <c r="S445" s="3509"/>
      <c r="T445" s="3509"/>
      <c r="U445" s="3509"/>
      <c r="V445" s="3509"/>
      <c r="W445" s="3509"/>
      <c r="X445" s="3509"/>
      <c r="Y445" s="3509"/>
      <c r="Z445" s="3509"/>
      <c r="AA445" s="3509"/>
      <c r="AB445" s="3509"/>
      <c r="AC445" s="3509"/>
    </row>
    <row r="446" spans="1:29">
      <c r="A446" s="3509"/>
      <c r="B446" s="3509"/>
      <c r="C446" s="3509"/>
      <c r="D446" s="3509"/>
      <c r="E446" s="3509"/>
      <c r="F446" s="3509"/>
      <c r="G446" s="3509"/>
      <c r="H446" s="3509"/>
      <c r="I446" s="3509"/>
      <c r="J446" s="3509"/>
      <c r="K446" s="3510"/>
      <c r="L446" s="3511"/>
      <c r="M446" s="3509"/>
      <c r="N446" s="3509"/>
      <c r="O446" s="3509"/>
      <c r="P446" s="3553"/>
      <c r="Q446" s="3509"/>
      <c r="R446" s="3509"/>
      <c r="S446" s="3509"/>
      <c r="T446" s="3509"/>
      <c r="U446" s="3509"/>
      <c r="V446" s="3509"/>
      <c r="W446" s="3509"/>
      <c r="X446" s="3509"/>
      <c r="Y446" s="3509"/>
      <c r="Z446" s="3509"/>
      <c r="AA446" s="3509"/>
      <c r="AB446" s="3509"/>
      <c r="AC446" s="3509"/>
    </row>
    <row r="447" spans="1:29">
      <c r="A447" s="3509"/>
      <c r="B447" s="3509"/>
      <c r="C447" s="3509"/>
      <c r="D447" s="3509"/>
      <c r="E447" s="3509"/>
      <c r="F447" s="3509"/>
      <c r="G447" s="3509"/>
      <c r="H447" s="3509"/>
      <c r="I447" s="3509"/>
      <c r="J447" s="3509"/>
      <c r="K447" s="3510"/>
      <c r="L447" s="3511"/>
      <c r="M447" s="3509"/>
      <c r="N447" s="3509"/>
      <c r="O447" s="3509"/>
      <c r="P447" s="3553"/>
      <c r="Q447" s="3509"/>
      <c r="R447" s="3509"/>
      <c r="S447" s="3509"/>
      <c r="T447" s="3509"/>
      <c r="U447" s="3509"/>
      <c r="V447" s="3509"/>
      <c r="W447" s="3509"/>
      <c r="X447" s="3509"/>
      <c r="Y447" s="3509"/>
      <c r="Z447" s="3509"/>
      <c r="AA447" s="3509"/>
      <c r="AB447" s="3509"/>
      <c r="AC447" s="3509"/>
    </row>
    <row r="448" spans="1:29">
      <c r="A448" s="3509"/>
      <c r="B448" s="3509"/>
      <c r="C448" s="3509"/>
      <c r="D448" s="3509"/>
      <c r="E448" s="3509"/>
      <c r="F448" s="3509"/>
      <c r="G448" s="3509"/>
      <c r="H448" s="3509"/>
      <c r="I448" s="3509"/>
      <c r="J448" s="3509"/>
      <c r="K448" s="3510"/>
      <c r="L448" s="3511"/>
      <c r="M448" s="3509"/>
      <c r="N448" s="3509"/>
      <c r="O448" s="3509"/>
      <c r="P448" s="3553"/>
      <c r="Q448" s="3509"/>
      <c r="R448" s="3509"/>
      <c r="S448" s="3509"/>
      <c r="T448" s="3509"/>
      <c r="U448" s="3509"/>
      <c r="V448" s="3509"/>
      <c r="W448" s="3509"/>
      <c r="X448" s="3509"/>
      <c r="Y448" s="3509"/>
      <c r="Z448" s="3509"/>
      <c r="AA448" s="3509"/>
      <c r="AB448" s="3509"/>
      <c r="AC448" s="3509"/>
    </row>
    <row r="449" spans="1:29">
      <c r="A449" s="3509"/>
      <c r="B449" s="3509"/>
      <c r="C449" s="3509"/>
      <c r="D449" s="3509"/>
      <c r="E449" s="3509"/>
      <c r="F449" s="3509"/>
      <c r="G449" s="3509"/>
      <c r="H449" s="3509"/>
      <c r="I449" s="3509"/>
      <c r="J449" s="3509"/>
      <c r="K449" s="3510"/>
      <c r="L449" s="3511"/>
      <c r="M449" s="3509"/>
      <c r="N449" s="3509"/>
      <c r="O449" s="3509"/>
      <c r="P449" s="3553"/>
      <c r="Q449" s="3509"/>
      <c r="R449" s="3509"/>
      <c r="S449" s="3509"/>
      <c r="T449" s="3509"/>
      <c r="U449" s="3509"/>
      <c r="V449" s="3509"/>
      <c r="W449" s="3509"/>
      <c r="X449" s="3509"/>
      <c r="Y449" s="3509"/>
      <c r="Z449" s="3509"/>
      <c r="AA449" s="3509"/>
      <c r="AB449" s="3509"/>
      <c r="AC449" s="3509"/>
    </row>
    <row r="450" spans="1:29">
      <c r="A450" s="3509"/>
      <c r="B450" s="3509"/>
      <c r="C450" s="3509"/>
      <c r="D450" s="3509"/>
      <c r="E450" s="3509"/>
      <c r="F450" s="3509"/>
      <c r="G450" s="3509"/>
      <c r="H450" s="3509"/>
      <c r="I450" s="3509"/>
      <c r="J450" s="3509"/>
      <c r="K450" s="3510"/>
      <c r="L450" s="3511"/>
      <c r="M450" s="3509"/>
      <c r="N450" s="3509"/>
      <c r="O450" s="3509"/>
      <c r="P450" s="3553"/>
      <c r="Q450" s="3509"/>
      <c r="R450" s="3509"/>
      <c r="S450" s="3509"/>
      <c r="T450" s="3509"/>
      <c r="U450" s="3509"/>
      <c r="V450" s="3509"/>
      <c r="W450" s="3509"/>
      <c r="X450" s="3509"/>
      <c r="Y450" s="3509"/>
      <c r="Z450" s="3509"/>
      <c r="AA450" s="3509"/>
      <c r="AB450" s="3509"/>
      <c r="AC450" s="3509"/>
    </row>
    <row r="451" spans="1:29">
      <c r="A451" s="3509"/>
      <c r="B451" s="3509"/>
      <c r="C451" s="3509"/>
      <c r="D451" s="3509"/>
      <c r="E451" s="3509"/>
      <c r="F451" s="3509"/>
      <c r="G451" s="3509"/>
      <c r="H451" s="3509"/>
      <c r="I451" s="3509"/>
      <c r="J451" s="3509"/>
      <c r="K451" s="3510"/>
      <c r="L451" s="3511"/>
      <c r="M451" s="3509"/>
      <c r="N451" s="3509"/>
      <c r="O451" s="3509"/>
      <c r="P451" s="3553"/>
      <c r="Q451" s="3509"/>
      <c r="R451" s="3509"/>
      <c r="S451" s="3509"/>
      <c r="T451" s="3509"/>
      <c r="U451" s="3509"/>
      <c r="V451" s="3509"/>
      <c r="W451" s="3509"/>
      <c r="X451" s="3509"/>
      <c r="Y451" s="3509"/>
      <c r="Z451" s="3509"/>
      <c r="AA451" s="3509"/>
      <c r="AB451" s="3509"/>
      <c r="AC451" s="3509"/>
    </row>
    <row r="452" spans="1:29">
      <c r="A452" s="3509"/>
      <c r="B452" s="3509"/>
      <c r="C452" s="3509"/>
      <c r="D452" s="3509"/>
      <c r="E452" s="3509"/>
      <c r="F452" s="3509"/>
      <c r="G452" s="3509"/>
      <c r="H452" s="3509"/>
      <c r="I452" s="3509"/>
      <c r="J452" s="3509"/>
      <c r="K452" s="3510"/>
      <c r="L452" s="3511"/>
      <c r="M452" s="3509"/>
      <c r="N452" s="3509"/>
      <c r="O452" s="3509"/>
      <c r="P452" s="3553"/>
      <c r="Q452" s="3509"/>
      <c r="R452" s="3509"/>
      <c r="S452" s="3509"/>
      <c r="T452" s="3509"/>
      <c r="U452" s="3509"/>
      <c r="V452" s="3509"/>
      <c r="W452" s="3509"/>
      <c r="X452" s="3509"/>
      <c r="Y452" s="3509"/>
      <c r="Z452" s="3509"/>
      <c r="AA452" s="3509"/>
      <c r="AB452" s="3509"/>
      <c r="AC452" s="3509"/>
    </row>
    <row r="453" spans="1:29">
      <c r="A453" s="3509"/>
      <c r="B453" s="3509"/>
      <c r="C453" s="3509"/>
      <c r="D453" s="3509"/>
      <c r="E453" s="3509"/>
      <c r="F453" s="3509"/>
      <c r="G453" s="3509"/>
      <c r="H453" s="3509"/>
      <c r="I453" s="3509"/>
      <c r="J453" s="3509"/>
      <c r="K453" s="3510"/>
      <c r="L453" s="3511"/>
      <c r="M453" s="3509"/>
      <c r="N453" s="3509"/>
      <c r="O453" s="3509"/>
      <c r="P453" s="3553"/>
      <c r="Q453" s="3509"/>
      <c r="R453" s="3509"/>
      <c r="S453" s="3509"/>
      <c r="T453" s="3509"/>
      <c r="U453" s="3509"/>
      <c r="V453" s="3509"/>
      <c r="W453" s="3509"/>
      <c r="X453" s="3509"/>
      <c r="Y453" s="3509"/>
      <c r="Z453" s="3509"/>
      <c r="AA453" s="3509"/>
      <c r="AB453" s="3509"/>
      <c r="AC453" s="3509"/>
    </row>
    <row r="454" spans="1:29">
      <c r="A454" s="3509"/>
      <c r="B454" s="3509"/>
      <c r="C454" s="3509"/>
      <c r="D454" s="3509"/>
      <c r="E454" s="3509"/>
      <c r="F454" s="3509"/>
      <c r="G454" s="3509"/>
      <c r="H454" s="3509"/>
      <c r="I454" s="3509"/>
      <c r="J454" s="3509"/>
      <c r="K454" s="3510"/>
      <c r="L454" s="3511"/>
      <c r="M454" s="3509"/>
      <c r="N454" s="3509"/>
      <c r="O454" s="3509"/>
      <c r="P454" s="3553"/>
      <c r="Q454" s="3509"/>
      <c r="R454" s="3509"/>
      <c r="S454" s="3509"/>
      <c r="T454" s="3509"/>
      <c r="U454" s="3509"/>
      <c r="V454" s="3509"/>
      <c r="W454" s="3509"/>
      <c r="X454" s="3509"/>
      <c r="Y454" s="3509"/>
      <c r="Z454" s="3509"/>
      <c r="AA454" s="3509"/>
      <c r="AB454" s="3509"/>
      <c r="AC454" s="3509"/>
    </row>
    <row r="455" spans="1:29">
      <c r="A455" s="3509"/>
      <c r="B455" s="3509"/>
      <c r="C455" s="3509"/>
      <c r="D455" s="3509"/>
      <c r="E455" s="3509"/>
      <c r="F455" s="3509"/>
      <c r="G455" s="3509"/>
      <c r="H455" s="3509"/>
      <c r="I455" s="3509"/>
      <c r="J455" s="3509"/>
      <c r="K455" s="3510"/>
      <c r="L455" s="3511"/>
      <c r="M455" s="3509"/>
      <c r="N455" s="3509"/>
      <c r="O455" s="3509"/>
      <c r="P455" s="3553"/>
      <c r="Q455" s="3509"/>
      <c r="R455" s="3509"/>
      <c r="S455" s="3509"/>
      <c r="T455" s="3509"/>
      <c r="U455" s="3509"/>
      <c r="V455" s="3509"/>
      <c r="W455" s="3509"/>
      <c r="X455" s="3509"/>
      <c r="Y455" s="3509"/>
      <c r="Z455" s="3509"/>
      <c r="AA455" s="3509"/>
      <c r="AB455" s="3509"/>
      <c r="AC455" s="3509"/>
    </row>
    <row r="456" spans="1:29">
      <c r="A456" s="3509"/>
      <c r="B456" s="3509"/>
      <c r="C456" s="3509"/>
      <c r="D456" s="3509"/>
      <c r="E456" s="3509"/>
      <c r="F456" s="3509"/>
      <c r="G456" s="3509"/>
      <c r="H456" s="3509"/>
      <c r="I456" s="3509"/>
      <c r="J456" s="3509"/>
      <c r="K456" s="3510"/>
      <c r="L456" s="3511"/>
      <c r="M456" s="3509"/>
      <c r="N456" s="3509"/>
      <c r="O456" s="3509"/>
      <c r="P456" s="3553"/>
      <c r="Q456" s="3509"/>
      <c r="R456" s="3509"/>
      <c r="S456" s="3509"/>
      <c r="T456" s="3509"/>
      <c r="U456" s="3509"/>
      <c r="V456" s="3509"/>
      <c r="W456" s="3509"/>
      <c r="X456" s="3509"/>
      <c r="Y456" s="3509"/>
      <c r="Z456" s="3509"/>
      <c r="AA456" s="3509"/>
      <c r="AB456" s="3509"/>
      <c r="AC456" s="3509"/>
    </row>
    <row r="457" spans="1:29">
      <c r="A457" s="3509"/>
      <c r="B457" s="3509"/>
      <c r="C457" s="3509"/>
      <c r="D457" s="3509"/>
      <c r="E457" s="3509"/>
      <c r="F457" s="3509"/>
      <c r="G457" s="3509"/>
      <c r="H457" s="3509"/>
      <c r="I457" s="3509"/>
      <c r="J457" s="3509"/>
      <c r="K457" s="3510"/>
      <c r="L457" s="3511"/>
      <c r="M457" s="3509"/>
      <c r="N457" s="3509"/>
      <c r="O457" s="3509"/>
      <c r="P457" s="3553"/>
      <c r="Q457" s="3509"/>
      <c r="R457" s="3509"/>
      <c r="S457" s="3509"/>
      <c r="T457" s="3509"/>
      <c r="U457" s="3509"/>
      <c r="V457" s="3509"/>
      <c r="W457" s="3509"/>
      <c r="X457" s="3509"/>
      <c r="Y457" s="3509"/>
      <c r="Z457" s="3509"/>
      <c r="AA457" s="3509"/>
      <c r="AB457" s="3509"/>
      <c r="AC457" s="3509"/>
    </row>
    <row r="458" spans="1:29">
      <c r="A458" s="3509"/>
      <c r="B458" s="3509"/>
      <c r="C458" s="3509"/>
      <c r="D458" s="3509"/>
      <c r="E458" s="3509"/>
      <c r="F458" s="3509"/>
      <c r="G458" s="3509"/>
      <c r="H458" s="3509"/>
      <c r="I458" s="3509"/>
      <c r="J458" s="3509"/>
      <c r="K458" s="3510"/>
      <c r="L458" s="3511"/>
      <c r="M458" s="3509"/>
      <c r="N458" s="3509"/>
      <c r="O458" s="3509"/>
      <c r="P458" s="3553"/>
      <c r="Q458" s="3509"/>
      <c r="R458" s="3509"/>
      <c r="S458" s="3509"/>
      <c r="T458" s="3509"/>
      <c r="U458" s="3509"/>
      <c r="V458" s="3509"/>
      <c r="W458" s="3509"/>
      <c r="X458" s="3509"/>
      <c r="Y458" s="3509"/>
      <c r="Z458" s="3509"/>
      <c r="AA458" s="3509"/>
      <c r="AB458" s="3509"/>
      <c r="AC458" s="3509"/>
    </row>
    <row r="459" spans="1:29">
      <c r="A459" s="3509"/>
      <c r="B459" s="3509"/>
      <c r="C459" s="3509"/>
      <c r="D459" s="3509"/>
      <c r="E459" s="3509"/>
      <c r="F459" s="3509"/>
      <c r="G459" s="3509"/>
      <c r="H459" s="3509"/>
      <c r="I459" s="3509"/>
      <c r="J459" s="3509"/>
      <c r="K459" s="3510"/>
      <c r="L459" s="3511"/>
      <c r="M459" s="3509"/>
      <c r="N459" s="3509"/>
      <c r="O459" s="3509"/>
      <c r="P459" s="3553"/>
      <c r="Q459" s="3509"/>
      <c r="R459" s="3509"/>
      <c r="S459" s="3509"/>
      <c r="T459" s="3509"/>
      <c r="U459" s="3509"/>
      <c r="V459" s="3509"/>
      <c r="W459" s="3509"/>
      <c r="X459" s="3509"/>
      <c r="Y459" s="3509"/>
      <c r="Z459" s="3509"/>
      <c r="AA459" s="3509"/>
      <c r="AB459" s="3509"/>
      <c r="AC459" s="3509"/>
    </row>
    <row r="460" spans="1:29">
      <c r="A460" s="3509"/>
      <c r="B460" s="3509"/>
      <c r="C460" s="3509"/>
      <c r="D460" s="3509"/>
      <c r="E460" s="3509"/>
      <c r="F460" s="3509"/>
      <c r="G460" s="3509"/>
      <c r="H460" s="3509"/>
      <c r="I460" s="3509"/>
      <c r="J460" s="3509"/>
      <c r="K460" s="3510"/>
      <c r="L460" s="3511"/>
      <c r="M460" s="3509"/>
      <c r="N460" s="3509"/>
      <c r="O460" s="3509"/>
      <c r="P460" s="3553"/>
      <c r="Q460" s="3509"/>
      <c r="R460" s="3509"/>
      <c r="S460" s="3509"/>
      <c r="T460" s="3509"/>
      <c r="U460" s="3509"/>
      <c r="V460" s="3509"/>
      <c r="W460" s="3509"/>
      <c r="X460" s="3509"/>
      <c r="Y460" s="3509"/>
      <c r="Z460" s="3509"/>
      <c r="AA460" s="3509"/>
      <c r="AB460" s="3509"/>
      <c r="AC460" s="3509"/>
    </row>
    <row r="461" spans="1:29">
      <c r="A461" s="3509"/>
      <c r="B461" s="3509"/>
      <c r="C461" s="3509"/>
      <c r="D461" s="3509"/>
      <c r="E461" s="3509"/>
      <c r="F461" s="3509"/>
      <c r="G461" s="3509"/>
      <c r="H461" s="3509"/>
      <c r="I461" s="3509"/>
      <c r="J461" s="3509"/>
      <c r="K461" s="3510"/>
      <c r="L461" s="3511"/>
      <c r="M461" s="3509"/>
      <c r="N461" s="3509"/>
      <c r="O461" s="3509"/>
      <c r="P461" s="3553"/>
      <c r="Q461" s="3509"/>
      <c r="R461" s="3509"/>
      <c r="S461" s="3509"/>
      <c r="T461" s="3509"/>
      <c r="U461" s="3509"/>
      <c r="V461" s="3509"/>
      <c r="W461" s="3509"/>
      <c r="X461" s="3509"/>
      <c r="Y461" s="3509"/>
      <c r="Z461" s="3509"/>
      <c r="AA461" s="3509"/>
      <c r="AB461" s="3509"/>
      <c r="AC461" s="3509"/>
    </row>
    <row r="462" spans="1:29">
      <c r="A462" s="3509"/>
      <c r="B462" s="3509"/>
      <c r="C462" s="3509"/>
      <c r="D462" s="3509"/>
      <c r="E462" s="3509"/>
      <c r="F462" s="3509"/>
      <c r="G462" s="3509"/>
      <c r="H462" s="3509"/>
      <c r="I462" s="3509"/>
      <c r="J462" s="3509"/>
      <c r="K462" s="3510"/>
      <c r="L462" s="3511"/>
      <c r="M462" s="3509"/>
      <c r="N462" s="3509"/>
      <c r="O462" s="3509"/>
      <c r="P462" s="3553"/>
      <c r="Q462" s="3509"/>
      <c r="R462" s="3509"/>
      <c r="S462" s="3509"/>
      <c r="T462" s="3509"/>
      <c r="U462" s="3509"/>
      <c r="V462" s="3509"/>
      <c r="W462" s="3509"/>
      <c r="X462" s="3509"/>
      <c r="Y462" s="3509"/>
      <c r="Z462" s="3509"/>
      <c r="AA462" s="3509"/>
      <c r="AB462" s="3509"/>
      <c r="AC462" s="3509"/>
    </row>
    <row r="463" spans="1:29">
      <c r="A463" s="3509"/>
      <c r="B463" s="3509"/>
      <c r="C463" s="3509"/>
      <c r="D463" s="3509"/>
      <c r="E463" s="3509"/>
      <c r="F463" s="3509"/>
      <c r="G463" s="3509"/>
      <c r="H463" s="3509"/>
      <c r="I463" s="3509"/>
      <c r="J463" s="3509"/>
      <c r="K463" s="3510"/>
      <c r="L463" s="3511"/>
      <c r="M463" s="3509"/>
      <c r="N463" s="3509"/>
      <c r="O463" s="3509"/>
      <c r="P463" s="3553"/>
      <c r="Q463" s="3509"/>
      <c r="R463" s="3509"/>
      <c r="S463" s="3509"/>
      <c r="T463" s="3509"/>
      <c r="U463" s="3509"/>
      <c r="V463" s="3509"/>
      <c r="W463" s="3509"/>
      <c r="X463" s="3509"/>
      <c r="Y463" s="3509"/>
      <c r="Z463" s="3509"/>
      <c r="AA463" s="3509"/>
      <c r="AB463" s="3509"/>
      <c r="AC463" s="3509"/>
    </row>
    <row r="464" spans="1:29">
      <c r="A464" s="3509"/>
      <c r="B464" s="3509"/>
      <c r="C464" s="3509"/>
      <c r="D464" s="3509"/>
      <c r="E464" s="3509"/>
      <c r="F464" s="3509"/>
      <c r="G464" s="3509"/>
      <c r="H464" s="3509"/>
      <c r="I464" s="3509"/>
      <c r="J464" s="3509"/>
      <c r="K464" s="3510"/>
      <c r="L464" s="3511"/>
      <c r="M464" s="3509"/>
      <c r="N464" s="3509"/>
      <c r="O464" s="3509"/>
      <c r="P464" s="3553"/>
      <c r="Q464" s="3509"/>
      <c r="R464" s="3509"/>
      <c r="S464" s="3509"/>
      <c r="T464" s="3509"/>
      <c r="U464" s="3509"/>
      <c r="V464" s="3509"/>
      <c r="W464" s="3509"/>
      <c r="X464" s="3509"/>
      <c r="Y464" s="3509"/>
      <c r="Z464" s="3509"/>
      <c r="AA464" s="3509"/>
      <c r="AB464" s="3509"/>
      <c r="AC464" s="3509"/>
    </row>
    <row r="465" spans="1:29">
      <c r="A465" s="3509"/>
      <c r="B465" s="3509"/>
      <c r="C465" s="3509"/>
      <c r="D465" s="3509"/>
      <c r="E465" s="3509"/>
      <c r="F465" s="3509"/>
      <c r="G465" s="3509"/>
      <c r="H465" s="3509"/>
      <c r="I465" s="3509"/>
      <c r="J465" s="3509"/>
      <c r="K465" s="3510"/>
      <c r="L465" s="3511"/>
      <c r="M465" s="3509"/>
      <c r="N465" s="3509"/>
      <c r="O465" s="3509"/>
      <c r="P465" s="3553"/>
      <c r="Q465" s="3509"/>
      <c r="R465" s="3509"/>
      <c r="S465" s="3509"/>
      <c r="T465" s="3509"/>
      <c r="U465" s="3509"/>
      <c r="V465" s="3509"/>
      <c r="W465" s="3509"/>
      <c r="X465" s="3509"/>
      <c r="Y465" s="3509"/>
      <c r="Z465" s="3509"/>
      <c r="AA465" s="3509"/>
      <c r="AB465" s="3509"/>
      <c r="AC465" s="3509"/>
    </row>
    <row r="466" spans="1:29">
      <c r="A466" s="3509"/>
      <c r="B466" s="3509"/>
      <c r="C466" s="3509"/>
      <c r="D466" s="3509"/>
      <c r="E466" s="3509"/>
      <c r="F466" s="3509"/>
      <c r="G466" s="3509"/>
      <c r="H466" s="3509"/>
      <c r="I466" s="3509"/>
      <c r="J466" s="3509"/>
      <c r="K466" s="3510"/>
      <c r="L466" s="3511"/>
      <c r="M466" s="3509"/>
      <c r="N466" s="3509"/>
      <c r="O466" s="3509"/>
      <c r="P466" s="3553"/>
      <c r="Q466" s="3509"/>
      <c r="R466" s="3509"/>
      <c r="S466" s="3509"/>
      <c r="T466" s="3509"/>
      <c r="U466" s="3509"/>
      <c r="V466" s="3509"/>
      <c r="W466" s="3509"/>
      <c r="X466" s="3509"/>
      <c r="Y466" s="3509"/>
      <c r="Z466" s="3509"/>
      <c r="AA466" s="3509"/>
      <c r="AB466" s="3509"/>
      <c r="AC466" s="3509"/>
    </row>
    <row r="467" spans="1:29">
      <c r="A467" s="3509"/>
      <c r="B467" s="3509"/>
      <c r="C467" s="3509"/>
      <c r="D467" s="3509"/>
      <c r="E467" s="3509"/>
      <c r="F467" s="3509"/>
      <c r="G467" s="3509"/>
      <c r="H467" s="3509"/>
      <c r="I467" s="3509"/>
      <c r="J467" s="3509"/>
      <c r="K467" s="3510"/>
      <c r="L467" s="3511"/>
      <c r="M467" s="3509"/>
      <c r="N467" s="3509"/>
      <c r="O467" s="3509"/>
      <c r="P467" s="3553"/>
      <c r="Q467" s="3509"/>
      <c r="R467" s="3509"/>
      <c r="S467" s="3509"/>
      <c r="T467" s="3509"/>
      <c r="U467" s="3509"/>
      <c r="V467" s="3509"/>
      <c r="W467" s="3509"/>
      <c r="X467" s="3509"/>
      <c r="Y467" s="3509"/>
      <c r="Z467" s="3509"/>
      <c r="AA467" s="3509"/>
      <c r="AB467" s="3509"/>
      <c r="AC467" s="3509"/>
    </row>
    <row r="468" spans="1:29">
      <c r="A468" s="3509"/>
      <c r="B468" s="3509"/>
      <c r="C468" s="3509"/>
      <c r="D468" s="3509"/>
      <c r="E468" s="3509"/>
      <c r="F468" s="3509"/>
      <c r="G468" s="3509"/>
      <c r="H468" s="3509"/>
      <c r="I468" s="3509"/>
      <c r="J468" s="3509"/>
      <c r="K468" s="3510"/>
      <c r="L468" s="3511"/>
      <c r="M468" s="3509"/>
      <c r="N468" s="3509"/>
      <c r="O468" s="3509"/>
      <c r="P468" s="3553"/>
      <c r="Q468" s="3509"/>
      <c r="R468" s="3509"/>
      <c r="S468" s="3509"/>
      <c r="T468" s="3509"/>
      <c r="U468" s="3509"/>
      <c r="V468" s="3509"/>
      <c r="W468" s="3509"/>
      <c r="X468" s="3509"/>
      <c r="Y468" s="3509"/>
      <c r="Z468" s="3509"/>
      <c r="AA468" s="3509"/>
      <c r="AB468" s="3509"/>
      <c r="AC468" s="3509"/>
    </row>
    <row r="469" spans="1:29">
      <c r="A469" s="3509"/>
      <c r="B469" s="3509"/>
      <c r="C469" s="3509"/>
      <c r="D469" s="3509"/>
      <c r="E469" s="3509"/>
      <c r="F469" s="3509"/>
      <c r="G469" s="3509"/>
      <c r="H469" s="3509"/>
      <c r="I469" s="3509"/>
      <c r="J469" s="3509"/>
      <c r="K469" s="3510"/>
      <c r="L469" s="3511"/>
      <c r="M469" s="3509"/>
      <c r="N469" s="3509"/>
      <c r="O469" s="3509"/>
      <c r="P469" s="3553"/>
      <c r="Q469" s="3509"/>
      <c r="R469" s="3509"/>
      <c r="S469" s="3509"/>
      <c r="T469" s="3509"/>
      <c r="U469" s="3509"/>
      <c r="V469" s="3509"/>
      <c r="W469" s="3509"/>
      <c r="X469" s="3509"/>
      <c r="Y469" s="3509"/>
      <c r="Z469" s="3509"/>
      <c r="AA469" s="3509"/>
      <c r="AB469" s="3509"/>
      <c r="AC469" s="3509"/>
    </row>
    <row r="470" spans="1:29">
      <c r="A470" s="3509"/>
      <c r="B470" s="3509"/>
      <c r="C470" s="3509"/>
      <c r="D470" s="3509"/>
      <c r="E470" s="3509"/>
      <c r="F470" s="3509"/>
      <c r="G470" s="3509"/>
      <c r="H470" s="3509"/>
      <c r="I470" s="3509"/>
      <c r="J470" s="3509"/>
      <c r="K470" s="3510"/>
      <c r="L470" s="3511"/>
      <c r="M470" s="3509"/>
      <c r="N470" s="3509"/>
      <c r="O470" s="3509"/>
      <c r="P470" s="3553"/>
      <c r="Q470" s="3509"/>
      <c r="R470" s="3509"/>
      <c r="S470" s="3509"/>
      <c r="T470" s="3509"/>
      <c r="U470" s="3509"/>
      <c r="V470" s="3509"/>
      <c r="W470" s="3509"/>
      <c r="X470" s="3509"/>
      <c r="Y470" s="3509"/>
      <c r="Z470" s="3509"/>
      <c r="AA470" s="3509"/>
      <c r="AB470" s="3509"/>
      <c r="AC470" s="3509"/>
    </row>
    <row r="471" spans="1:29">
      <c r="A471" s="3509"/>
      <c r="B471" s="3509"/>
      <c r="C471" s="3509"/>
      <c r="D471" s="3509"/>
      <c r="E471" s="3509"/>
      <c r="F471" s="3509"/>
      <c r="G471" s="3509"/>
      <c r="H471" s="3509"/>
      <c r="I471" s="3509"/>
      <c r="J471" s="3509"/>
      <c r="K471" s="3510"/>
      <c r="L471" s="3511"/>
      <c r="M471" s="3509"/>
      <c r="N471" s="3509"/>
      <c r="O471" s="3509"/>
      <c r="P471" s="3553"/>
      <c r="Q471" s="3509"/>
      <c r="R471" s="3509"/>
      <c r="S471" s="3509"/>
      <c r="T471" s="3509"/>
      <c r="U471" s="3509"/>
      <c r="V471" s="3509"/>
      <c r="W471" s="3509"/>
      <c r="X471" s="3509"/>
      <c r="Y471" s="3509"/>
      <c r="Z471" s="3509"/>
      <c r="AA471" s="3509"/>
      <c r="AB471" s="3509"/>
      <c r="AC471" s="3509"/>
    </row>
    <row r="472" spans="1:29">
      <c r="A472" s="3509"/>
      <c r="B472" s="3509"/>
      <c r="C472" s="3509"/>
      <c r="D472" s="3509"/>
      <c r="E472" s="3509"/>
      <c r="F472" s="3509"/>
      <c r="G472" s="3509"/>
      <c r="H472" s="3509"/>
      <c r="I472" s="3509"/>
      <c r="J472" s="3509"/>
      <c r="K472" s="3510"/>
      <c r="L472" s="3511"/>
      <c r="M472" s="3509"/>
      <c r="N472" s="3509"/>
      <c r="O472" s="3509"/>
      <c r="P472" s="3553"/>
      <c r="Q472" s="3509"/>
      <c r="R472" s="3509"/>
      <c r="S472" s="3509"/>
      <c r="T472" s="3509"/>
      <c r="U472" s="3509"/>
      <c r="V472" s="3509"/>
      <c r="W472" s="3509"/>
      <c r="X472" s="3509"/>
      <c r="Y472" s="3509"/>
      <c r="Z472" s="3509"/>
      <c r="AA472" s="3509"/>
      <c r="AB472" s="3509"/>
      <c r="AC472" s="3509"/>
    </row>
    <row r="473" spans="1:29">
      <c r="A473" s="3509"/>
      <c r="B473" s="3509"/>
      <c r="C473" s="3509"/>
      <c r="D473" s="3509"/>
      <c r="E473" s="3509"/>
      <c r="F473" s="3509"/>
      <c r="G473" s="3509"/>
      <c r="H473" s="3509"/>
      <c r="I473" s="3509"/>
      <c r="J473" s="3509"/>
      <c r="K473" s="3510"/>
      <c r="L473" s="3511"/>
      <c r="M473" s="3509"/>
      <c r="N473" s="3509"/>
      <c r="O473" s="3509"/>
      <c r="P473" s="3553"/>
      <c r="Q473" s="3509"/>
      <c r="R473" s="3509"/>
      <c r="S473" s="3509"/>
      <c r="T473" s="3509"/>
      <c r="U473" s="3509"/>
      <c r="V473" s="3509"/>
      <c r="W473" s="3509"/>
      <c r="X473" s="3509"/>
      <c r="Y473" s="3509"/>
      <c r="Z473" s="3509"/>
      <c r="AA473" s="3509"/>
      <c r="AB473" s="3509"/>
      <c r="AC473" s="3509"/>
    </row>
    <row r="474" spans="1:29">
      <c r="A474" s="3509"/>
      <c r="B474" s="3509"/>
      <c r="C474" s="3509"/>
      <c r="D474" s="3509"/>
      <c r="E474" s="3509"/>
      <c r="F474" s="3509"/>
      <c r="G474" s="3509"/>
      <c r="H474" s="3509"/>
      <c r="I474" s="3509"/>
      <c r="J474" s="3509"/>
      <c r="K474" s="3510"/>
      <c r="L474" s="3511"/>
      <c r="M474" s="3509"/>
      <c r="N474" s="3509"/>
      <c r="O474" s="3509"/>
      <c r="P474" s="3553"/>
      <c r="Q474" s="3509"/>
      <c r="R474" s="3509"/>
      <c r="S474" s="3509"/>
      <c r="T474" s="3509"/>
      <c r="U474" s="3509"/>
      <c r="V474" s="3509"/>
      <c r="W474" s="3509"/>
      <c r="X474" s="3509"/>
      <c r="Y474" s="3509"/>
      <c r="Z474" s="3509"/>
      <c r="AA474" s="3509"/>
      <c r="AB474" s="3509"/>
      <c r="AC474" s="3509"/>
    </row>
    <row r="475" spans="1:29">
      <c r="A475" s="3509"/>
      <c r="B475" s="3509"/>
      <c r="C475" s="3509"/>
      <c r="D475" s="3509"/>
      <c r="E475" s="3509"/>
      <c r="F475" s="3509"/>
      <c r="G475" s="3509"/>
      <c r="H475" s="3509"/>
      <c r="I475" s="3509"/>
      <c r="J475" s="3509"/>
      <c r="K475" s="3510"/>
      <c r="L475" s="3511"/>
      <c r="M475" s="3509"/>
      <c r="N475" s="3509"/>
      <c r="O475" s="3509"/>
      <c r="P475" s="3553"/>
      <c r="Q475" s="3509"/>
      <c r="R475" s="3509"/>
      <c r="S475" s="3509"/>
      <c r="T475" s="3509"/>
      <c r="U475" s="3509"/>
      <c r="V475" s="3509"/>
      <c r="W475" s="3509"/>
      <c r="X475" s="3509"/>
      <c r="Y475" s="3509"/>
      <c r="Z475" s="3509"/>
      <c r="AA475" s="3509"/>
      <c r="AB475" s="3509"/>
      <c r="AC475" s="3509"/>
    </row>
    <row r="476" spans="1:29">
      <c r="A476" s="3509"/>
      <c r="B476" s="3509"/>
      <c r="C476" s="3509"/>
      <c r="D476" s="3509"/>
      <c r="E476" s="3509"/>
      <c r="F476" s="3509"/>
      <c r="G476" s="3509"/>
      <c r="H476" s="3509"/>
      <c r="I476" s="3509"/>
      <c r="J476" s="3509"/>
      <c r="K476" s="3510"/>
      <c r="L476" s="3511"/>
      <c r="M476" s="3509"/>
      <c r="N476" s="3509"/>
      <c r="O476" s="3509"/>
      <c r="P476" s="3553"/>
      <c r="Q476" s="3509"/>
      <c r="R476" s="3509"/>
      <c r="S476" s="3509"/>
      <c r="T476" s="3509"/>
      <c r="U476" s="3509"/>
      <c r="V476" s="3509"/>
      <c r="W476" s="3509"/>
      <c r="X476" s="3509"/>
      <c r="Y476" s="3509"/>
      <c r="Z476" s="3509"/>
      <c r="AA476" s="3509"/>
      <c r="AB476" s="3509"/>
      <c r="AC476" s="3509"/>
    </row>
    <row r="477" spans="1:29">
      <c r="A477" s="3509"/>
      <c r="B477" s="3509"/>
      <c r="C477" s="3509"/>
      <c r="D477" s="3509"/>
      <c r="E477" s="3509"/>
      <c r="F477" s="3509"/>
      <c r="G477" s="3509"/>
      <c r="H477" s="3509"/>
      <c r="I477" s="3509"/>
      <c r="J477" s="3509"/>
      <c r="K477" s="3510"/>
      <c r="L477" s="3511"/>
      <c r="M477" s="3509"/>
      <c r="N477" s="3509"/>
      <c r="O477" s="3509"/>
      <c r="P477" s="3553"/>
      <c r="Q477" s="3509"/>
      <c r="R477" s="3509"/>
      <c r="S477" s="3509"/>
      <c r="T477" s="3509"/>
      <c r="U477" s="3509"/>
      <c r="V477" s="3509"/>
      <c r="W477" s="3509"/>
      <c r="X477" s="3509"/>
      <c r="Y477" s="3509"/>
      <c r="Z477" s="3509"/>
      <c r="AA477" s="3509"/>
      <c r="AB477" s="3509"/>
      <c r="AC477" s="3509"/>
    </row>
    <row r="478" spans="1:29">
      <c r="A478" s="3509"/>
      <c r="B478" s="3509"/>
      <c r="C478" s="3509"/>
      <c r="D478" s="3509"/>
      <c r="E478" s="3509"/>
      <c r="F478" s="3509"/>
      <c r="G478" s="3509"/>
      <c r="H478" s="3509"/>
      <c r="I478" s="3509"/>
      <c r="J478" s="3509"/>
      <c r="K478" s="3510"/>
      <c r="L478" s="3511"/>
      <c r="M478" s="3509"/>
      <c r="N478" s="3509"/>
      <c r="O478" s="3509"/>
      <c r="P478" s="3553"/>
      <c r="Q478" s="3509"/>
      <c r="R478" s="3509"/>
      <c r="S478" s="3509"/>
      <c r="T478" s="3509"/>
      <c r="U478" s="3509"/>
      <c r="V478" s="3509"/>
      <c r="W478" s="3509"/>
      <c r="X478" s="3509"/>
      <c r="Y478" s="3509"/>
      <c r="Z478" s="3509"/>
      <c r="AA478" s="3509"/>
      <c r="AB478" s="3509"/>
      <c r="AC478" s="3509"/>
    </row>
    <row r="479" spans="1:29">
      <c r="A479" s="3509"/>
      <c r="B479" s="3509"/>
      <c r="C479" s="3509"/>
      <c r="D479" s="3509"/>
      <c r="E479" s="3509"/>
      <c r="F479" s="3509"/>
      <c r="G479" s="3509"/>
      <c r="H479" s="3509"/>
      <c r="I479" s="3509"/>
      <c r="J479" s="3509"/>
      <c r="K479" s="3510"/>
      <c r="L479" s="3511"/>
      <c r="M479" s="3509"/>
      <c r="N479" s="3509"/>
      <c r="O479" s="3509"/>
      <c r="P479" s="3553"/>
      <c r="Q479" s="3509"/>
      <c r="R479" s="3509"/>
      <c r="S479" s="3509"/>
      <c r="T479" s="3509"/>
      <c r="U479" s="3509"/>
      <c r="V479" s="3509"/>
      <c r="W479" s="3509"/>
      <c r="X479" s="3509"/>
      <c r="Y479" s="3509"/>
      <c r="Z479" s="3509"/>
      <c r="AA479" s="3509"/>
      <c r="AB479" s="3509"/>
      <c r="AC479" s="3509"/>
    </row>
    <row r="480" spans="1:29">
      <c r="A480" s="3509"/>
      <c r="B480" s="3509"/>
      <c r="C480" s="3509"/>
      <c r="D480" s="3509"/>
      <c r="E480" s="3509"/>
      <c r="F480" s="3509"/>
      <c r="G480" s="3509"/>
      <c r="H480" s="3509"/>
      <c r="I480" s="3509"/>
      <c r="J480" s="3509"/>
      <c r="K480" s="3510"/>
      <c r="L480" s="3511"/>
      <c r="M480" s="3509"/>
      <c r="N480" s="3509"/>
      <c r="O480" s="3509"/>
      <c r="P480" s="3553"/>
      <c r="Q480" s="3509"/>
      <c r="R480" s="3509"/>
      <c r="S480" s="3509"/>
      <c r="T480" s="3509"/>
      <c r="U480" s="3509"/>
      <c r="V480" s="3509"/>
      <c r="W480" s="3509"/>
      <c r="X480" s="3509"/>
      <c r="Y480" s="3509"/>
      <c r="Z480" s="3509"/>
      <c r="AA480" s="3509"/>
      <c r="AB480" s="3509"/>
      <c r="AC480" s="3509"/>
    </row>
    <row r="481" spans="1:29">
      <c r="A481" s="3509"/>
      <c r="B481" s="3509"/>
      <c r="C481" s="3509"/>
      <c r="D481" s="3509"/>
      <c r="E481" s="3509"/>
      <c r="F481" s="3509"/>
      <c r="G481" s="3509"/>
      <c r="H481" s="3509"/>
      <c r="I481" s="3509"/>
      <c r="J481" s="3509"/>
      <c r="K481" s="3510"/>
      <c r="L481" s="3511"/>
      <c r="M481" s="3509"/>
      <c r="N481" s="3509"/>
      <c r="O481" s="3509"/>
      <c r="P481" s="3553"/>
      <c r="Q481" s="3509"/>
      <c r="R481" s="3509"/>
      <c r="S481" s="3509"/>
      <c r="T481" s="3509"/>
      <c r="U481" s="3509"/>
      <c r="V481" s="3509"/>
      <c r="W481" s="3509"/>
      <c r="X481" s="3509"/>
      <c r="Y481" s="3509"/>
      <c r="Z481" s="3509"/>
      <c r="AA481" s="3509"/>
      <c r="AB481" s="3509"/>
      <c r="AC481" s="3509"/>
    </row>
    <row r="482" spans="1:29">
      <c r="A482" s="3509"/>
      <c r="B482" s="3509"/>
      <c r="C482" s="3509"/>
      <c r="D482" s="3509"/>
      <c r="E482" s="3509"/>
      <c r="F482" s="3509"/>
      <c r="G482" s="3509"/>
      <c r="H482" s="3509"/>
      <c r="I482" s="3509"/>
      <c r="J482" s="3509"/>
      <c r="K482" s="3510"/>
      <c r="L482" s="3511"/>
      <c r="M482" s="3509"/>
      <c r="N482" s="3509"/>
      <c r="O482" s="3509"/>
      <c r="P482" s="3553"/>
      <c r="Q482" s="3509"/>
      <c r="R482" s="3509"/>
      <c r="S482" s="3509"/>
      <c r="T482" s="3509"/>
      <c r="U482" s="3509"/>
      <c r="V482" s="3509"/>
      <c r="W482" s="3509"/>
      <c r="X482" s="3509"/>
      <c r="Y482" s="3509"/>
      <c r="Z482" s="3509"/>
      <c r="AA482" s="3509"/>
      <c r="AB482" s="3509"/>
      <c r="AC482" s="3509"/>
    </row>
    <row r="483" spans="1:29">
      <c r="A483" s="3509"/>
      <c r="B483" s="3509"/>
      <c r="C483" s="3509"/>
      <c r="D483" s="3509"/>
      <c r="E483" s="3509"/>
      <c r="F483" s="3509"/>
      <c r="G483" s="3509"/>
      <c r="H483" s="3509"/>
      <c r="I483" s="3509"/>
      <c r="J483" s="3509"/>
      <c r="K483" s="3510"/>
      <c r="L483" s="3511"/>
      <c r="M483" s="3509"/>
      <c r="N483" s="3509"/>
      <c r="O483" s="3509"/>
      <c r="P483" s="3553"/>
      <c r="Q483" s="3509"/>
      <c r="R483" s="3509"/>
      <c r="S483" s="3509"/>
      <c r="T483" s="3509"/>
      <c r="U483" s="3509"/>
      <c r="V483" s="3509"/>
      <c r="W483" s="3509"/>
      <c r="X483" s="3509"/>
      <c r="Y483" s="3509"/>
      <c r="Z483" s="3509"/>
      <c r="AA483" s="3509"/>
      <c r="AB483" s="3509"/>
      <c r="AC483" s="3509"/>
    </row>
    <row r="484" spans="1:29">
      <c r="A484" s="3509"/>
      <c r="B484" s="3509"/>
      <c r="C484" s="3509"/>
      <c r="D484" s="3509"/>
      <c r="E484" s="3509"/>
      <c r="F484" s="3509"/>
      <c r="G484" s="3509"/>
      <c r="H484" s="3509"/>
      <c r="I484" s="3509"/>
      <c r="J484" s="3509"/>
      <c r="K484" s="3510"/>
      <c r="L484" s="3511"/>
      <c r="M484" s="3509"/>
      <c r="N484" s="3509"/>
      <c r="O484" s="3509"/>
      <c r="P484" s="3553"/>
      <c r="Q484" s="3509"/>
      <c r="R484" s="3509"/>
      <c r="S484" s="3509"/>
      <c r="T484" s="3509"/>
      <c r="U484" s="3509"/>
      <c r="V484" s="3509"/>
      <c r="W484" s="3509"/>
      <c r="X484" s="3509"/>
      <c r="Y484" s="3509"/>
      <c r="Z484" s="3509"/>
      <c r="AA484" s="3509"/>
      <c r="AB484" s="3509"/>
      <c r="AC484" s="3509"/>
    </row>
    <row r="485" spans="1:29">
      <c r="A485" s="3509"/>
      <c r="B485" s="3509"/>
      <c r="C485" s="3509"/>
      <c r="D485" s="3509"/>
      <c r="E485" s="3509"/>
      <c r="F485" s="3509"/>
      <c r="G485" s="3509"/>
      <c r="H485" s="3509"/>
      <c r="I485" s="3509"/>
      <c r="J485" s="3509"/>
      <c r="K485" s="3510"/>
      <c r="L485" s="3511"/>
      <c r="M485" s="3509"/>
      <c r="N485" s="3509"/>
      <c r="O485" s="3509"/>
      <c r="P485" s="3553"/>
      <c r="Q485" s="3509"/>
      <c r="R485" s="3509"/>
      <c r="S485" s="3509"/>
      <c r="T485" s="3509"/>
      <c r="U485" s="3509"/>
      <c r="V485" s="3509"/>
      <c r="W485" s="3509"/>
      <c r="X485" s="3509"/>
      <c r="Y485" s="3509"/>
      <c r="Z485" s="3509"/>
      <c r="AA485" s="3509"/>
      <c r="AB485" s="3509"/>
      <c r="AC485" s="3509"/>
    </row>
    <row r="486" spans="1:29">
      <c r="A486" s="3509"/>
      <c r="B486" s="3509"/>
      <c r="C486" s="3509"/>
      <c r="D486" s="3509"/>
      <c r="E486" s="3509"/>
      <c r="F486" s="3509"/>
      <c r="G486" s="3509"/>
      <c r="H486" s="3509"/>
      <c r="I486" s="3509"/>
      <c r="J486" s="3509"/>
      <c r="K486" s="3510"/>
      <c r="L486" s="3511"/>
      <c r="M486" s="3509"/>
      <c r="N486" s="3509"/>
      <c r="O486" s="3509"/>
      <c r="P486" s="3553"/>
      <c r="Q486" s="3509"/>
      <c r="R486" s="3509"/>
      <c r="S486" s="3509"/>
      <c r="T486" s="3509"/>
      <c r="U486" s="3509"/>
      <c r="V486" s="3509"/>
      <c r="W486" s="3509"/>
      <c r="X486" s="3509"/>
      <c r="Y486" s="3509"/>
      <c r="Z486" s="3509"/>
      <c r="AA486" s="3509"/>
      <c r="AB486" s="3509"/>
      <c r="AC486" s="3509"/>
    </row>
    <row r="487" spans="1:29">
      <c r="A487" s="3509"/>
      <c r="B487" s="3509"/>
      <c r="C487" s="3509"/>
      <c r="D487" s="3509"/>
      <c r="E487" s="3509"/>
      <c r="F487" s="3509"/>
      <c r="G487" s="3509"/>
      <c r="H487" s="3509"/>
      <c r="I487" s="3509"/>
      <c r="J487" s="3509"/>
      <c r="K487" s="3510"/>
      <c r="L487" s="3511"/>
      <c r="M487" s="3509"/>
      <c r="N487" s="3509"/>
      <c r="O487" s="3509"/>
      <c r="P487" s="3553"/>
      <c r="Q487" s="3509"/>
      <c r="R487" s="3509"/>
      <c r="S487" s="3509"/>
      <c r="T487" s="3509"/>
      <c r="U487" s="3509"/>
      <c r="V487" s="3509"/>
      <c r="W487" s="3509"/>
      <c r="X487" s="3509"/>
      <c r="Y487" s="3509"/>
      <c r="Z487" s="3509"/>
      <c r="AA487" s="3509"/>
      <c r="AB487" s="3509"/>
      <c r="AC487" s="3509"/>
    </row>
    <row r="488" spans="1:29">
      <c r="A488" s="3509"/>
      <c r="B488" s="3509"/>
      <c r="C488" s="3509"/>
      <c r="D488" s="3509"/>
      <c r="E488" s="3509"/>
      <c r="F488" s="3509"/>
      <c r="G488" s="3509"/>
      <c r="H488" s="3509"/>
      <c r="I488" s="3509"/>
      <c r="J488" s="3509"/>
      <c r="K488" s="3510"/>
      <c r="L488" s="3511"/>
      <c r="M488" s="3509"/>
      <c r="N488" s="3509"/>
      <c r="O488" s="3509"/>
      <c r="P488" s="3553"/>
      <c r="Q488" s="3509"/>
      <c r="R488" s="3509"/>
      <c r="S488" s="3509"/>
      <c r="T488" s="3509"/>
      <c r="U488" s="3509"/>
      <c r="V488" s="3509"/>
      <c r="W488" s="3509"/>
      <c r="X488" s="3509"/>
      <c r="Y488" s="3509"/>
      <c r="Z488" s="3509"/>
      <c r="AA488" s="3509"/>
      <c r="AB488" s="3509"/>
      <c r="AC488" s="3509"/>
    </row>
    <row r="489" spans="1:29">
      <c r="A489" s="3509"/>
      <c r="B489" s="3509"/>
      <c r="C489" s="3509"/>
      <c r="D489" s="3509"/>
      <c r="E489" s="3509"/>
      <c r="F489" s="3509"/>
      <c r="G489" s="3509"/>
      <c r="H489" s="3509"/>
      <c r="I489" s="3509"/>
      <c r="J489" s="3509"/>
      <c r="K489" s="3510"/>
      <c r="L489" s="3511"/>
      <c r="M489" s="3509"/>
      <c r="N489" s="3509"/>
      <c r="O489" s="3509"/>
      <c r="P489" s="3553"/>
      <c r="Q489" s="3509"/>
      <c r="R489" s="3509"/>
      <c r="S489" s="3509"/>
      <c r="T489" s="3509"/>
      <c r="U489" s="3509"/>
      <c r="V489" s="3509"/>
      <c r="W489" s="3509"/>
      <c r="X489" s="3509"/>
      <c r="Y489" s="3509"/>
      <c r="Z489" s="3509"/>
      <c r="AA489" s="3509"/>
      <c r="AB489" s="3509"/>
      <c r="AC489" s="3509"/>
    </row>
    <row r="490" spans="1:29">
      <c r="A490" s="3509"/>
      <c r="B490" s="3509"/>
      <c r="C490" s="3509"/>
      <c r="D490" s="3509"/>
      <c r="E490" s="3509"/>
      <c r="F490" s="3509"/>
      <c r="G490" s="3509"/>
      <c r="H490" s="3509"/>
      <c r="I490" s="3509"/>
      <c r="J490" s="3509"/>
      <c r="K490" s="3510"/>
      <c r="L490" s="3511"/>
      <c r="M490" s="3509"/>
      <c r="N490" s="3509"/>
      <c r="O490" s="3509"/>
      <c r="P490" s="3553"/>
      <c r="Q490" s="3509"/>
      <c r="R490" s="3509"/>
      <c r="S490" s="3509"/>
      <c r="T490" s="3509"/>
      <c r="U490" s="3509"/>
      <c r="V490" s="3509"/>
      <c r="W490" s="3509"/>
      <c r="X490" s="3509"/>
      <c r="Y490" s="3509"/>
      <c r="Z490" s="3509"/>
      <c r="AA490" s="3509"/>
      <c r="AB490" s="3509"/>
      <c r="AC490" s="3509"/>
    </row>
    <row r="491" spans="1:29">
      <c r="A491" s="3509"/>
      <c r="B491" s="3509"/>
      <c r="C491" s="3509"/>
      <c r="D491" s="3509"/>
      <c r="E491" s="3509"/>
      <c r="F491" s="3509"/>
      <c r="G491" s="3509"/>
      <c r="H491" s="3509"/>
      <c r="I491" s="3509"/>
      <c r="J491" s="3509"/>
      <c r="K491" s="3510"/>
      <c r="L491" s="3511"/>
      <c r="M491" s="3509"/>
      <c r="N491" s="3509"/>
      <c r="O491" s="3509"/>
      <c r="P491" s="3553"/>
      <c r="Q491" s="3509"/>
      <c r="R491" s="3509"/>
      <c r="S491" s="3509"/>
      <c r="T491" s="3509"/>
      <c r="U491" s="3509"/>
      <c r="V491" s="3509"/>
      <c r="W491" s="3509"/>
      <c r="X491" s="3509"/>
      <c r="Y491" s="3509"/>
      <c r="Z491" s="3509"/>
      <c r="AA491" s="3509"/>
      <c r="AB491" s="3509"/>
      <c r="AC491" s="3509"/>
    </row>
    <row r="492" spans="1:29">
      <c r="A492" s="3509"/>
      <c r="B492" s="3509"/>
      <c r="C492" s="3509"/>
      <c r="D492" s="3509"/>
      <c r="E492" s="3509"/>
      <c r="F492" s="3509"/>
      <c r="G492" s="3509"/>
      <c r="H492" s="3509"/>
      <c r="I492" s="3509"/>
      <c r="J492" s="3509"/>
      <c r="K492" s="3510"/>
      <c r="L492" s="3511"/>
      <c r="M492" s="3509"/>
      <c r="N492" s="3509"/>
      <c r="O492" s="3509"/>
      <c r="P492" s="3553"/>
      <c r="Q492" s="3509"/>
      <c r="R492" s="3509"/>
      <c r="S492" s="3509"/>
      <c r="T492" s="3509"/>
      <c r="U492" s="3509"/>
      <c r="V492" s="3509"/>
      <c r="W492" s="3509"/>
      <c r="X492" s="3509"/>
      <c r="Y492" s="3509"/>
      <c r="Z492" s="3509"/>
      <c r="AA492" s="3509"/>
      <c r="AB492" s="3509"/>
      <c r="AC492" s="3509"/>
    </row>
    <row r="493" spans="1:29">
      <c r="A493" s="3509"/>
      <c r="B493" s="3509"/>
      <c r="C493" s="3509"/>
      <c r="D493" s="3509"/>
      <c r="E493" s="3509"/>
      <c r="F493" s="3509"/>
      <c r="G493" s="3509"/>
      <c r="H493" s="3509"/>
      <c r="I493" s="3509"/>
      <c r="J493" s="3509"/>
      <c r="K493" s="3510"/>
      <c r="L493" s="3511"/>
      <c r="M493" s="3509"/>
      <c r="N493" s="3509"/>
      <c r="O493" s="3509"/>
      <c r="P493" s="3553"/>
      <c r="Q493" s="3509"/>
      <c r="R493" s="3509"/>
      <c r="S493" s="3509"/>
      <c r="T493" s="3509"/>
      <c r="U493" s="3509"/>
      <c r="V493" s="3509"/>
      <c r="W493" s="3509"/>
      <c r="X493" s="3509"/>
      <c r="Y493" s="3509"/>
      <c r="Z493" s="3509"/>
      <c r="AA493" s="3509"/>
      <c r="AB493" s="3509"/>
      <c r="AC493" s="3509"/>
    </row>
    <row r="494" spans="1:29">
      <c r="A494" s="3509"/>
      <c r="B494" s="3509"/>
      <c r="C494" s="3509"/>
      <c r="D494" s="3509"/>
      <c r="E494" s="3509"/>
      <c r="F494" s="3509"/>
      <c r="G494" s="3509"/>
      <c r="H494" s="3509"/>
      <c r="I494" s="3509"/>
      <c r="J494" s="3509"/>
      <c r="K494" s="3510"/>
      <c r="L494" s="3511"/>
      <c r="M494" s="3509"/>
      <c r="N494" s="3509"/>
      <c r="O494" s="3509"/>
      <c r="P494" s="3553"/>
      <c r="Q494" s="3509"/>
      <c r="R494" s="3509"/>
      <c r="S494" s="3509"/>
      <c r="T494" s="3509"/>
      <c r="U494" s="3509"/>
      <c r="V494" s="3509"/>
      <c r="W494" s="3509"/>
      <c r="X494" s="3509"/>
      <c r="Y494" s="3509"/>
      <c r="Z494" s="3509"/>
      <c r="AA494" s="3509"/>
      <c r="AB494" s="3509"/>
      <c r="AC494" s="3509"/>
    </row>
    <row r="495" spans="1:29">
      <c r="A495" s="3509"/>
      <c r="B495" s="3509"/>
      <c r="C495" s="3509"/>
      <c r="D495" s="3509"/>
      <c r="E495" s="3509"/>
      <c r="F495" s="3509"/>
      <c r="G495" s="3509"/>
      <c r="H495" s="3509"/>
      <c r="I495" s="3509"/>
      <c r="J495" s="3509"/>
      <c r="K495" s="3510"/>
      <c r="L495" s="3511"/>
      <c r="M495" s="3509"/>
      <c r="N495" s="3509"/>
      <c r="O495" s="3509"/>
      <c r="P495" s="3553"/>
      <c r="Q495" s="3509"/>
      <c r="R495" s="3509"/>
      <c r="S495" s="3509"/>
      <c r="T495" s="3509"/>
      <c r="U495" s="3509"/>
      <c r="V495" s="3509"/>
      <c r="W495" s="3509"/>
      <c r="X495" s="3509"/>
      <c r="Y495" s="3509"/>
      <c r="Z495" s="3509"/>
      <c r="AA495" s="3509"/>
      <c r="AB495" s="3509"/>
      <c r="AC495" s="3509"/>
    </row>
    <row r="496" spans="1:29">
      <c r="A496" s="3509"/>
      <c r="B496" s="3509"/>
      <c r="C496" s="3509"/>
      <c r="D496" s="3509"/>
      <c r="E496" s="3509"/>
      <c r="F496" s="3509"/>
      <c r="G496" s="3509"/>
      <c r="H496" s="3509"/>
      <c r="I496" s="3509"/>
      <c r="J496" s="3509"/>
      <c r="K496" s="3510"/>
      <c r="L496" s="3511"/>
      <c r="M496" s="3509"/>
      <c r="N496" s="3509"/>
      <c r="O496" s="3509"/>
      <c r="P496" s="3553"/>
      <c r="Q496" s="3509"/>
      <c r="R496" s="3509"/>
      <c r="S496" s="3509"/>
      <c r="T496" s="3509"/>
      <c r="U496" s="3509"/>
      <c r="V496" s="3509"/>
      <c r="W496" s="3509"/>
      <c r="X496" s="3509"/>
      <c r="Y496" s="3509"/>
      <c r="Z496" s="3509"/>
      <c r="AA496" s="3509"/>
      <c r="AB496" s="3509"/>
      <c r="AC496" s="3509"/>
    </row>
    <row r="497" spans="1:29">
      <c r="A497" s="3509"/>
      <c r="B497" s="3509"/>
      <c r="C497" s="3509"/>
      <c r="D497" s="3509"/>
      <c r="E497" s="3509"/>
      <c r="F497" s="3509"/>
      <c r="G497" s="3509"/>
      <c r="H497" s="3509"/>
      <c r="I497" s="3509"/>
      <c r="J497" s="3509"/>
      <c r="K497" s="3510"/>
      <c r="L497" s="3511"/>
      <c r="M497" s="3509"/>
      <c r="N497" s="3509"/>
      <c r="O497" s="3509"/>
      <c r="P497" s="3553"/>
      <c r="Q497" s="3509"/>
      <c r="R497" s="3509"/>
      <c r="S497" s="3509"/>
      <c r="T497" s="3509"/>
      <c r="U497" s="3509"/>
      <c r="V497" s="3509"/>
      <c r="W497" s="3509"/>
      <c r="X497" s="3509"/>
      <c r="Y497" s="3509"/>
      <c r="Z497" s="3509"/>
      <c r="AA497" s="3509"/>
      <c r="AB497" s="3509"/>
      <c r="AC497" s="3509"/>
    </row>
    <row r="498" spans="1:29">
      <c r="A498" s="3509"/>
      <c r="B498" s="3509"/>
      <c r="C498" s="3509"/>
      <c r="D498" s="3509"/>
      <c r="E498" s="3509"/>
      <c r="F498" s="3509"/>
      <c r="G498" s="3509"/>
      <c r="H498" s="3509"/>
      <c r="I498" s="3509"/>
      <c r="J498" s="3509"/>
      <c r="K498" s="3510"/>
      <c r="L498" s="3511"/>
      <c r="M498" s="3509"/>
      <c r="N498" s="3509"/>
      <c r="O498" s="3509"/>
      <c r="P498" s="3553"/>
      <c r="Q498" s="3509"/>
      <c r="R498" s="3509"/>
      <c r="S498" s="3509"/>
      <c r="T498" s="3509"/>
      <c r="U498" s="3509"/>
      <c r="V498" s="3509"/>
      <c r="W498" s="3509"/>
      <c r="X498" s="3509"/>
      <c r="Y498" s="3509"/>
      <c r="Z498" s="3509"/>
      <c r="AA498" s="3509"/>
      <c r="AB498" s="3509"/>
      <c r="AC498" s="3509"/>
    </row>
    <row r="499" spans="1:29">
      <c r="A499" s="3509"/>
      <c r="B499" s="3509"/>
      <c r="C499" s="3509"/>
      <c r="D499" s="3509"/>
      <c r="E499" s="3509"/>
      <c r="F499" s="3509"/>
      <c r="G499" s="3509"/>
      <c r="H499" s="3509"/>
      <c r="I499" s="3509"/>
      <c r="J499" s="3509"/>
      <c r="K499" s="3510"/>
      <c r="L499" s="3511"/>
      <c r="M499" s="3509"/>
      <c r="N499" s="3509"/>
      <c r="O499" s="3509"/>
      <c r="P499" s="3553"/>
      <c r="Q499" s="3509"/>
      <c r="R499" s="3509"/>
      <c r="S499" s="3509"/>
      <c r="T499" s="3509"/>
      <c r="U499" s="3509"/>
      <c r="V499" s="3509"/>
      <c r="W499" s="3509"/>
      <c r="X499" s="3509"/>
      <c r="Y499" s="3509"/>
      <c r="Z499" s="3509"/>
      <c r="AA499" s="3509"/>
      <c r="AB499" s="3509"/>
      <c r="AC499" s="3509"/>
    </row>
    <row r="500" spans="1:29">
      <c r="A500" s="3509"/>
      <c r="B500" s="3509"/>
      <c r="C500" s="3509"/>
      <c r="D500" s="3509"/>
      <c r="E500" s="3509"/>
      <c r="F500" s="3509"/>
      <c r="G500" s="3509"/>
      <c r="H500" s="3509"/>
      <c r="I500" s="3509"/>
      <c r="J500" s="3509"/>
      <c r="K500" s="3510"/>
      <c r="L500" s="3511"/>
      <c r="M500" s="3509"/>
      <c r="N500" s="3509"/>
      <c r="O500" s="3509"/>
      <c r="P500" s="3553"/>
      <c r="Q500" s="3509"/>
      <c r="R500" s="3509"/>
      <c r="S500" s="3509"/>
      <c r="T500" s="3509"/>
      <c r="U500" s="3509"/>
      <c r="V500" s="3509"/>
      <c r="W500" s="3509"/>
      <c r="X500" s="3509"/>
      <c r="Y500" s="3509"/>
      <c r="Z500" s="3509"/>
      <c r="AA500" s="3509"/>
      <c r="AB500" s="3509"/>
      <c r="AC500" s="3509"/>
    </row>
    <row r="501" spans="1:29">
      <c r="A501" s="3509"/>
      <c r="B501" s="3509"/>
      <c r="C501" s="3509"/>
      <c r="D501" s="3509"/>
      <c r="E501" s="3509"/>
      <c r="F501" s="3509"/>
      <c r="G501" s="3509"/>
      <c r="H501" s="3509"/>
      <c r="I501" s="3509"/>
      <c r="J501" s="3509"/>
      <c r="K501" s="3510"/>
      <c r="L501" s="3511"/>
      <c r="M501" s="3509"/>
      <c r="N501" s="3509"/>
      <c r="O501" s="3509"/>
      <c r="P501" s="3553"/>
      <c r="Q501" s="3509"/>
      <c r="R501" s="3509"/>
      <c r="S501" s="3509"/>
      <c r="T501" s="3509"/>
      <c r="U501" s="3509"/>
      <c r="V501" s="3509"/>
      <c r="W501" s="3509"/>
      <c r="X501" s="3509"/>
      <c r="Y501" s="3509"/>
      <c r="Z501" s="3509"/>
      <c r="AA501" s="3509"/>
      <c r="AB501" s="3509"/>
      <c r="AC501" s="3509"/>
    </row>
    <row r="502" spans="1:29">
      <c r="A502" s="3509"/>
      <c r="B502" s="3509"/>
      <c r="C502" s="3509"/>
      <c r="D502" s="3509"/>
      <c r="E502" s="3509"/>
      <c r="F502" s="3509"/>
      <c r="G502" s="3509"/>
      <c r="H502" s="3509"/>
      <c r="I502" s="3509"/>
      <c r="J502" s="3509"/>
      <c r="K502" s="3510"/>
      <c r="L502" s="3511"/>
      <c r="M502" s="3509"/>
      <c r="N502" s="3509"/>
      <c r="O502" s="3509"/>
      <c r="P502" s="3553"/>
      <c r="Q502" s="3509"/>
      <c r="R502" s="3509"/>
      <c r="S502" s="3509"/>
      <c r="T502" s="3509"/>
      <c r="U502" s="3509"/>
      <c r="V502" s="3509"/>
      <c r="W502" s="3509"/>
      <c r="X502" s="3509"/>
      <c r="Y502" s="3509"/>
      <c r="Z502" s="3509"/>
      <c r="AA502" s="3509"/>
      <c r="AB502" s="3509"/>
      <c r="AC502" s="3509"/>
    </row>
    <row r="503" spans="1:29">
      <c r="A503" s="3509"/>
      <c r="B503" s="3509"/>
      <c r="C503" s="3509"/>
      <c r="D503" s="3509"/>
      <c r="E503" s="3509"/>
      <c r="F503" s="3509"/>
      <c r="G503" s="3509"/>
      <c r="H503" s="3509"/>
      <c r="I503" s="3509"/>
      <c r="J503" s="3509"/>
      <c r="K503" s="3510"/>
      <c r="L503" s="3511"/>
      <c r="M503" s="3509"/>
      <c r="N503" s="3509"/>
      <c r="O503" s="3509"/>
      <c r="P503" s="3553"/>
      <c r="Q503" s="3509"/>
      <c r="R503" s="3509"/>
      <c r="S503" s="3509"/>
      <c r="T503" s="3509"/>
      <c r="U503" s="3509"/>
      <c r="V503" s="3509"/>
      <c r="W503" s="3509"/>
      <c r="X503" s="3509"/>
      <c r="Y503" s="3509"/>
      <c r="Z503" s="3509"/>
      <c r="AA503" s="3509"/>
      <c r="AB503" s="3509"/>
      <c r="AC503" s="3509"/>
    </row>
    <row r="504" spans="1:29">
      <c r="A504" s="3509"/>
      <c r="B504" s="3509"/>
      <c r="C504" s="3509"/>
      <c r="D504" s="3509"/>
      <c r="E504" s="3509"/>
      <c r="F504" s="3509"/>
      <c r="G504" s="3509"/>
      <c r="H504" s="3509"/>
      <c r="I504" s="3509"/>
      <c r="J504" s="3509"/>
      <c r="K504" s="3510"/>
      <c r="L504" s="3511"/>
      <c r="M504" s="3509"/>
      <c r="N504" s="3509"/>
      <c r="O504" s="3509"/>
      <c r="P504" s="3553"/>
      <c r="Q504" s="3509"/>
      <c r="R504" s="3509"/>
      <c r="S504" s="3509"/>
      <c r="T504" s="3509"/>
      <c r="U504" s="3509"/>
      <c r="V504" s="3509"/>
      <c r="W504" s="3509"/>
      <c r="X504" s="3509"/>
      <c r="Y504" s="3509"/>
      <c r="Z504" s="3509"/>
      <c r="AA504" s="3509"/>
      <c r="AB504" s="3509"/>
      <c r="AC504" s="3509"/>
    </row>
    <row r="505" spans="1:29">
      <c r="A505" s="3509"/>
      <c r="B505" s="3509"/>
      <c r="C505" s="3509"/>
      <c r="D505" s="3509"/>
      <c r="E505" s="3509"/>
      <c r="F505" s="3509"/>
      <c r="G505" s="3509"/>
      <c r="H505" s="3509"/>
      <c r="I505" s="3509"/>
      <c r="J505" s="3509"/>
      <c r="K505" s="3510"/>
      <c r="L505" s="3511"/>
      <c r="M505" s="3509"/>
      <c r="N505" s="3509"/>
      <c r="O505" s="3509"/>
      <c r="P505" s="3553"/>
      <c r="Q505" s="3509"/>
      <c r="R505" s="3509"/>
      <c r="S505" s="3509"/>
      <c r="T505" s="3509"/>
      <c r="U505" s="3509"/>
      <c r="V505" s="3509"/>
      <c r="W505" s="3509"/>
      <c r="X505" s="3509"/>
      <c r="Y505" s="3509"/>
      <c r="Z505" s="3509"/>
      <c r="AA505" s="3509"/>
      <c r="AB505" s="3509"/>
      <c r="AC505" s="3509"/>
    </row>
    <row r="506" spans="1:29">
      <c r="A506" s="3509"/>
      <c r="B506" s="3509"/>
      <c r="C506" s="3509"/>
      <c r="D506" s="3509"/>
      <c r="E506" s="3509"/>
      <c r="F506" s="3509"/>
      <c r="G506" s="3509"/>
      <c r="H506" s="3509"/>
      <c r="I506" s="3509"/>
      <c r="J506" s="3509"/>
      <c r="K506" s="3510"/>
      <c r="L506" s="3511"/>
      <c r="M506" s="3509"/>
      <c r="N506" s="3509"/>
      <c r="O506" s="3509"/>
      <c r="P506" s="3553"/>
      <c r="Q506" s="3509"/>
      <c r="R506" s="3509"/>
      <c r="S506" s="3509"/>
      <c r="T506" s="3509"/>
      <c r="U506" s="3509"/>
      <c r="V506" s="3509"/>
      <c r="W506" s="3509"/>
      <c r="X506" s="3509"/>
      <c r="Y506" s="3509"/>
      <c r="Z506" s="3509"/>
      <c r="AA506" s="3509"/>
      <c r="AB506" s="3509"/>
      <c r="AC506" s="3509"/>
    </row>
    <row r="507" spans="1:29">
      <c r="A507" s="3509"/>
      <c r="B507" s="3509"/>
      <c r="C507" s="3509"/>
      <c r="D507" s="3509"/>
      <c r="E507" s="3509"/>
      <c r="F507" s="3509"/>
      <c r="G507" s="3509"/>
      <c r="H507" s="3509"/>
      <c r="I507" s="3509"/>
      <c r="J507" s="3509"/>
      <c r="K507" s="3510"/>
      <c r="L507" s="3511"/>
      <c r="M507" s="3509"/>
      <c r="N507" s="3509"/>
      <c r="O507" s="3509"/>
      <c r="P507" s="3553"/>
      <c r="Q507" s="3509"/>
      <c r="R507" s="3509"/>
      <c r="S507" s="3509"/>
      <c r="T507" s="3509"/>
      <c r="U507" s="3509"/>
      <c r="V507" s="3509"/>
      <c r="W507" s="3509"/>
      <c r="X507" s="3509"/>
      <c r="Y507" s="3509"/>
      <c r="Z507" s="3509"/>
      <c r="AA507" s="3509"/>
      <c r="AB507" s="3509"/>
      <c r="AC507" s="3509"/>
    </row>
    <row r="508" spans="1:29">
      <c r="A508" s="3509"/>
      <c r="B508" s="3509"/>
      <c r="C508" s="3509"/>
      <c r="D508" s="3509"/>
      <c r="E508" s="3509"/>
      <c r="F508" s="3509"/>
      <c r="G508" s="3509"/>
      <c r="H508" s="3509"/>
      <c r="I508" s="3509"/>
      <c r="J508" s="3509"/>
      <c r="K508" s="3510"/>
      <c r="L508" s="3511"/>
      <c r="M508" s="3509"/>
      <c r="N508" s="3509"/>
      <c r="O508" s="3509"/>
      <c r="P508" s="3553"/>
      <c r="Q508" s="3509"/>
      <c r="R508" s="3509"/>
      <c r="S508" s="3509"/>
      <c r="T508" s="3509"/>
      <c r="U508" s="3509"/>
      <c r="V508" s="3509"/>
      <c r="W508" s="3509"/>
      <c r="X508" s="3509"/>
      <c r="Y508" s="3509"/>
      <c r="Z508" s="3509"/>
      <c r="AA508" s="3509"/>
      <c r="AB508" s="3509"/>
      <c r="AC508" s="3509"/>
    </row>
    <row r="509" spans="1:29">
      <c r="A509" s="3509"/>
      <c r="B509" s="3509"/>
      <c r="C509" s="3509"/>
      <c r="D509" s="3509"/>
      <c r="E509" s="3509"/>
      <c r="F509" s="3509"/>
      <c r="G509" s="3509"/>
      <c r="H509" s="3509"/>
      <c r="I509" s="3509"/>
      <c r="J509" s="3509"/>
      <c r="K509" s="3510"/>
      <c r="L509" s="3511"/>
      <c r="M509" s="3509"/>
      <c r="N509" s="3509"/>
      <c r="O509" s="3509"/>
      <c r="P509" s="3553"/>
      <c r="Q509" s="3509"/>
      <c r="R509" s="3509"/>
      <c r="S509" s="3509"/>
      <c r="T509" s="3509"/>
      <c r="U509" s="3509"/>
      <c r="V509" s="3509"/>
      <c r="W509" s="3509"/>
      <c r="X509" s="3509"/>
      <c r="Y509" s="3509"/>
      <c r="Z509" s="3509"/>
      <c r="AA509" s="3509"/>
      <c r="AB509" s="3509"/>
      <c r="AC509" s="3509"/>
    </row>
    <row r="510" spans="1:29">
      <c r="A510" s="3509"/>
      <c r="B510" s="3509"/>
      <c r="C510" s="3509"/>
      <c r="D510" s="3509"/>
      <c r="E510" s="3509"/>
      <c r="F510" s="3509"/>
      <c r="G510" s="3509"/>
      <c r="H510" s="3509"/>
      <c r="I510" s="3509"/>
      <c r="J510" s="3509"/>
      <c r="K510" s="3510"/>
      <c r="L510" s="3511"/>
      <c r="M510" s="3509"/>
      <c r="N510" s="3509"/>
      <c r="O510" s="3509"/>
      <c r="P510" s="3553"/>
      <c r="Q510" s="3509"/>
      <c r="R510" s="3509"/>
      <c r="S510" s="3509"/>
      <c r="T510" s="3509"/>
      <c r="U510" s="3509"/>
      <c r="V510" s="3509"/>
      <c r="W510" s="3509"/>
      <c r="X510" s="3509"/>
      <c r="Y510" s="3509"/>
      <c r="Z510" s="3509"/>
      <c r="AA510" s="3509"/>
      <c r="AB510" s="3509"/>
      <c r="AC510" s="3509"/>
    </row>
    <row r="511" spans="1:29">
      <c r="A511" s="3509"/>
      <c r="B511" s="3509"/>
      <c r="C511" s="3509"/>
      <c r="D511" s="3509"/>
      <c r="E511" s="3509"/>
      <c r="F511" s="3509"/>
      <c r="G511" s="3509"/>
      <c r="H511" s="3509"/>
      <c r="I511" s="3509"/>
      <c r="J511" s="3509"/>
      <c r="K511" s="3510"/>
      <c r="L511" s="3511"/>
      <c r="M511" s="3509"/>
      <c r="N511" s="3509"/>
      <c r="O511" s="3509"/>
      <c r="P511" s="3553"/>
      <c r="Q511" s="3509"/>
      <c r="R511" s="3509"/>
      <c r="S511" s="3509"/>
      <c r="T511" s="3509"/>
      <c r="U511" s="3509"/>
      <c r="V511" s="3509"/>
      <c r="W511" s="3509"/>
      <c r="X511" s="3509"/>
      <c r="Y511" s="3509"/>
      <c r="Z511" s="3509"/>
      <c r="AA511" s="3509"/>
      <c r="AB511" s="3509"/>
      <c r="AC511" s="3509"/>
    </row>
    <row r="512" spans="1:29">
      <c r="A512" s="3509"/>
      <c r="B512" s="3509"/>
      <c r="C512" s="3509"/>
      <c r="D512" s="3509"/>
      <c r="E512" s="3509"/>
      <c r="F512" s="3509"/>
      <c r="G512" s="3509"/>
      <c r="H512" s="3509"/>
      <c r="I512" s="3509"/>
      <c r="J512" s="3509"/>
      <c r="K512" s="3510"/>
      <c r="L512" s="3511"/>
      <c r="M512" s="3509"/>
      <c r="N512" s="3509"/>
      <c r="O512" s="3509"/>
      <c r="P512" s="3553"/>
      <c r="Q512" s="3509"/>
      <c r="R512" s="3509"/>
      <c r="S512" s="3509"/>
      <c r="T512" s="3509"/>
      <c r="U512" s="3509"/>
      <c r="V512" s="3509"/>
      <c r="W512" s="3509"/>
      <c r="X512" s="3509"/>
      <c r="Y512" s="3509"/>
      <c r="Z512" s="3509"/>
      <c r="AA512" s="3509"/>
      <c r="AB512" s="3509"/>
      <c r="AC512" s="3509"/>
    </row>
    <row r="513" spans="1:29">
      <c r="A513" s="3509"/>
      <c r="B513" s="3509"/>
      <c r="C513" s="3509"/>
      <c r="D513" s="3509"/>
      <c r="E513" s="3509"/>
      <c r="F513" s="3509"/>
      <c r="G513" s="3509"/>
      <c r="H513" s="3509"/>
      <c r="I513" s="3509"/>
      <c r="J513" s="3509"/>
      <c r="K513" s="3510"/>
      <c r="L513" s="3511"/>
      <c r="M513" s="3509"/>
      <c r="N513" s="3509"/>
      <c r="O513" s="3509"/>
      <c r="P513" s="3553"/>
      <c r="Q513" s="3509"/>
      <c r="R513" s="3509"/>
      <c r="S513" s="3509"/>
      <c r="T513" s="3509"/>
      <c r="U513" s="3509"/>
      <c r="V513" s="3509"/>
      <c r="W513" s="3509"/>
      <c r="X513" s="3509"/>
      <c r="Y513" s="3509"/>
      <c r="Z513" s="3509"/>
      <c r="AA513" s="3509"/>
      <c r="AB513" s="3509"/>
      <c r="AC513" s="3509"/>
    </row>
    <row r="514" spans="1:29">
      <c r="A514" s="3509"/>
      <c r="B514" s="3509"/>
      <c r="C514" s="3509"/>
      <c r="D514" s="3509"/>
      <c r="E514" s="3509"/>
      <c r="F514" s="3509"/>
      <c r="G514" s="3509"/>
      <c r="H514" s="3509"/>
      <c r="I514" s="3509"/>
      <c r="J514" s="3509"/>
      <c r="K514" s="3510"/>
      <c r="L514" s="3511"/>
      <c r="M514" s="3509"/>
      <c r="N514" s="3509"/>
      <c r="O514" s="3509"/>
      <c r="P514" s="3553"/>
      <c r="Q514" s="3509"/>
      <c r="R514" s="3509"/>
      <c r="S514" s="3509"/>
      <c r="T514" s="3509"/>
      <c r="U514" s="3509"/>
      <c r="V514" s="3509"/>
      <c r="W514" s="3509"/>
      <c r="X514" s="3509"/>
      <c r="Y514" s="3509"/>
      <c r="Z514" s="3509"/>
      <c r="AA514" s="3509"/>
      <c r="AB514" s="3509"/>
      <c r="AC514" s="3509"/>
    </row>
    <row r="515" spans="1:29">
      <c r="A515" s="3509"/>
      <c r="B515" s="3509"/>
      <c r="C515" s="3509"/>
      <c r="D515" s="3509"/>
      <c r="E515" s="3509"/>
      <c r="F515" s="3509"/>
      <c r="G515" s="3509"/>
      <c r="H515" s="3509"/>
      <c r="I515" s="3509"/>
      <c r="J515" s="3509"/>
      <c r="K515" s="3510"/>
      <c r="L515" s="3511"/>
      <c r="M515" s="3509"/>
      <c r="N515" s="3509"/>
      <c r="O515" s="3509"/>
      <c r="P515" s="3553"/>
      <c r="Q515" s="3509"/>
      <c r="R515" s="3509"/>
      <c r="S515" s="3509"/>
      <c r="T515" s="3509"/>
      <c r="U515" s="3509"/>
      <c r="V515" s="3509"/>
      <c r="W515" s="3509"/>
      <c r="X515" s="3509"/>
      <c r="Y515" s="3509"/>
      <c r="Z515" s="3509"/>
      <c r="AA515" s="3509"/>
      <c r="AB515" s="3509"/>
      <c r="AC515" s="3509"/>
    </row>
    <row r="516" spans="1:29">
      <c r="A516" s="3509"/>
      <c r="B516" s="3509"/>
      <c r="C516" s="3509"/>
      <c r="D516" s="3509"/>
      <c r="E516" s="3509"/>
      <c r="F516" s="3509"/>
      <c r="G516" s="3509"/>
      <c r="H516" s="3509"/>
      <c r="I516" s="3509"/>
      <c r="J516" s="3509"/>
      <c r="K516" s="3510"/>
      <c r="L516" s="3511"/>
      <c r="M516" s="3509"/>
      <c r="N516" s="3509"/>
      <c r="O516" s="3509"/>
      <c r="P516" s="3553"/>
      <c r="Q516" s="3509"/>
      <c r="R516" s="3509"/>
      <c r="S516" s="3509"/>
      <c r="T516" s="3509"/>
      <c r="U516" s="3509"/>
      <c r="V516" s="3509"/>
      <c r="W516" s="3509"/>
      <c r="X516" s="3509"/>
      <c r="Y516" s="3509"/>
      <c r="Z516" s="3509"/>
      <c r="AA516" s="3509"/>
      <c r="AB516" s="3509"/>
      <c r="AC516" s="3509"/>
    </row>
    <row r="517" spans="1:29">
      <c r="A517" s="3509"/>
      <c r="B517" s="3509"/>
      <c r="C517" s="3509"/>
      <c r="D517" s="3509"/>
      <c r="E517" s="3509"/>
      <c r="F517" s="3509"/>
      <c r="G517" s="3509"/>
      <c r="H517" s="3509"/>
      <c r="I517" s="3509"/>
      <c r="J517" s="3509"/>
      <c r="K517" s="3510"/>
      <c r="L517" s="3511"/>
      <c r="M517" s="3509"/>
      <c r="N517" s="3509"/>
      <c r="O517" s="3509"/>
      <c r="P517" s="3553"/>
      <c r="Q517" s="3509"/>
      <c r="R517" s="3509"/>
      <c r="S517" s="3509"/>
      <c r="T517" s="3509"/>
      <c r="U517" s="3509"/>
      <c r="V517" s="3509"/>
      <c r="W517" s="3509"/>
      <c r="X517" s="3509"/>
      <c r="Y517" s="3509"/>
      <c r="Z517" s="3509"/>
      <c r="AA517" s="3509"/>
      <c r="AB517" s="3509"/>
      <c r="AC517" s="3509"/>
    </row>
    <row r="518" spans="1:29">
      <c r="A518" s="3509"/>
      <c r="B518" s="3509"/>
      <c r="C518" s="3509"/>
      <c r="D518" s="3509"/>
      <c r="E518" s="3509"/>
      <c r="F518" s="3509"/>
      <c r="G518" s="3509"/>
      <c r="H518" s="3509"/>
      <c r="I518" s="3509"/>
      <c r="J518" s="3509"/>
      <c r="K518" s="3510"/>
      <c r="L518" s="3511"/>
      <c r="M518" s="3509"/>
      <c r="N518" s="3509"/>
      <c r="O518" s="3509"/>
      <c r="P518" s="3553"/>
      <c r="Q518" s="3509"/>
      <c r="R518" s="3509"/>
      <c r="S518" s="3509"/>
      <c r="T518" s="3509"/>
      <c r="U518" s="3509"/>
      <c r="V518" s="3509"/>
      <c r="W518" s="3509"/>
      <c r="X518" s="3509"/>
      <c r="Y518" s="3509"/>
      <c r="Z518" s="3509"/>
      <c r="AA518" s="3509"/>
      <c r="AB518" s="3509"/>
      <c r="AC518" s="3509"/>
    </row>
    <row r="519" spans="1:29">
      <c r="A519" s="3509"/>
      <c r="B519" s="3509"/>
      <c r="C519" s="3509"/>
      <c r="D519" s="3509"/>
      <c r="E519" s="3509"/>
      <c r="F519" s="3509"/>
      <c r="G519" s="3509"/>
      <c r="H519" s="3509"/>
      <c r="I519" s="3509"/>
      <c r="J519" s="3509"/>
      <c r="K519" s="3510"/>
      <c r="L519" s="3511"/>
      <c r="M519" s="3509"/>
      <c r="N519" s="3509"/>
      <c r="O519" s="3509"/>
      <c r="P519" s="3553"/>
      <c r="Q519" s="3509"/>
      <c r="R519" s="3509"/>
      <c r="S519" s="3509"/>
      <c r="T519" s="3509"/>
      <c r="U519" s="3509"/>
      <c r="V519" s="3509"/>
      <c r="W519" s="3509"/>
      <c r="X519" s="3509"/>
      <c r="Y519" s="3509"/>
      <c r="Z519" s="3509"/>
      <c r="AA519" s="3509"/>
      <c r="AB519" s="3509"/>
      <c r="AC519" s="3509"/>
    </row>
    <row r="520" spans="1:29">
      <c r="A520" s="3509"/>
      <c r="B520" s="3509"/>
      <c r="C520" s="3509"/>
      <c r="D520" s="3509"/>
      <c r="E520" s="3509"/>
      <c r="F520" s="3509"/>
      <c r="G520" s="3509"/>
      <c r="H520" s="3509"/>
      <c r="I520" s="3509"/>
      <c r="J520" s="3509"/>
      <c r="K520" s="3510"/>
      <c r="L520" s="3511"/>
      <c r="M520" s="3509"/>
      <c r="N520" s="3509"/>
      <c r="O520" s="3509"/>
      <c r="P520" s="3553"/>
      <c r="Q520" s="3509"/>
      <c r="R520" s="3509"/>
      <c r="S520" s="3509"/>
      <c r="T520" s="3509"/>
      <c r="U520" s="3509"/>
      <c r="V520" s="3509"/>
      <c r="W520" s="3509"/>
      <c r="X520" s="3509"/>
      <c r="Y520" s="3509"/>
      <c r="Z520" s="3509"/>
      <c r="AA520" s="3509"/>
      <c r="AB520" s="3509"/>
      <c r="AC520" s="3509"/>
    </row>
    <row r="521" spans="1:29">
      <c r="A521" s="3509"/>
      <c r="B521" s="3509"/>
      <c r="C521" s="3509"/>
      <c r="D521" s="3509"/>
      <c r="E521" s="3509"/>
      <c r="F521" s="3509"/>
      <c r="G521" s="3509"/>
      <c r="H521" s="3509"/>
      <c r="I521" s="3509"/>
      <c r="J521" s="3509"/>
      <c r="K521" s="3510"/>
      <c r="L521" s="3511"/>
      <c r="M521" s="3509"/>
      <c r="N521" s="3509"/>
      <c r="O521" s="3509"/>
      <c r="P521" s="3553"/>
      <c r="Q521" s="3509"/>
      <c r="R521" s="3509"/>
      <c r="S521" s="3509"/>
      <c r="T521" s="3509"/>
      <c r="U521" s="3509"/>
      <c r="V521" s="3509"/>
      <c r="W521" s="3509"/>
      <c r="X521" s="3509"/>
      <c r="Y521" s="3509"/>
      <c r="Z521" s="3509"/>
      <c r="AA521" s="3509"/>
      <c r="AB521" s="3509"/>
      <c r="AC521" s="3509"/>
    </row>
    <row r="522" spans="1:29">
      <c r="A522" s="3509"/>
      <c r="B522" s="3509"/>
      <c r="C522" s="3509"/>
      <c r="D522" s="3509"/>
      <c r="E522" s="3509"/>
      <c r="F522" s="3509"/>
      <c r="G522" s="3509"/>
      <c r="H522" s="3509"/>
      <c r="I522" s="3509"/>
      <c r="J522" s="3509"/>
      <c r="K522" s="3510"/>
      <c r="L522" s="3511"/>
      <c r="M522" s="3509"/>
      <c r="N522" s="3509"/>
      <c r="O522" s="3509"/>
      <c r="P522" s="3553"/>
      <c r="Q522" s="3509"/>
      <c r="R522" s="3509"/>
      <c r="S522" s="3509"/>
      <c r="T522" s="3509"/>
      <c r="U522" s="3509"/>
      <c r="V522" s="3509"/>
      <c r="W522" s="3509"/>
      <c r="X522" s="3509"/>
      <c r="Y522" s="3509"/>
      <c r="Z522" s="3509"/>
      <c r="AA522" s="3509"/>
      <c r="AB522" s="3509"/>
      <c r="AC522" s="3509"/>
    </row>
    <row r="523" spans="1:29">
      <c r="A523" s="3509"/>
      <c r="B523" s="3509"/>
      <c r="C523" s="3509"/>
      <c r="D523" s="3509"/>
      <c r="E523" s="3509"/>
      <c r="F523" s="3509"/>
      <c r="G523" s="3509"/>
      <c r="H523" s="3509"/>
      <c r="I523" s="3509"/>
      <c r="J523" s="3509"/>
      <c r="K523" s="3510"/>
      <c r="L523" s="3511"/>
      <c r="M523" s="3509"/>
      <c r="N523" s="3509"/>
      <c r="O523" s="3509"/>
      <c r="P523" s="3553"/>
      <c r="Q523" s="3509"/>
      <c r="R523" s="3509"/>
      <c r="S523" s="3509"/>
      <c r="T523" s="3509"/>
      <c r="U523" s="3509"/>
      <c r="V523" s="3509"/>
      <c r="W523" s="3509"/>
      <c r="X523" s="3509"/>
      <c r="Y523" s="3509"/>
      <c r="Z523" s="3509"/>
      <c r="AA523" s="3509"/>
      <c r="AB523" s="3509"/>
      <c r="AC523" s="3509"/>
    </row>
    <row r="524" spans="1:29">
      <c r="A524" s="3509"/>
      <c r="B524" s="3509"/>
      <c r="C524" s="3509"/>
      <c r="D524" s="3509"/>
      <c r="E524" s="3509"/>
      <c r="F524" s="3509"/>
      <c r="G524" s="3509"/>
      <c r="H524" s="3509"/>
      <c r="I524" s="3509"/>
      <c r="J524" s="3509"/>
      <c r="K524" s="3510"/>
      <c r="L524" s="3511"/>
      <c r="M524" s="3509"/>
      <c r="N524" s="3509"/>
      <c r="O524" s="3509"/>
      <c r="P524" s="3553"/>
      <c r="Q524" s="3509"/>
      <c r="R524" s="3509"/>
      <c r="S524" s="3509"/>
      <c r="T524" s="3509"/>
      <c r="U524" s="3509"/>
      <c r="V524" s="3509"/>
      <c r="W524" s="3509"/>
      <c r="X524" s="3509"/>
      <c r="Y524" s="3509"/>
      <c r="Z524" s="3509"/>
      <c r="AA524" s="3509"/>
      <c r="AB524" s="3509"/>
      <c r="AC524" s="3509"/>
    </row>
    <row r="525" spans="1:29">
      <c r="A525" s="3509"/>
      <c r="B525" s="3509"/>
      <c r="C525" s="3509"/>
      <c r="D525" s="3509"/>
      <c r="E525" s="3509"/>
      <c r="F525" s="3509"/>
      <c r="G525" s="3509"/>
      <c r="H525" s="3509"/>
      <c r="I525" s="3509"/>
      <c r="J525" s="3509"/>
      <c r="K525" s="3510"/>
      <c r="L525" s="3511"/>
      <c r="M525" s="3509"/>
      <c r="N525" s="3509"/>
      <c r="O525" s="3509"/>
      <c r="P525" s="3553"/>
      <c r="Q525" s="3509"/>
      <c r="R525" s="3509"/>
      <c r="S525" s="3509"/>
      <c r="T525" s="3509"/>
      <c r="U525" s="3509"/>
      <c r="V525" s="3509"/>
      <c r="W525" s="3509"/>
      <c r="X525" s="3509"/>
      <c r="Y525" s="3509"/>
      <c r="Z525" s="3509"/>
      <c r="AA525" s="3509"/>
      <c r="AB525" s="3509"/>
      <c r="AC525" s="3509"/>
    </row>
    <row r="526" spans="1:29">
      <c r="A526" s="3509"/>
      <c r="B526" s="3509"/>
      <c r="C526" s="3509"/>
      <c r="D526" s="3509"/>
      <c r="E526" s="3509"/>
      <c r="F526" s="3509"/>
      <c r="G526" s="3509"/>
      <c r="H526" s="3509"/>
      <c r="I526" s="3509"/>
      <c r="J526" s="3509"/>
      <c r="K526" s="3510"/>
      <c r="L526" s="3511"/>
      <c r="M526" s="3509"/>
      <c r="N526" s="3509"/>
      <c r="O526" s="3509"/>
      <c r="P526" s="3553"/>
      <c r="Q526" s="3509"/>
      <c r="R526" s="3509"/>
      <c r="S526" s="3509"/>
      <c r="T526" s="3509"/>
      <c r="U526" s="3509"/>
      <c r="V526" s="3509"/>
      <c r="W526" s="3509"/>
      <c r="X526" s="3509"/>
      <c r="Y526" s="3509"/>
      <c r="Z526" s="3509"/>
      <c r="AA526" s="3509"/>
      <c r="AB526" s="3509"/>
      <c r="AC526" s="3509"/>
    </row>
    <row r="527" spans="1:29">
      <c r="A527" s="3509"/>
      <c r="B527" s="3509"/>
      <c r="C527" s="3509"/>
      <c r="D527" s="3509"/>
      <c r="E527" s="3509"/>
      <c r="F527" s="3509"/>
      <c r="G527" s="3509"/>
      <c r="H527" s="3509"/>
      <c r="I527" s="3509"/>
      <c r="J527" s="3509"/>
      <c r="K527" s="3510"/>
      <c r="L527" s="3511"/>
      <c r="M527" s="3509"/>
      <c r="N527" s="3509"/>
      <c r="O527" s="3509"/>
      <c r="P527" s="3553"/>
      <c r="Q527" s="3509"/>
      <c r="R527" s="3509"/>
      <c r="S527" s="3509"/>
      <c r="T527" s="3509"/>
      <c r="U527" s="3509"/>
      <c r="V527" s="3509"/>
      <c r="W527" s="3509"/>
      <c r="X527" s="3509"/>
      <c r="Y527" s="3509"/>
      <c r="Z527" s="3509"/>
      <c r="AA527" s="3509"/>
      <c r="AB527" s="3509"/>
      <c r="AC527" s="3509"/>
    </row>
    <row r="528" spans="1:29">
      <c r="A528" s="3509"/>
      <c r="B528" s="3509"/>
      <c r="C528" s="3509"/>
      <c r="D528" s="3509"/>
      <c r="E528" s="3509"/>
      <c r="F528" s="3509"/>
      <c r="G528" s="3509"/>
      <c r="H528" s="3509"/>
      <c r="I528" s="3509"/>
      <c r="J528" s="3509"/>
      <c r="K528" s="3510"/>
      <c r="L528" s="3511"/>
      <c r="M528" s="3509"/>
      <c r="N528" s="3509"/>
      <c r="O528" s="3509"/>
      <c r="P528" s="3553"/>
      <c r="Q528" s="3509"/>
      <c r="R528" s="3509"/>
      <c r="S528" s="3509"/>
      <c r="T528" s="3509"/>
      <c r="U528" s="3509"/>
      <c r="V528" s="3509"/>
      <c r="W528" s="3509"/>
      <c r="X528" s="3509"/>
      <c r="Y528" s="3509"/>
      <c r="Z528" s="3509"/>
      <c r="AA528" s="3509"/>
      <c r="AB528" s="3509"/>
      <c r="AC528" s="3509"/>
    </row>
    <row r="529" spans="1:29">
      <c r="A529" s="3509"/>
      <c r="B529" s="3509"/>
      <c r="C529" s="3509"/>
      <c r="D529" s="3509"/>
      <c r="E529" s="3509"/>
      <c r="F529" s="3509"/>
      <c r="G529" s="3509"/>
      <c r="H529" s="3509"/>
      <c r="I529" s="3509"/>
      <c r="J529" s="3509"/>
      <c r="K529" s="3510"/>
      <c r="L529" s="3511"/>
      <c r="M529" s="3509"/>
      <c r="N529" s="3509"/>
      <c r="O529" s="3509"/>
      <c r="P529" s="3553"/>
      <c r="Q529" s="3509"/>
      <c r="R529" s="3509"/>
      <c r="S529" s="3509"/>
      <c r="T529" s="3509"/>
      <c r="U529" s="3509"/>
      <c r="V529" s="3509"/>
      <c r="W529" s="3509"/>
      <c r="X529" s="3509"/>
      <c r="Y529" s="3509"/>
      <c r="Z529" s="3509"/>
      <c r="AA529" s="3509"/>
      <c r="AB529" s="3509"/>
      <c r="AC529" s="3509"/>
    </row>
    <row r="530" spans="1:29">
      <c r="A530" s="3509"/>
      <c r="B530" s="3509"/>
      <c r="C530" s="3509"/>
      <c r="D530" s="3509"/>
      <c r="E530" s="3509"/>
      <c r="F530" s="3509"/>
      <c r="G530" s="3509"/>
      <c r="H530" s="3509"/>
      <c r="I530" s="3509"/>
      <c r="J530" s="3509"/>
      <c r="K530" s="3510"/>
      <c r="L530" s="3511"/>
      <c r="M530" s="3509"/>
      <c r="N530" s="3509"/>
      <c r="O530" s="3509"/>
      <c r="P530" s="3553"/>
      <c r="Q530" s="3509"/>
      <c r="R530" s="3509"/>
      <c r="S530" s="3509"/>
      <c r="T530" s="3509"/>
      <c r="U530" s="3509"/>
      <c r="V530" s="3509"/>
      <c r="W530" s="3509"/>
      <c r="X530" s="3509"/>
      <c r="Y530" s="3509"/>
      <c r="Z530" s="3509"/>
      <c r="AA530" s="3509"/>
      <c r="AB530" s="3509"/>
      <c r="AC530" s="3509"/>
    </row>
    <row r="531" spans="1:29">
      <c r="A531" s="3509"/>
      <c r="B531" s="3509"/>
      <c r="C531" s="3509"/>
      <c r="D531" s="3509"/>
      <c r="E531" s="3509"/>
      <c r="F531" s="3509"/>
      <c r="G531" s="3509"/>
      <c r="H531" s="3509"/>
      <c r="I531" s="3509"/>
      <c r="J531" s="3509"/>
      <c r="K531" s="3510"/>
      <c r="L531" s="3511"/>
      <c r="M531" s="3509"/>
      <c r="N531" s="3509"/>
      <c r="O531" s="3509"/>
      <c r="P531" s="3553"/>
      <c r="Q531" s="3509"/>
      <c r="R531" s="3509"/>
      <c r="S531" s="3509"/>
      <c r="T531" s="3509"/>
      <c r="U531" s="3509"/>
      <c r="V531" s="3509"/>
      <c r="W531" s="3509"/>
      <c r="X531" s="3509"/>
      <c r="Y531" s="3509"/>
      <c r="Z531" s="3509"/>
      <c r="AA531" s="3509"/>
      <c r="AB531" s="3509"/>
      <c r="AC531" s="3509"/>
    </row>
    <row r="532" spans="1:29">
      <c r="A532" s="3509"/>
      <c r="B532" s="3509"/>
      <c r="C532" s="3509"/>
      <c r="D532" s="3509"/>
      <c r="E532" s="3509"/>
      <c r="F532" s="3509"/>
      <c r="G532" s="3509"/>
      <c r="H532" s="3509"/>
      <c r="I532" s="3509"/>
      <c r="J532" s="3509"/>
      <c r="K532" s="3510"/>
      <c r="L532" s="3511"/>
      <c r="M532" s="3509"/>
      <c r="N532" s="3509"/>
      <c r="O532" s="3509"/>
      <c r="P532" s="3553"/>
      <c r="Q532" s="3509"/>
      <c r="R532" s="3509"/>
      <c r="S532" s="3509"/>
      <c r="T532" s="3509"/>
      <c r="U532" s="3509"/>
      <c r="V532" s="3509"/>
      <c r="W532" s="3509"/>
      <c r="X532" s="3509"/>
      <c r="Y532" s="3509"/>
      <c r="Z532" s="3509"/>
      <c r="AA532" s="3509"/>
      <c r="AB532" s="3509"/>
      <c r="AC532" s="3509"/>
    </row>
    <row r="533" spans="1:29">
      <c r="A533" s="3509"/>
      <c r="B533" s="3509"/>
      <c r="C533" s="3509"/>
      <c r="D533" s="3509"/>
      <c r="E533" s="3509"/>
      <c r="F533" s="3509"/>
      <c r="G533" s="3509"/>
      <c r="H533" s="3509"/>
      <c r="I533" s="3509"/>
      <c r="J533" s="3509"/>
      <c r="K533" s="3510"/>
      <c r="L533" s="3511"/>
      <c r="M533" s="3509"/>
      <c r="N533" s="3509"/>
      <c r="O533" s="3509"/>
      <c r="P533" s="3553"/>
      <c r="Q533" s="3509"/>
      <c r="R533" s="3509"/>
      <c r="S533" s="3509"/>
      <c r="T533" s="3509"/>
      <c r="U533" s="3509"/>
      <c r="V533" s="3509"/>
      <c r="W533" s="3509"/>
      <c r="X533" s="3509"/>
      <c r="Y533" s="3509"/>
      <c r="Z533" s="3509"/>
      <c r="AA533" s="3509"/>
      <c r="AB533" s="3509"/>
      <c r="AC533" s="3509"/>
    </row>
    <row r="534" spans="1:29">
      <c r="A534" s="3509"/>
      <c r="B534" s="3509"/>
      <c r="C534" s="3509"/>
      <c r="D534" s="3509"/>
      <c r="E534" s="3509"/>
      <c r="F534" s="3509"/>
      <c r="G534" s="3509"/>
      <c r="H534" s="3509"/>
      <c r="I534" s="3509"/>
      <c r="J534" s="3509"/>
      <c r="K534" s="3510"/>
      <c r="L534" s="3511"/>
      <c r="M534" s="3509"/>
      <c r="N534" s="3509"/>
      <c r="O534" s="3509"/>
      <c r="P534" s="3553"/>
      <c r="Q534" s="3509"/>
      <c r="R534" s="3509"/>
      <c r="S534" s="3509"/>
      <c r="T534" s="3509"/>
      <c r="U534" s="3509"/>
      <c r="V534" s="3509"/>
      <c r="W534" s="3509"/>
      <c r="X534" s="3509"/>
      <c r="Y534" s="3509"/>
      <c r="Z534" s="3509"/>
      <c r="AA534" s="3509"/>
      <c r="AB534" s="3509"/>
      <c r="AC534" s="3509"/>
    </row>
    <row r="535" spans="1:29">
      <c r="A535" s="3509"/>
      <c r="B535" s="3509"/>
      <c r="C535" s="3509"/>
      <c r="D535" s="3509"/>
      <c r="E535" s="3509"/>
      <c r="F535" s="3509"/>
      <c r="G535" s="3509"/>
      <c r="H535" s="3509"/>
      <c r="I535" s="3509"/>
      <c r="J535" s="3509"/>
      <c r="K535" s="3510"/>
      <c r="L535" s="3511"/>
      <c r="M535" s="3509"/>
      <c r="N535" s="3509"/>
      <c r="O535" s="3509"/>
      <c r="P535" s="3553"/>
      <c r="Q535" s="3509"/>
      <c r="R535" s="3509"/>
      <c r="S535" s="3509"/>
      <c r="T535" s="3509"/>
      <c r="U535" s="3509"/>
      <c r="V535" s="3509"/>
      <c r="W535" s="3509"/>
      <c r="X535" s="3509"/>
      <c r="Y535" s="3509"/>
      <c r="Z535" s="3509"/>
      <c r="AA535" s="3509"/>
      <c r="AB535" s="3509"/>
      <c r="AC535" s="3509"/>
    </row>
    <row r="536" spans="1:29">
      <c r="A536" s="3509"/>
      <c r="B536" s="3509"/>
      <c r="C536" s="3509"/>
      <c r="D536" s="3509"/>
      <c r="E536" s="3509"/>
      <c r="F536" s="3509"/>
      <c r="G536" s="3509"/>
      <c r="H536" s="3509"/>
      <c r="I536" s="3509"/>
      <c r="J536" s="3509"/>
      <c r="K536" s="3510"/>
      <c r="L536" s="3511"/>
      <c r="M536" s="3509"/>
      <c r="N536" s="3509"/>
      <c r="O536" s="3509"/>
      <c r="P536" s="3553"/>
      <c r="Q536" s="3509"/>
      <c r="R536" s="3509"/>
      <c r="S536" s="3509"/>
      <c r="T536" s="3509"/>
      <c r="U536" s="3509"/>
      <c r="V536" s="3509"/>
      <c r="W536" s="3509"/>
      <c r="X536" s="3509"/>
      <c r="Y536" s="3509"/>
      <c r="Z536" s="3509"/>
      <c r="AA536" s="3509"/>
      <c r="AB536" s="3509"/>
      <c r="AC536" s="3509"/>
    </row>
    <row r="537" spans="1:29">
      <c r="A537" s="3509"/>
      <c r="B537" s="3509"/>
      <c r="C537" s="3509"/>
      <c r="D537" s="3509"/>
      <c r="E537" s="3509"/>
      <c r="F537" s="3509"/>
      <c r="G537" s="3509"/>
      <c r="H537" s="3509"/>
      <c r="I537" s="3509"/>
      <c r="J537" s="3509"/>
      <c r="K537" s="3510"/>
      <c r="L537" s="3511"/>
      <c r="M537" s="3509"/>
      <c r="N537" s="3509"/>
      <c r="O537" s="3509"/>
      <c r="P537" s="3553"/>
      <c r="Q537" s="3509"/>
      <c r="R537" s="3509"/>
      <c r="S537" s="3509"/>
      <c r="T537" s="3509"/>
      <c r="U537" s="3509"/>
      <c r="V537" s="3509"/>
      <c r="W537" s="3509"/>
      <c r="X537" s="3509"/>
      <c r="Y537" s="3509"/>
      <c r="Z537" s="3509"/>
      <c r="AA537" s="3509"/>
      <c r="AB537" s="3509"/>
      <c r="AC537" s="3509"/>
    </row>
    <row r="538" spans="1:29">
      <c r="A538" s="3509"/>
      <c r="B538" s="3509"/>
      <c r="C538" s="3509"/>
      <c r="D538" s="3509"/>
      <c r="E538" s="3509"/>
      <c r="F538" s="3509"/>
      <c r="G538" s="3509"/>
      <c r="H538" s="3509"/>
      <c r="I538" s="3509"/>
      <c r="J538" s="3509"/>
      <c r="K538" s="3510"/>
      <c r="L538" s="3511"/>
      <c r="M538" s="3509"/>
      <c r="N538" s="3509"/>
      <c r="O538" s="3509"/>
      <c r="P538" s="3553"/>
      <c r="Q538" s="3509"/>
      <c r="R538" s="3509"/>
      <c r="S538" s="3509"/>
      <c r="T538" s="3509"/>
      <c r="U538" s="3509"/>
      <c r="V538" s="3509"/>
      <c r="W538" s="3509"/>
      <c r="X538" s="3509"/>
      <c r="Y538" s="3509"/>
      <c r="Z538" s="3509"/>
      <c r="AA538" s="3509"/>
      <c r="AB538" s="3509"/>
      <c r="AC538" s="3509"/>
    </row>
    <row r="539" spans="1:29">
      <c r="A539" s="3509"/>
      <c r="B539" s="3509"/>
      <c r="C539" s="3509"/>
      <c r="D539" s="3509"/>
      <c r="E539" s="3509"/>
      <c r="F539" s="3509"/>
      <c r="G539" s="3509"/>
      <c r="H539" s="3509"/>
      <c r="I539" s="3509"/>
      <c r="J539" s="3509"/>
      <c r="K539" s="3510"/>
      <c r="L539" s="3511"/>
      <c r="M539" s="3509"/>
      <c r="N539" s="3509"/>
      <c r="O539" s="3509"/>
      <c r="P539" s="3553"/>
      <c r="Q539" s="3509"/>
      <c r="R539" s="3509"/>
      <c r="S539" s="3509"/>
      <c r="T539" s="3509"/>
      <c r="U539" s="3509"/>
      <c r="V539" s="3509"/>
      <c r="W539" s="3509"/>
      <c r="X539" s="3509"/>
      <c r="Y539" s="3509"/>
      <c r="Z539" s="3509"/>
      <c r="AA539" s="3509"/>
      <c r="AB539" s="3509"/>
      <c r="AC539" s="3509"/>
    </row>
    <row r="540" spans="1:29">
      <c r="A540" s="3509"/>
      <c r="B540" s="3509"/>
      <c r="C540" s="3509"/>
      <c r="D540" s="3509"/>
      <c r="E540" s="3509"/>
      <c r="F540" s="3509"/>
      <c r="G540" s="3509"/>
      <c r="H540" s="3509"/>
      <c r="I540" s="3509"/>
      <c r="J540" s="3509"/>
      <c r="K540" s="3510"/>
      <c r="L540" s="3511"/>
      <c r="M540" s="3509"/>
      <c r="N540" s="3509"/>
      <c r="O540" s="3509"/>
      <c r="P540" s="3553"/>
      <c r="Q540" s="3509"/>
      <c r="R540" s="3509"/>
      <c r="S540" s="3509"/>
      <c r="T540" s="3509"/>
      <c r="U540" s="3509"/>
      <c r="V540" s="3509"/>
      <c r="W540" s="3509"/>
      <c r="X540" s="3509"/>
      <c r="Y540" s="3509"/>
      <c r="Z540" s="3509"/>
      <c r="AA540" s="3509"/>
      <c r="AB540" s="3509"/>
      <c r="AC540" s="3509"/>
    </row>
    <row r="541" spans="1:29">
      <c r="A541" s="3509"/>
      <c r="B541" s="3509"/>
      <c r="C541" s="3509"/>
      <c r="D541" s="3509"/>
      <c r="E541" s="3509"/>
      <c r="F541" s="3509"/>
      <c r="G541" s="3509"/>
      <c r="H541" s="3509"/>
      <c r="I541" s="3509"/>
      <c r="J541" s="3509"/>
      <c r="K541" s="3510"/>
      <c r="L541" s="3511"/>
      <c r="M541" s="3509"/>
      <c r="N541" s="3509"/>
      <c r="O541" s="3509"/>
      <c r="P541" s="3553"/>
      <c r="Q541" s="3509"/>
      <c r="R541" s="3509"/>
      <c r="S541" s="3509"/>
      <c r="T541" s="3509"/>
      <c r="U541" s="3509"/>
      <c r="V541" s="3509"/>
      <c r="W541" s="3509"/>
      <c r="X541" s="3509"/>
      <c r="Y541" s="3509"/>
      <c r="Z541" s="3509"/>
      <c r="AA541" s="3509"/>
      <c r="AB541" s="3509"/>
      <c r="AC541" s="3509"/>
    </row>
    <row r="542" spans="1:29">
      <c r="A542" s="3509"/>
      <c r="B542" s="3509"/>
      <c r="C542" s="3509"/>
      <c r="D542" s="3509"/>
      <c r="E542" s="3509"/>
      <c r="F542" s="3509"/>
      <c r="G542" s="3509"/>
      <c r="H542" s="3509"/>
      <c r="I542" s="3509"/>
      <c r="J542" s="3509"/>
      <c r="K542" s="3510"/>
      <c r="L542" s="3511"/>
      <c r="M542" s="3509"/>
      <c r="N542" s="3509"/>
      <c r="O542" s="3509"/>
      <c r="P542" s="3553"/>
      <c r="Q542" s="3509"/>
      <c r="R542" s="3509"/>
      <c r="S542" s="3509"/>
      <c r="T542" s="3509"/>
      <c r="U542" s="3509"/>
      <c r="V542" s="3509"/>
      <c r="W542" s="3509"/>
      <c r="X542" s="3509"/>
      <c r="Y542" s="3509"/>
      <c r="Z542" s="3509"/>
      <c r="AA542" s="3509"/>
      <c r="AB542" s="3509"/>
      <c r="AC542" s="3509"/>
    </row>
    <row r="543" spans="1:29">
      <c r="A543" s="3509"/>
      <c r="B543" s="3509"/>
      <c r="C543" s="3509"/>
      <c r="D543" s="3509"/>
      <c r="E543" s="3509"/>
      <c r="F543" s="3509"/>
      <c r="G543" s="3509"/>
      <c r="H543" s="3509"/>
      <c r="I543" s="3509"/>
      <c r="J543" s="3509"/>
      <c r="K543" s="3510"/>
      <c r="L543" s="3511"/>
      <c r="M543" s="3509"/>
      <c r="N543" s="3509"/>
      <c r="O543" s="3509"/>
      <c r="P543" s="3553"/>
      <c r="Q543" s="3509"/>
      <c r="R543" s="3509"/>
      <c r="S543" s="3509"/>
      <c r="T543" s="3509"/>
      <c r="U543" s="3509"/>
      <c r="V543" s="3509"/>
      <c r="W543" s="3509"/>
      <c r="X543" s="3509"/>
      <c r="Y543" s="3509"/>
      <c r="Z543" s="3509"/>
      <c r="AA543" s="3509"/>
      <c r="AB543" s="3509"/>
      <c r="AC543" s="3509"/>
    </row>
    <row r="544" spans="1:29">
      <c r="A544" s="3509"/>
      <c r="B544" s="3509"/>
      <c r="C544" s="3509"/>
      <c r="D544" s="3509"/>
      <c r="E544" s="3509"/>
      <c r="F544" s="3509"/>
      <c r="G544" s="3509"/>
      <c r="H544" s="3509"/>
      <c r="I544" s="3509"/>
      <c r="J544" s="3509"/>
      <c r="K544" s="3510"/>
      <c r="L544" s="3511"/>
      <c r="M544" s="3509"/>
      <c r="N544" s="3509"/>
      <c r="O544" s="3509"/>
      <c r="P544" s="3553"/>
      <c r="Q544" s="3509"/>
      <c r="R544" s="3509"/>
      <c r="S544" s="3509"/>
      <c r="T544" s="3509"/>
      <c r="U544" s="3509"/>
      <c r="V544" s="3509"/>
      <c r="W544" s="3509"/>
      <c r="X544" s="3509"/>
      <c r="Y544" s="3509"/>
      <c r="Z544" s="3509"/>
      <c r="AA544" s="3509"/>
      <c r="AB544" s="3509"/>
      <c r="AC544" s="3509"/>
    </row>
    <row r="545" spans="1:29">
      <c r="A545" s="3509"/>
      <c r="B545" s="3509"/>
      <c r="C545" s="3509"/>
      <c r="D545" s="3509"/>
      <c r="E545" s="3509"/>
      <c r="F545" s="3509"/>
      <c r="G545" s="3509"/>
      <c r="H545" s="3509"/>
      <c r="I545" s="3509"/>
      <c r="J545" s="3509"/>
      <c r="K545" s="3510"/>
      <c r="L545" s="3511"/>
      <c r="M545" s="3509"/>
      <c r="N545" s="3509"/>
      <c r="O545" s="3509"/>
      <c r="P545" s="3553"/>
      <c r="Q545" s="3509"/>
      <c r="R545" s="3509"/>
      <c r="S545" s="3509"/>
      <c r="T545" s="3509"/>
      <c r="U545" s="3509"/>
      <c r="V545" s="3509"/>
      <c r="W545" s="3509"/>
      <c r="X545" s="3509"/>
      <c r="Y545" s="3509"/>
      <c r="Z545" s="3509"/>
      <c r="AA545" s="3509"/>
      <c r="AB545" s="3509"/>
      <c r="AC545" s="3509"/>
    </row>
    <row r="546" spans="1:29">
      <c r="A546" s="3509"/>
      <c r="B546" s="3509"/>
      <c r="C546" s="3509"/>
      <c r="D546" s="3509"/>
      <c r="E546" s="3509"/>
      <c r="F546" s="3509"/>
      <c r="G546" s="3509"/>
      <c r="H546" s="3509"/>
      <c r="I546" s="3509"/>
      <c r="J546" s="3509"/>
      <c r="K546" s="3510"/>
      <c r="L546" s="3511"/>
      <c r="M546" s="3509"/>
      <c r="N546" s="3509"/>
      <c r="O546" s="3509"/>
      <c r="P546" s="3553"/>
      <c r="Q546" s="3509"/>
      <c r="R546" s="3509"/>
      <c r="S546" s="3509"/>
      <c r="T546" s="3509"/>
      <c r="U546" s="3509"/>
      <c r="V546" s="3509"/>
      <c r="W546" s="3509"/>
      <c r="X546" s="3509"/>
      <c r="Y546" s="3509"/>
      <c r="Z546" s="3509"/>
      <c r="AA546" s="3509"/>
      <c r="AB546" s="3509"/>
      <c r="AC546" s="3509"/>
    </row>
    <row r="547" spans="1:29">
      <c r="A547" s="3509"/>
      <c r="B547" s="3509"/>
      <c r="C547" s="3509"/>
      <c r="D547" s="3509"/>
      <c r="E547" s="3509"/>
      <c r="F547" s="3509"/>
      <c r="G547" s="3509"/>
      <c r="H547" s="3509"/>
      <c r="I547" s="3509"/>
      <c r="J547" s="3509"/>
      <c r="K547" s="3510"/>
      <c r="L547" s="3511"/>
      <c r="M547" s="3509"/>
      <c r="N547" s="3509"/>
      <c r="O547" s="3509"/>
      <c r="P547" s="3553"/>
      <c r="Q547" s="3509"/>
      <c r="R547" s="3509"/>
      <c r="S547" s="3509"/>
      <c r="T547" s="3509"/>
      <c r="U547" s="3509"/>
      <c r="V547" s="3509"/>
      <c r="W547" s="3509"/>
      <c r="X547" s="3509"/>
      <c r="Y547" s="3509"/>
      <c r="Z547" s="3509"/>
      <c r="AA547" s="3509"/>
      <c r="AB547" s="3509"/>
      <c r="AC547" s="3509"/>
    </row>
    <row r="548" spans="1:29">
      <c r="A548" s="3509"/>
      <c r="B548" s="3509"/>
      <c r="C548" s="3509"/>
      <c r="D548" s="3509"/>
      <c r="E548" s="3509"/>
      <c r="F548" s="3509"/>
      <c r="G548" s="3509"/>
      <c r="H548" s="3509"/>
      <c r="I548" s="3509"/>
      <c r="J548" s="3509"/>
      <c r="K548" s="3510"/>
      <c r="L548" s="3511"/>
      <c r="M548" s="3509"/>
      <c r="N548" s="3509"/>
      <c r="O548" s="3509"/>
      <c r="P548" s="3553"/>
      <c r="Q548" s="3509"/>
      <c r="R548" s="3509"/>
      <c r="S548" s="3509"/>
      <c r="T548" s="3509"/>
      <c r="U548" s="3509"/>
      <c r="V548" s="3509"/>
      <c r="W548" s="3509"/>
      <c r="X548" s="3509"/>
      <c r="Y548" s="3509"/>
      <c r="Z548" s="3509"/>
      <c r="AA548" s="3509"/>
      <c r="AB548" s="3509"/>
      <c r="AC548" s="3509"/>
    </row>
    <row r="549" spans="1:29">
      <c r="A549" s="3509"/>
      <c r="B549" s="3509"/>
      <c r="C549" s="3509"/>
      <c r="D549" s="3509"/>
      <c r="E549" s="3509"/>
      <c r="F549" s="3509"/>
      <c r="G549" s="3509"/>
      <c r="H549" s="3509"/>
      <c r="I549" s="3509"/>
      <c r="J549" s="3509"/>
      <c r="K549" s="3510"/>
      <c r="L549" s="3511"/>
      <c r="M549" s="3509"/>
      <c r="N549" s="3509"/>
      <c r="O549" s="3509"/>
      <c r="P549" s="3553"/>
      <c r="Q549" s="3509"/>
      <c r="R549" s="3509"/>
      <c r="S549" s="3509"/>
      <c r="T549" s="3509"/>
      <c r="U549" s="3509"/>
      <c r="V549" s="3509"/>
      <c r="W549" s="3509"/>
      <c r="X549" s="3509"/>
      <c r="Y549" s="3509"/>
      <c r="Z549" s="3509"/>
      <c r="AA549" s="3509"/>
      <c r="AB549" s="3509"/>
      <c r="AC549" s="3509"/>
    </row>
    <row r="550" spans="1:29">
      <c r="A550" s="3509"/>
      <c r="B550" s="3509"/>
      <c r="C550" s="3509"/>
      <c r="D550" s="3509"/>
      <c r="E550" s="3509"/>
      <c r="F550" s="3509"/>
      <c r="G550" s="3509"/>
      <c r="H550" s="3509"/>
      <c r="I550" s="3509"/>
      <c r="J550" s="3509"/>
      <c r="K550" s="3510"/>
      <c r="L550" s="3511"/>
      <c r="M550" s="3509"/>
      <c r="N550" s="3509"/>
      <c r="O550" s="3509"/>
      <c r="P550" s="3553"/>
      <c r="Q550" s="3509"/>
      <c r="R550" s="3509"/>
      <c r="S550" s="3509"/>
      <c r="T550" s="3509"/>
      <c r="U550" s="3509"/>
      <c r="V550" s="3509"/>
      <c r="W550" s="3509"/>
      <c r="X550" s="3509"/>
      <c r="Y550" s="3509"/>
      <c r="Z550" s="3509"/>
      <c r="AA550" s="3509"/>
      <c r="AB550" s="3509"/>
      <c r="AC550" s="3509"/>
    </row>
    <row r="551" spans="1:29">
      <c r="A551" s="3509"/>
      <c r="B551" s="3509"/>
      <c r="C551" s="3509"/>
      <c r="D551" s="3509"/>
      <c r="E551" s="3509"/>
      <c r="F551" s="3509"/>
      <c r="G551" s="3509"/>
      <c r="H551" s="3509"/>
      <c r="I551" s="3509"/>
      <c r="J551" s="3509"/>
      <c r="K551" s="3510"/>
      <c r="L551" s="3511"/>
      <c r="M551" s="3509"/>
      <c r="N551" s="3509"/>
      <c r="O551" s="3509"/>
      <c r="P551" s="3553"/>
      <c r="Q551" s="3509"/>
      <c r="R551" s="3509"/>
      <c r="S551" s="3509"/>
      <c r="T551" s="3509"/>
      <c r="U551" s="3509"/>
      <c r="V551" s="3509"/>
      <c r="W551" s="3509"/>
      <c r="X551" s="3509"/>
      <c r="Y551" s="3509"/>
      <c r="Z551" s="3509"/>
      <c r="AA551" s="3509"/>
      <c r="AB551" s="3509"/>
      <c r="AC551" s="3509"/>
    </row>
    <row r="552" spans="1:29">
      <c r="A552" s="3509"/>
      <c r="B552" s="3509"/>
      <c r="C552" s="3509"/>
      <c r="D552" s="3509"/>
      <c r="E552" s="3509"/>
      <c r="F552" s="3509"/>
      <c r="G552" s="3509"/>
      <c r="H552" s="3509"/>
      <c r="I552" s="3509"/>
      <c r="J552" s="3509"/>
      <c r="K552" s="3510"/>
      <c r="L552" s="3511"/>
      <c r="M552" s="3509"/>
      <c r="N552" s="3509"/>
      <c r="O552" s="3509"/>
      <c r="P552" s="3553"/>
      <c r="Q552" s="3509"/>
      <c r="R552" s="3509"/>
      <c r="S552" s="3509"/>
      <c r="T552" s="3509"/>
      <c r="U552" s="3509"/>
      <c r="V552" s="3509"/>
      <c r="W552" s="3509"/>
      <c r="X552" s="3509"/>
      <c r="Y552" s="3509"/>
      <c r="Z552" s="3509"/>
      <c r="AA552" s="3509"/>
      <c r="AB552" s="3509"/>
      <c r="AC552" s="3509"/>
    </row>
    <row r="553" spans="1:29">
      <c r="A553" s="3509"/>
      <c r="B553" s="3509"/>
      <c r="C553" s="3509"/>
      <c r="D553" s="3509"/>
      <c r="E553" s="3509"/>
      <c r="F553" s="3509"/>
      <c r="G553" s="3509"/>
      <c r="H553" s="3509"/>
      <c r="I553" s="3509"/>
      <c r="J553" s="3509"/>
      <c r="K553" s="3510"/>
      <c r="L553" s="3511"/>
      <c r="M553" s="3509"/>
      <c r="N553" s="3509"/>
      <c r="O553" s="3509"/>
      <c r="P553" s="3553"/>
      <c r="Q553" s="3509"/>
      <c r="R553" s="3509"/>
      <c r="S553" s="3509"/>
      <c r="T553" s="3509"/>
      <c r="U553" s="3509"/>
      <c r="V553" s="3509"/>
      <c r="W553" s="3509"/>
      <c r="X553" s="3509"/>
      <c r="Y553" s="3509"/>
      <c r="Z553" s="3509"/>
      <c r="AA553" s="3509"/>
      <c r="AB553" s="3509"/>
      <c r="AC553" s="3509"/>
    </row>
    <row r="554" spans="1:29">
      <c r="A554" s="3509"/>
      <c r="B554" s="3509"/>
      <c r="C554" s="3509"/>
      <c r="D554" s="3509"/>
      <c r="E554" s="3509"/>
      <c r="F554" s="3509"/>
      <c r="G554" s="3509"/>
      <c r="H554" s="3509"/>
      <c r="I554" s="3509"/>
      <c r="J554" s="3509"/>
      <c r="K554" s="3510"/>
      <c r="L554" s="3511"/>
      <c r="M554" s="3509"/>
      <c r="N554" s="3509"/>
      <c r="O554" s="3509"/>
      <c r="P554" s="3553"/>
      <c r="Q554" s="3509"/>
      <c r="R554" s="3509"/>
      <c r="S554" s="3509"/>
      <c r="T554" s="3509"/>
      <c r="U554" s="3509"/>
      <c r="V554" s="3509"/>
      <c r="W554" s="3509"/>
      <c r="X554" s="3509"/>
      <c r="Y554" s="3509"/>
      <c r="Z554" s="3509"/>
      <c r="AA554" s="3509"/>
      <c r="AB554" s="3509"/>
      <c r="AC554" s="3509"/>
    </row>
    <row r="555" spans="1:29">
      <c r="A555" s="3509"/>
      <c r="B555" s="3509"/>
      <c r="C555" s="3509"/>
      <c r="D555" s="3509"/>
      <c r="E555" s="3509"/>
      <c r="F555" s="3509"/>
      <c r="G555" s="3509"/>
      <c r="H555" s="3509"/>
      <c r="I555" s="3509"/>
      <c r="J555" s="3509"/>
      <c r="K555" s="3510"/>
      <c r="L555" s="3511"/>
      <c r="M555" s="3509"/>
      <c r="N555" s="3509"/>
      <c r="O555" s="3509"/>
      <c r="P555" s="3553"/>
      <c r="Q555" s="3509"/>
      <c r="R555" s="3509"/>
      <c r="S555" s="3509"/>
      <c r="T555" s="3509"/>
      <c r="U555" s="3509"/>
      <c r="V555" s="3509"/>
      <c r="W555" s="3509"/>
      <c r="X555" s="3509"/>
      <c r="Y555" s="3509"/>
      <c r="Z555" s="3509"/>
      <c r="AA555" s="3509"/>
      <c r="AB555" s="3509"/>
      <c r="AC555" s="3509"/>
    </row>
    <row r="556" spans="1:29">
      <c r="A556" s="3509"/>
      <c r="B556" s="3509"/>
      <c r="C556" s="3509"/>
      <c r="D556" s="3509"/>
      <c r="E556" s="3509"/>
      <c r="F556" s="3509"/>
      <c r="G556" s="3509"/>
      <c r="H556" s="3509"/>
      <c r="I556" s="3509"/>
      <c r="J556" s="3509"/>
      <c r="K556" s="3510"/>
      <c r="L556" s="3511"/>
      <c r="M556" s="3509"/>
      <c r="N556" s="3509"/>
      <c r="O556" s="3509"/>
      <c r="P556" s="3553"/>
      <c r="Q556" s="3509"/>
      <c r="R556" s="3509"/>
      <c r="S556" s="3509"/>
      <c r="T556" s="3509"/>
      <c r="U556" s="3509"/>
      <c r="V556" s="3509"/>
      <c r="W556" s="3509"/>
      <c r="X556" s="3509"/>
      <c r="Y556" s="3509"/>
      <c r="Z556" s="3509"/>
      <c r="AA556" s="3509"/>
      <c r="AB556" s="3509"/>
      <c r="AC556" s="3509"/>
    </row>
    <row r="557" spans="1:29">
      <c r="A557" s="3509"/>
      <c r="B557" s="3509"/>
      <c r="C557" s="3509"/>
      <c r="D557" s="3509"/>
      <c r="E557" s="3509"/>
      <c r="F557" s="3509"/>
      <c r="G557" s="3509"/>
      <c r="H557" s="3509"/>
      <c r="I557" s="3509"/>
      <c r="J557" s="3509"/>
      <c r="K557" s="3510"/>
      <c r="L557" s="3511"/>
      <c r="M557" s="3509"/>
      <c r="N557" s="3509"/>
      <c r="O557" s="3509"/>
      <c r="P557" s="3553"/>
      <c r="Q557" s="3509"/>
      <c r="R557" s="3509"/>
      <c r="S557" s="3509"/>
      <c r="T557" s="3509"/>
      <c r="U557" s="3509"/>
      <c r="V557" s="3509"/>
      <c r="W557" s="3509"/>
      <c r="X557" s="3509"/>
      <c r="Y557" s="3509"/>
      <c r="Z557" s="3509"/>
      <c r="AA557" s="3509"/>
      <c r="AB557" s="3509"/>
      <c r="AC557" s="3509"/>
    </row>
    <row r="558" spans="1:29">
      <c r="A558" s="3509"/>
      <c r="B558" s="3509"/>
      <c r="C558" s="3509"/>
      <c r="D558" s="3509"/>
      <c r="E558" s="3509"/>
      <c r="F558" s="3509"/>
      <c r="G558" s="3509"/>
      <c r="H558" s="3509"/>
      <c r="I558" s="3509"/>
      <c r="J558" s="3509"/>
      <c r="K558" s="3510"/>
      <c r="L558" s="3511"/>
      <c r="M558" s="3509"/>
      <c r="N558" s="3509"/>
      <c r="O558" s="3509"/>
      <c r="P558" s="3553"/>
      <c r="Q558" s="3509"/>
      <c r="R558" s="3509"/>
      <c r="S558" s="3509"/>
      <c r="T558" s="3509"/>
      <c r="U558" s="3509"/>
      <c r="V558" s="3509"/>
      <c r="W558" s="3509"/>
      <c r="X558" s="3509"/>
      <c r="Y558" s="3509"/>
      <c r="Z558" s="3509"/>
      <c r="AA558" s="3509"/>
      <c r="AB558" s="3509"/>
      <c r="AC558" s="3509"/>
    </row>
    <row r="559" spans="1:29">
      <c r="A559" s="3509"/>
      <c r="B559" s="3509"/>
      <c r="C559" s="3509"/>
      <c r="D559" s="3509"/>
      <c r="E559" s="3509"/>
      <c r="F559" s="3509"/>
      <c r="G559" s="3509"/>
      <c r="H559" s="3509"/>
      <c r="I559" s="3509"/>
      <c r="J559" s="3509"/>
      <c r="K559" s="3510"/>
      <c r="L559" s="3511"/>
      <c r="M559" s="3509"/>
      <c r="N559" s="3509"/>
      <c r="O559" s="3509"/>
      <c r="P559" s="3553"/>
      <c r="Q559" s="3509"/>
      <c r="R559" s="3509"/>
      <c r="S559" s="3509"/>
      <c r="T559" s="3509"/>
      <c r="U559" s="3509"/>
      <c r="V559" s="3509"/>
      <c r="W559" s="3509"/>
      <c r="X559" s="3509"/>
      <c r="Y559" s="3509"/>
      <c r="Z559" s="3509"/>
      <c r="AA559" s="3509"/>
      <c r="AB559" s="3509"/>
      <c r="AC559" s="3509"/>
    </row>
    <row r="560" spans="1:29">
      <c r="A560" s="3509"/>
      <c r="B560" s="3509"/>
      <c r="C560" s="3509"/>
      <c r="D560" s="3509"/>
      <c r="E560" s="3509"/>
      <c r="F560" s="3509"/>
      <c r="G560" s="3509"/>
      <c r="H560" s="3509"/>
      <c r="I560" s="3509"/>
      <c r="J560" s="3509"/>
      <c r="K560" s="3510"/>
      <c r="L560" s="3511"/>
      <c r="M560" s="3509"/>
      <c r="N560" s="3509"/>
      <c r="O560" s="3509"/>
      <c r="P560" s="3553"/>
      <c r="Q560" s="3509"/>
      <c r="R560" s="3509"/>
      <c r="S560" s="3509"/>
      <c r="T560" s="3509"/>
      <c r="U560" s="3509"/>
      <c r="V560" s="3509"/>
      <c r="W560" s="3509"/>
      <c r="X560" s="3509"/>
      <c r="Y560" s="3509"/>
      <c r="Z560" s="3509"/>
      <c r="AA560" s="3509"/>
      <c r="AB560" s="3509"/>
      <c r="AC560" s="3509"/>
    </row>
    <row r="561" spans="1:29">
      <c r="A561" s="3509"/>
      <c r="B561" s="3509"/>
      <c r="C561" s="3509"/>
      <c r="D561" s="3509"/>
      <c r="E561" s="3509"/>
      <c r="F561" s="3509"/>
      <c r="G561" s="3509"/>
      <c r="H561" s="3509"/>
      <c r="I561" s="3509"/>
      <c r="J561" s="3509"/>
      <c r="K561" s="3510"/>
      <c r="L561" s="3511"/>
      <c r="M561" s="3509"/>
      <c r="N561" s="3509"/>
      <c r="O561" s="3509"/>
      <c r="P561" s="3553"/>
      <c r="Q561" s="3509"/>
      <c r="R561" s="3509"/>
      <c r="S561" s="3509"/>
      <c r="T561" s="3509"/>
      <c r="U561" s="3509"/>
      <c r="V561" s="3509"/>
      <c r="W561" s="3509"/>
      <c r="X561" s="3509"/>
      <c r="Y561" s="3509"/>
      <c r="Z561" s="3509"/>
      <c r="AA561" s="3509"/>
      <c r="AB561" s="3509"/>
      <c r="AC561" s="3509"/>
    </row>
    <row r="562" spans="1:29">
      <c r="A562" s="3509"/>
      <c r="B562" s="3509"/>
      <c r="C562" s="3509"/>
      <c r="D562" s="3509"/>
      <c r="E562" s="3509"/>
      <c r="F562" s="3509"/>
      <c r="G562" s="3509"/>
      <c r="H562" s="3509"/>
      <c r="I562" s="3509"/>
      <c r="J562" s="3509"/>
      <c r="K562" s="3510"/>
      <c r="L562" s="3511"/>
      <c r="M562" s="3509"/>
      <c r="N562" s="3509"/>
      <c r="O562" s="3509"/>
      <c r="P562" s="3553"/>
      <c r="Q562" s="3509"/>
      <c r="R562" s="3509"/>
      <c r="S562" s="3509"/>
      <c r="T562" s="3509"/>
      <c r="U562" s="3509"/>
      <c r="V562" s="3509"/>
      <c r="W562" s="3509"/>
      <c r="X562" s="3509"/>
      <c r="Y562" s="3509"/>
      <c r="Z562" s="3509"/>
      <c r="AA562" s="3509"/>
      <c r="AB562" s="3509"/>
      <c r="AC562" s="3509"/>
    </row>
    <row r="563" spans="1:29">
      <c r="A563" s="3509"/>
      <c r="B563" s="3509"/>
      <c r="C563" s="3509"/>
      <c r="D563" s="3509"/>
      <c r="E563" s="3509"/>
      <c r="F563" s="3509"/>
      <c r="G563" s="3509"/>
      <c r="H563" s="3509"/>
      <c r="I563" s="3509"/>
      <c r="J563" s="3509"/>
      <c r="K563" s="3510"/>
      <c r="L563" s="3511"/>
      <c r="M563" s="3509"/>
      <c r="N563" s="3509"/>
      <c r="O563" s="3509"/>
      <c r="P563" s="3553"/>
      <c r="Q563" s="3509"/>
      <c r="R563" s="3509"/>
      <c r="S563" s="3509"/>
      <c r="T563" s="3509"/>
      <c r="U563" s="3509"/>
      <c r="V563" s="3509"/>
      <c r="W563" s="3509"/>
      <c r="X563" s="3509"/>
      <c r="Y563" s="3509"/>
      <c r="Z563" s="3509"/>
      <c r="AA563" s="3509"/>
      <c r="AB563" s="3509"/>
      <c r="AC563" s="3509"/>
    </row>
    <row r="564" spans="1:29">
      <c r="A564" s="3509"/>
      <c r="B564" s="3509"/>
      <c r="C564" s="3509"/>
      <c r="D564" s="3509"/>
      <c r="E564" s="3509"/>
      <c r="F564" s="3509"/>
      <c r="G564" s="3509"/>
      <c r="H564" s="3509"/>
      <c r="I564" s="3509"/>
      <c r="J564" s="3509"/>
      <c r="K564" s="3510"/>
      <c r="L564" s="3511"/>
      <c r="M564" s="3509"/>
      <c r="N564" s="3509"/>
      <c r="O564" s="3509"/>
      <c r="P564" s="3553"/>
      <c r="Q564" s="3509"/>
      <c r="R564" s="3509"/>
      <c r="S564" s="3509"/>
      <c r="T564" s="3509"/>
      <c r="U564" s="3509"/>
      <c r="V564" s="3509"/>
      <c r="W564" s="3509"/>
      <c r="X564" s="3509"/>
      <c r="Y564" s="3509"/>
      <c r="Z564" s="3509"/>
      <c r="AA564" s="3509"/>
      <c r="AB564" s="3509"/>
      <c r="AC564" s="3509"/>
    </row>
    <row r="565" spans="1:29">
      <c r="A565" s="3509"/>
      <c r="B565" s="3509"/>
      <c r="C565" s="3509"/>
      <c r="D565" s="3509"/>
      <c r="E565" s="3509"/>
      <c r="F565" s="3509"/>
      <c r="G565" s="3509"/>
      <c r="H565" s="3509"/>
      <c r="I565" s="3509"/>
      <c r="J565" s="3509"/>
      <c r="K565" s="3510"/>
      <c r="L565" s="3511"/>
      <c r="M565" s="3509"/>
      <c r="N565" s="3509"/>
      <c r="O565" s="3509"/>
      <c r="P565" s="3553"/>
      <c r="Q565" s="3509"/>
      <c r="R565" s="3509"/>
      <c r="S565" s="3509"/>
      <c r="T565" s="3509"/>
      <c r="U565" s="3509"/>
      <c r="V565" s="3509"/>
      <c r="W565" s="3509"/>
      <c r="X565" s="3509"/>
      <c r="Y565" s="3509"/>
      <c r="Z565" s="3509"/>
      <c r="AA565" s="3509"/>
      <c r="AB565" s="3509"/>
      <c r="AC565" s="3509"/>
    </row>
    <row r="566" spans="1:29">
      <c r="A566" s="3509"/>
      <c r="B566" s="3509"/>
      <c r="C566" s="3509"/>
      <c r="D566" s="3509"/>
      <c r="E566" s="3509"/>
      <c r="F566" s="3509"/>
      <c r="G566" s="3509"/>
      <c r="H566" s="3509"/>
      <c r="I566" s="3509"/>
      <c r="J566" s="3509"/>
      <c r="K566" s="3510"/>
      <c r="L566" s="3511"/>
      <c r="M566" s="3509"/>
      <c r="N566" s="3509"/>
      <c r="O566" s="3509"/>
      <c r="P566" s="3553"/>
      <c r="Q566" s="3509"/>
      <c r="R566" s="3509"/>
      <c r="S566" s="3509"/>
      <c r="T566" s="3509"/>
      <c r="U566" s="3509"/>
      <c r="V566" s="3509"/>
      <c r="W566" s="3509"/>
      <c r="X566" s="3509"/>
      <c r="Y566" s="3509"/>
      <c r="Z566" s="3509"/>
      <c r="AA566" s="3509"/>
      <c r="AB566" s="3509"/>
      <c r="AC566" s="3509"/>
    </row>
    <row r="567" spans="1:29">
      <c r="A567" s="3509"/>
      <c r="B567" s="3509"/>
      <c r="C567" s="3509"/>
      <c r="D567" s="3509"/>
      <c r="E567" s="3509"/>
      <c r="F567" s="3509"/>
      <c r="G567" s="3509"/>
      <c r="H567" s="3509"/>
      <c r="I567" s="3509"/>
      <c r="J567" s="3509"/>
      <c r="K567" s="3510"/>
      <c r="L567" s="3511"/>
      <c r="M567" s="3509"/>
      <c r="N567" s="3509"/>
      <c r="O567" s="3509"/>
      <c r="P567" s="3553"/>
      <c r="Q567" s="3509"/>
      <c r="R567" s="3509"/>
      <c r="S567" s="3509"/>
      <c r="T567" s="3509"/>
      <c r="U567" s="3509"/>
      <c r="V567" s="3509"/>
      <c r="W567" s="3509"/>
      <c r="X567" s="3509"/>
      <c r="Y567" s="3509"/>
      <c r="Z567" s="3509"/>
      <c r="AA567" s="3509"/>
      <c r="AB567" s="3509"/>
      <c r="AC567" s="3509"/>
    </row>
    <row r="568" spans="1:29">
      <c r="A568" s="3509"/>
      <c r="B568" s="3509"/>
      <c r="C568" s="3509"/>
      <c r="D568" s="3509"/>
      <c r="E568" s="3509"/>
      <c r="F568" s="3509"/>
      <c r="G568" s="3509"/>
      <c r="H568" s="3509"/>
      <c r="I568" s="3509"/>
      <c r="J568" s="3509"/>
      <c r="K568" s="3510"/>
      <c r="L568" s="3511"/>
      <c r="M568" s="3509"/>
      <c r="N568" s="3509"/>
      <c r="O568" s="3509"/>
      <c r="P568" s="3553"/>
      <c r="Q568" s="3509"/>
      <c r="R568" s="3509"/>
      <c r="S568" s="3509"/>
      <c r="T568" s="3509"/>
      <c r="U568" s="3509"/>
      <c r="V568" s="3509"/>
      <c r="W568" s="3509"/>
      <c r="X568" s="3509"/>
      <c r="Y568" s="3509"/>
      <c r="Z568" s="3509"/>
      <c r="AA568" s="3509"/>
      <c r="AB568" s="3509"/>
      <c r="AC568" s="3509"/>
    </row>
    <row r="569" spans="1:29">
      <c r="A569" s="3509"/>
      <c r="B569" s="3509"/>
      <c r="C569" s="3509"/>
      <c r="D569" s="3509"/>
      <c r="E569" s="3509"/>
      <c r="F569" s="3509"/>
      <c r="G569" s="3509"/>
      <c r="H569" s="3509"/>
      <c r="I569" s="3509"/>
      <c r="J569" s="3509"/>
      <c r="K569" s="3510"/>
      <c r="L569" s="3511"/>
      <c r="M569" s="3509"/>
      <c r="N569" s="3509"/>
      <c r="O569" s="3509"/>
      <c r="P569" s="3553"/>
      <c r="Q569" s="3509"/>
      <c r="R569" s="3509"/>
      <c r="S569" s="3509"/>
      <c r="T569" s="3509"/>
      <c r="U569" s="3509"/>
      <c r="V569" s="3509"/>
      <c r="W569" s="3509"/>
      <c r="X569" s="3509"/>
      <c r="Y569" s="3509"/>
      <c r="Z569" s="3509"/>
      <c r="AA569" s="3509"/>
      <c r="AB569" s="3509"/>
      <c r="AC569" s="3509"/>
    </row>
    <row r="570" spans="1:29">
      <c r="A570" s="3509"/>
      <c r="B570" s="3509"/>
      <c r="C570" s="3509"/>
      <c r="D570" s="3509"/>
      <c r="E570" s="3509"/>
      <c r="F570" s="3509"/>
      <c r="G570" s="3509"/>
      <c r="H570" s="3509"/>
      <c r="I570" s="3509"/>
      <c r="J570" s="3509"/>
      <c r="K570" s="3510"/>
      <c r="L570" s="3511"/>
      <c r="M570" s="3509"/>
      <c r="N570" s="3509"/>
      <c r="O570" s="3509"/>
      <c r="P570" s="3553"/>
      <c r="Q570" s="3509"/>
      <c r="R570" s="3509"/>
      <c r="S570" s="3509"/>
      <c r="T570" s="3509"/>
      <c r="U570" s="3509"/>
      <c r="V570" s="3509"/>
      <c r="W570" s="3509"/>
      <c r="X570" s="3509"/>
      <c r="Y570" s="3509"/>
      <c r="Z570" s="3509"/>
      <c r="AA570" s="3509"/>
      <c r="AB570" s="3509"/>
      <c r="AC570" s="3509"/>
    </row>
    <row r="571" spans="1:29">
      <c r="A571" s="3509"/>
      <c r="B571" s="3509"/>
      <c r="C571" s="3509"/>
      <c r="D571" s="3509"/>
      <c r="E571" s="3509"/>
      <c r="F571" s="3509"/>
      <c r="G571" s="3509"/>
      <c r="H571" s="3509"/>
      <c r="I571" s="3509"/>
      <c r="J571" s="3509"/>
      <c r="K571" s="3510"/>
      <c r="L571" s="3511"/>
      <c r="M571" s="3509"/>
      <c r="N571" s="3509"/>
      <c r="O571" s="3509"/>
      <c r="P571" s="3553"/>
      <c r="Q571" s="3509"/>
      <c r="R571" s="3509"/>
      <c r="S571" s="3509"/>
      <c r="T571" s="3509"/>
      <c r="U571" s="3509"/>
      <c r="V571" s="3509"/>
      <c r="W571" s="3509"/>
      <c r="X571" s="3509"/>
      <c r="Y571" s="3509"/>
      <c r="Z571" s="3509"/>
      <c r="AA571" s="3509"/>
      <c r="AB571" s="3509"/>
      <c r="AC571" s="3509"/>
    </row>
    <row r="572" spans="1:29">
      <c r="A572" s="3509"/>
      <c r="B572" s="3509"/>
      <c r="C572" s="3509"/>
      <c r="D572" s="3509"/>
      <c r="E572" s="3509"/>
      <c r="F572" s="3509"/>
      <c r="G572" s="3509"/>
      <c r="H572" s="3509"/>
      <c r="I572" s="3509"/>
      <c r="J572" s="3509"/>
      <c r="K572" s="3510"/>
      <c r="L572" s="3511"/>
      <c r="M572" s="3509"/>
      <c r="N572" s="3509"/>
      <c r="O572" s="3509"/>
      <c r="P572" s="3553"/>
      <c r="Q572" s="3509"/>
      <c r="R572" s="3509"/>
      <c r="S572" s="3509"/>
      <c r="T572" s="3509"/>
      <c r="U572" s="3509"/>
      <c r="V572" s="3509"/>
      <c r="W572" s="3509"/>
      <c r="X572" s="3509"/>
      <c r="Y572" s="3509"/>
      <c r="Z572" s="3509"/>
      <c r="AA572" s="3509"/>
      <c r="AB572" s="3509"/>
      <c r="AC572" s="3509"/>
    </row>
    <row r="573" spans="1:29">
      <c r="A573" s="3509"/>
      <c r="B573" s="3509"/>
      <c r="C573" s="3509"/>
      <c r="D573" s="3509"/>
      <c r="E573" s="3509"/>
      <c r="F573" s="3509"/>
      <c r="G573" s="3509"/>
      <c r="H573" s="3509"/>
      <c r="I573" s="3509"/>
      <c r="J573" s="3509"/>
      <c r="K573" s="3510"/>
      <c r="L573" s="3511"/>
      <c r="M573" s="3509"/>
      <c r="N573" s="3509"/>
      <c r="O573" s="3509"/>
      <c r="P573" s="3553"/>
      <c r="Q573" s="3509"/>
      <c r="R573" s="3509"/>
      <c r="S573" s="3509"/>
      <c r="T573" s="3509"/>
      <c r="U573" s="3509"/>
      <c r="V573" s="3509"/>
      <c r="W573" s="3509"/>
      <c r="X573" s="3509"/>
      <c r="Y573" s="3509"/>
      <c r="Z573" s="3509"/>
      <c r="AA573" s="3509"/>
      <c r="AB573" s="3509"/>
      <c r="AC573" s="3509"/>
    </row>
    <row r="574" spans="1:29">
      <c r="A574" s="3509"/>
      <c r="B574" s="3509"/>
      <c r="C574" s="3509"/>
      <c r="D574" s="3509"/>
      <c r="E574" s="3509"/>
      <c r="F574" s="3509"/>
      <c r="G574" s="3509"/>
      <c r="H574" s="3509"/>
      <c r="I574" s="3509"/>
      <c r="J574" s="3509"/>
      <c r="K574" s="3510"/>
      <c r="L574" s="3511"/>
      <c r="M574" s="3509"/>
      <c r="N574" s="3509"/>
      <c r="O574" s="3509"/>
      <c r="P574" s="3553"/>
      <c r="Q574" s="3509"/>
      <c r="R574" s="3509"/>
      <c r="S574" s="3509"/>
      <c r="T574" s="3509"/>
      <c r="U574" s="3509"/>
      <c r="V574" s="3509"/>
      <c r="W574" s="3509"/>
      <c r="X574" s="3509"/>
      <c r="Y574" s="3509"/>
      <c r="Z574" s="3509"/>
      <c r="AA574" s="3509"/>
      <c r="AB574" s="3509"/>
      <c r="AC574" s="3509"/>
    </row>
    <row r="575" spans="1:29">
      <c r="A575" s="3509"/>
      <c r="B575" s="3509"/>
      <c r="C575" s="3509"/>
      <c r="D575" s="3509"/>
      <c r="E575" s="3509"/>
      <c r="F575" s="3509"/>
      <c r="G575" s="3509"/>
      <c r="H575" s="3509"/>
      <c r="I575" s="3509"/>
      <c r="J575" s="3509"/>
      <c r="K575" s="3510"/>
      <c r="L575" s="3511"/>
      <c r="M575" s="3509"/>
      <c r="N575" s="3509"/>
      <c r="O575" s="3509"/>
      <c r="P575" s="3553"/>
      <c r="Q575" s="3509"/>
      <c r="R575" s="3509"/>
      <c r="S575" s="3509"/>
      <c r="T575" s="3509"/>
      <c r="U575" s="3509"/>
      <c r="V575" s="3509"/>
      <c r="W575" s="3509"/>
      <c r="X575" s="3509"/>
      <c r="Y575" s="3509"/>
      <c r="Z575" s="3509"/>
      <c r="AA575" s="3509"/>
      <c r="AB575" s="3509"/>
      <c r="AC575" s="3509"/>
    </row>
    <row r="576" spans="1:29">
      <c r="A576" s="3509"/>
      <c r="B576" s="3509"/>
      <c r="C576" s="3509"/>
      <c r="D576" s="3509"/>
      <c r="E576" s="3509"/>
      <c r="F576" s="3509"/>
      <c r="G576" s="3509"/>
      <c r="H576" s="3509"/>
      <c r="I576" s="3509"/>
      <c r="J576" s="3509"/>
      <c r="K576" s="3510"/>
      <c r="L576" s="3511"/>
      <c r="M576" s="3509"/>
      <c r="N576" s="3509"/>
      <c r="O576" s="3509"/>
      <c r="P576" s="3553"/>
      <c r="Q576" s="3509"/>
      <c r="R576" s="3509"/>
      <c r="S576" s="3509"/>
      <c r="T576" s="3509"/>
      <c r="U576" s="3509"/>
      <c r="V576" s="3509"/>
      <c r="W576" s="3509"/>
      <c r="X576" s="3509"/>
      <c r="Y576" s="3509"/>
      <c r="Z576" s="3509"/>
      <c r="AA576" s="3509"/>
      <c r="AB576" s="3509"/>
      <c r="AC576" s="3509"/>
    </row>
    <row r="577" spans="1:29">
      <c r="A577" s="3509"/>
      <c r="B577" s="3509"/>
      <c r="C577" s="3509"/>
      <c r="D577" s="3509"/>
      <c r="E577" s="3509"/>
      <c r="F577" s="3509"/>
      <c r="G577" s="3509"/>
      <c r="H577" s="3509"/>
      <c r="I577" s="3509"/>
      <c r="J577" s="3509"/>
      <c r="K577" s="3510"/>
      <c r="L577" s="3511"/>
      <c r="M577" s="3509"/>
      <c r="N577" s="3509"/>
      <c r="O577" s="3509"/>
      <c r="P577" s="3553"/>
      <c r="Q577" s="3509"/>
      <c r="R577" s="3509"/>
      <c r="S577" s="3509"/>
      <c r="T577" s="3509"/>
      <c r="U577" s="3509"/>
      <c r="V577" s="3509"/>
      <c r="W577" s="3509"/>
      <c r="X577" s="3509"/>
      <c r="Y577" s="3509"/>
      <c r="Z577" s="3509"/>
      <c r="AA577" s="3509"/>
      <c r="AB577" s="3509"/>
      <c r="AC577" s="3509"/>
    </row>
    <row r="578" spans="1:29">
      <c r="A578" s="3509"/>
      <c r="B578" s="3509"/>
      <c r="C578" s="3509"/>
      <c r="D578" s="3509"/>
      <c r="E578" s="3509"/>
      <c r="F578" s="3509"/>
      <c r="G578" s="3509"/>
      <c r="H578" s="3509"/>
      <c r="I578" s="3509"/>
      <c r="J578" s="3509"/>
      <c r="K578" s="3510"/>
      <c r="L578" s="3511"/>
      <c r="M578" s="3509"/>
      <c r="N578" s="3509"/>
      <c r="O578" s="3509"/>
      <c r="P578" s="3553"/>
      <c r="Q578" s="3509"/>
      <c r="R578" s="3509"/>
      <c r="S578" s="3509"/>
      <c r="T578" s="3509"/>
      <c r="U578" s="3509"/>
      <c r="V578" s="3509"/>
      <c r="W578" s="3509"/>
      <c r="X578" s="3509"/>
      <c r="Y578" s="3509"/>
      <c r="Z578" s="3509"/>
      <c r="AA578" s="3509"/>
      <c r="AB578" s="3509"/>
      <c r="AC578" s="3509"/>
    </row>
    <row r="579" spans="1:29">
      <c r="A579" s="3509"/>
      <c r="B579" s="3509"/>
      <c r="C579" s="3509"/>
      <c r="D579" s="3509"/>
      <c r="E579" s="3509"/>
      <c r="F579" s="3509"/>
      <c r="G579" s="3509"/>
      <c r="H579" s="3509"/>
      <c r="I579" s="3509"/>
      <c r="J579" s="3509"/>
      <c r="K579" s="3510"/>
      <c r="L579" s="3511"/>
      <c r="M579" s="3509"/>
      <c r="N579" s="3509"/>
      <c r="O579" s="3509"/>
      <c r="P579" s="3553"/>
      <c r="Q579" s="3509"/>
      <c r="R579" s="3509"/>
      <c r="S579" s="3509"/>
      <c r="T579" s="3509"/>
      <c r="U579" s="3509"/>
      <c r="V579" s="3509"/>
      <c r="W579" s="3509"/>
      <c r="X579" s="3509"/>
      <c r="Y579" s="3509"/>
      <c r="Z579" s="3509"/>
      <c r="AA579" s="3509"/>
      <c r="AB579" s="3509"/>
      <c r="AC579" s="3509"/>
    </row>
    <row r="580" spans="1:29">
      <c r="A580" s="3509"/>
      <c r="B580" s="3509"/>
      <c r="C580" s="3509"/>
      <c r="D580" s="3509"/>
      <c r="E580" s="3509"/>
      <c r="F580" s="3509"/>
      <c r="G580" s="3509"/>
      <c r="H580" s="3509"/>
      <c r="I580" s="3509"/>
      <c r="J580" s="3509"/>
      <c r="K580" s="3510"/>
      <c r="L580" s="3511"/>
      <c r="M580" s="3509"/>
      <c r="N580" s="3509"/>
      <c r="O580" s="3509"/>
      <c r="P580" s="3553"/>
      <c r="Q580" s="3509"/>
      <c r="R580" s="3509"/>
      <c r="S580" s="3509"/>
      <c r="T580" s="3509"/>
      <c r="U580" s="3509"/>
      <c r="V580" s="3509"/>
      <c r="W580" s="3509"/>
      <c r="X580" s="3509"/>
      <c r="Y580" s="3509"/>
      <c r="Z580" s="3509"/>
      <c r="AA580" s="3509"/>
      <c r="AB580" s="3509"/>
      <c r="AC580" s="3509"/>
    </row>
    <row r="581" spans="1:29">
      <c r="A581" s="3509"/>
      <c r="B581" s="3509"/>
      <c r="C581" s="3509"/>
      <c r="D581" s="3509"/>
      <c r="E581" s="3509"/>
      <c r="F581" s="3509"/>
      <c r="G581" s="3509"/>
      <c r="H581" s="3509"/>
      <c r="I581" s="3509"/>
      <c r="J581" s="3509"/>
      <c r="K581" s="3510"/>
      <c r="L581" s="3511"/>
      <c r="M581" s="3509"/>
      <c r="N581" s="3509"/>
      <c r="O581" s="3509"/>
      <c r="P581" s="3553"/>
      <c r="Q581" s="3509"/>
      <c r="R581" s="3509"/>
      <c r="S581" s="3509"/>
      <c r="T581" s="3509"/>
      <c r="U581" s="3509"/>
      <c r="V581" s="3509"/>
      <c r="W581" s="3509"/>
      <c r="X581" s="3509"/>
      <c r="Y581" s="3509"/>
      <c r="Z581" s="3509"/>
      <c r="AA581" s="3509"/>
      <c r="AB581" s="3509"/>
      <c r="AC581" s="3509"/>
    </row>
    <row r="582" spans="1:29">
      <c r="A582" s="3509"/>
      <c r="B582" s="3509"/>
      <c r="C582" s="3509"/>
      <c r="D582" s="3509"/>
      <c r="E582" s="3509"/>
      <c r="F582" s="3509"/>
      <c r="G582" s="3509"/>
      <c r="H582" s="3509"/>
      <c r="I582" s="3509"/>
      <c r="J582" s="3509"/>
      <c r="K582" s="3510"/>
      <c r="L582" s="3511"/>
      <c r="M582" s="3509"/>
      <c r="N582" s="3509"/>
      <c r="O582" s="3509"/>
      <c r="P582" s="3553"/>
      <c r="Q582" s="3509"/>
      <c r="R582" s="3509"/>
      <c r="S582" s="3509"/>
      <c r="T582" s="3509"/>
      <c r="U582" s="3509"/>
      <c r="V582" s="3509"/>
      <c r="W582" s="3509"/>
      <c r="X582" s="3509"/>
      <c r="Y582" s="3509"/>
      <c r="Z582" s="3509"/>
      <c r="AA582" s="3509"/>
      <c r="AB582" s="3509"/>
      <c r="AC582" s="3509"/>
    </row>
    <row r="583" spans="1:29">
      <c r="A583" s="3509"/>
      <c r="B583" s="3509"/>
      <c r="C583" s="3509"/>
      <c r="D583" s="3509"/>
      <c r="E583" s="3509"/>
      <c r="F583" s="3509"/>
      <c r="G583" s="3509"/>
      <c r="H583" s="3509"/>
      <c r="I583" s="3509"/>
      <c r="J583" s="3509"/>
      <c r="K583" s="3510"/>
      <c r="L583" s="3511"/>
      <c r="M583" s="3509"/>
      <c r="N583" s="3509"/>
      <c r="O583" s="3509"/>
      <c r="P583" s="3553"/>
      <c r="Q583" s="3509"/>
      <c r="R583" s="3509"/>
      <c r="S583" s="3509"/>
      <c r="T583" s="3509"/>
      <c r="U583" s="3509"/>
      <c r="V583" s="3509"/>
      <c r="W583" s="3509"/>
      <c r="X583" s="3509"/>
      <c r="Y583" s="3509"/>
      <c r="Z583" s="3509"/>
      <c r="AA583" s="3509"/>
      <c r="AB583" s="3509"/>
      <c r="AC583" s="3509"/>
    </row>
    <row r="584" spans="1:29">
      <c r="A584" s="3509"/>
      <c r="B584" s="3509"/>
      <c r="C584" s="3509"/>
      <c r="D584" s="3509"/>
      <c r="E584" s="3509"/>
      <c r="F584" s="3509"/>
      <c r="G584" s="3509"/>
      <c r="H584" s="3509"/>
      <c r="I584" s="3509"/>
      <c r="J584" s="3509"/>
      <c r="K584" s="3510"/>
      <c r="L584" s="3511"/>
      <c r="M584" s="3509"/>
      <c r="N584" s="3509"/>
      <c r="O584" s="3509"/>
      <c r="P584" s="3553"/>
      <c r="Q584" s="3509"/>
      <c r="R584" s="3509"/>
      <c r="S584" s="3509"/>
      <c r="T584" s="3509"/>
      <c r="U584" s="3509"/>
      <c r="V584" s="3509"/>
      <c r="W584" s="3509"/>
      <c r="X584" s="3509"/>
      <c r="Y584" s="3509"/>
      <c r="Z584" s="3509"/>
      <c r="AA584" s="3509"/>
      <c r="AB584" s="3509"/>
      <c r="AC584" s="3509"/>
    </row>
    <row r="585" spans="1:29">
      <c r="A585" s="3509"/>
      <c r="B585" s="3509"/>
      <c r="C585" s="3509"/>
      <c r="D585" s="3509"/>
      <c r="E585" s="3509"/>
      <c r="F585" s="3509"/>
      <c r="G585" s="3509"/>
      <c r="H585" s="3509"/>
      <c r="I585" s="3509"/>
      <c r="J585" s="3509"/>
      <c r="K585" s="3510"/>
      <c r="L585" s="3511"/>
      <c r="M585" s="3509"/>
      <c r="N585" s="3509"/>
      <c r="O585" s="3509"/>
      <c r="P585" s="3553"/>
      <c r="Q585" s="3509"/>
      <c r="R585" s="3509"/>
      <c r="S585" s="3509"/>
      <c r="T585" s="3509"/>
      <c r="U585" s="3509"/>
      <c r="V585" s="3509"/>
      <c r="W585" s="3509"/>
      <c r="X585" s="3509"/>
      <c r="Y585" s="3509"/>
      <c r="Z585" s="3509"/>
      <c r="AA585" s="3509"/>
      <c r="AB585" s="3509"/>
      <c r="AC585" s="3509"/>
    </row>
    <row r="586" spans="1:29">
      <c r="A586" s="3509"/>
      <c r="B586" s="3509"/>
      <c r="C586" s="3509"/>
      <c r="D586" s="3509"/>
      <c r="E586" s="3509"/>
      <c r="F586" s="3509"/>
      <c r="G586" s="3509"/>
      <c r="H586" s="3509"/>
      <c r="I586" s="3509"/>
      <c r="J586" s="3509"/>
      <c r="K586" s="3510"/>
      <c r="L586" s="3511"/>
      <c r="M586" s="3509"/>
      <c r="N586" s="3509"/>
      <c r="O586" s="3509"/>
      <c r="P586" s="3553"/>
      <c r="Q586" s="3509"/>
      <c r="R586" s="3509"/>
      <c r="S586" s="3509"/>
      <c r="T586" s="3509"/>
      <c r="U586" s="3509"/>
      <c r="V586" s="3509"/>
      <c r="W586" s="3509"/>
      <c r="X586" s="3509"/>
      <c r="Y586" s="3509"/>
      <c r="Z586" s="3509"/>
      <c r="AA586" s="3509"/>
      <c r="AB586" s="3509"/>
      <c r="AC586" s="3509"/>
    </row>
    <row r="587" spans="1:29">
      <c r="A587" s="3509"/>
      <c r="B587" s="3509"/>
      <c r="C587" s="3509"/>
      <c r="D587" s="3509"/>
      <c r="E587" s="3509"/>
      <c r="F587" s="3509"/>
      <c r="G587" s="3509"/>
      <c r="H587" s="3509"/>
      <c r="I587" s="3509"/>
      <c r="J587" s="3509"/>
      <c r="K587" s="3510"/>
      <c r="L587" s="3511"/>
      <c r="M587" s="3509"/>
      <c r="N587" s="3509"/>
      <c r="O587" s="3509"/>
      <c r="P587" s="3553"/>
      <c r="Q587" s="3509"/>
      <c r="R587" s="3509"/>
      <c r="S587" s="3509"/>
      <c r="T587" s="3509"/>
      <c r="U587" s="3509"/>
      <c r="V587" s="3509"/>
      <c r="W587" s="3509"/>
      <c r="X587" s="3509"/>
      <c r="Y587" s="3509"/>
      <c r="Z587" s="3509"/>
      <c r="AA587" s="3509"/>
      <c r="AB587" s="3509"/>
      <c r="AC587" s="3509"/>
    </row>
    <row r="588" spans="1:29">
      <c r="A588" s="3509"/>
      <c r="B588" s="3509"/>
      <c r="C588" s="3509"/>
      <c r="D588" s="3509"/>
      <c r="E588" s="3509"/>
      <c r="F588" s="3509"/>
      <c r="G588" s="3509"/>
      <c r="H588" s="3509"/>
      <c r="I588" s="3509"/>
      <c r="J588" s="3509"/>
      <c r="K588" s="3510"/>
      <c r="L588" s="3511"/>
      <c r="M588" s="3509"/>
      <c r="N588" s="3509"/>
      <c r="O588" s="3509"/>
      <c r="P588" s="3553"/>
      <c r="Q588" s="3509"/>
      <c r="R588" s="3509"/>
      <c r="S588" s="3509"/>
      <c r="T588" s="3509"/>
      <c r="U588" s="3509"/>
      <c r="V588" s="3509"/>
      <c r="W588" s="3509"/>
      <c r="X588" s="3509"/>
      <c r="Y588" s="3509"/>
      <c r="Z588" s="3509"/>
      <c r="AA588" s="3509"/>
      <c r="AB588" s="3509"/>
      <c r="AC588" s="3509"/>
    </row>
    <row r="589" spans="1:29">
      <c r="A589" s="3509"/>
      <c r="B589" s="3509"/>
      <c r="C589" s="3509"/>
      <c r="D589" s="3509"/>
      <c r="E589" s="3509"/>
      <c r="F589" s="3509"/>
      <c r="G589" s="3509"/>
      <c r="H589" s="3509"/>
      <c r="I589" s="3509"/>
      <c r="J589" s="3509"/>
      <c r="K589" s="3510"/>
      <c r="L589" s="3511"/>
      <c r="M589" s="3509"/>
      <c r="N589" s="3509"/>
      <c r="O589" s="3509"/>
      <c r="P589" s="3553"/>
      <c r="Q589" s="3509"/>
      <c r="R589" s="3509"/>
      <c r="S589" s="3509"/>
      <c r="T589" s="3509"/>
      <c r="U589" s="3509"/>
      <c r="V589" s="3509"/>
      <c r="W589" s="3509"/>
      <c r="X589" s="3509"/>
      <c r="Y589" s="3509"/>
      <c r="Z589" s="3509"/>
      <c r="AA589" s="3509"/>
      <c r="AB589" s="3509"/>
      <c r="AC589" s="3509"/>
    </row>
    <row r="590" spans="1:29">
      <c r="A590" s="3509"/>
      <c r="B590" s="3509"/>
      <c r="C590" s="3509"/>
      <c r="D590" s="3509"/>
      <c r="E590" s="3509"/>
      <c r="F590" s="3509"/>
      <c r="G590" s="3509"/>
      <c r="H590" s="3509"/>
      <c r="I590" s="3509"/>
      <c r="J590" s="3509"/>
      <c r="K590" s="3510"/>
      <c r="L590" s="3511"/>
      <c r="M590" s="3509"/>
      <c r="N590" s="3509"/>
      <c r="O590" s="3509"/>
      <c r="P590" s="3553"/>
      <c r="Q590" s="3509"/>
      <c r="R590" s="3509"/>
      <c r="S590" s="3509"/>
      <c r="T590" s="3509"/>
      <c r="U590" s="3509"/>
      <c r="V590" s="3509"/>
      <c r="W590" s="3509"/>
      <c r="X590" s="3509"/>
      <c r="Y590" s="3509"/>
      <c r="Z590" s="3509"/>
      <c r="AA590" s="3509"/>
      <c r="AB590" s="3509"/>
      <c r="AC590" s="3509"/>
    </row>
    <row r="591" spans="1:29">
      <c r="A591" s="3509"/>
      <c r="B591" s="3509"/>
      <c r="C591" s="3509"/>
      <c r="D591" s="3509"/>
      <c r="E591" s="3509"/>
      <c r="F591" s="3509"/>
      <c r="G591" s="3509"/>
      <c r="H591" s="3509"/>
      <c r="I591" s="3509"/>
      <c r="J591" s="3509"/>
      <c r="K591" s="3510"/>
      <c r="L591" s="3511"/>
      <c r="M591" s="3509"/>
      <c r="N591" s="3509"/>
      <c r="O591" s="3509"/>
      <c r="P591" s="3553"/>
      <c r="Q591" s="3509"/>
      <c r="R591" s="3509"/>
      <c r="S591" s="3509"/>
      <c r="T591" s="3509"/>
      <c r="U591" s="3509"/>
      <c r="V591" s="3509"/>
      <c r="W591" s="3509"/>
      <c r="X591" s="3509"/>
      <c r="Y591" s="3509"/>
      <c r="Z591" s="3509"/>
      <c r="AA591" s="3509"/>
      <c r="AB591" s="3509"/>
      <c r="AC591" s="3509"/>
    </row>
    <row r="592" spans="1:29">
      <c r="A592" s="3509"/>
      <c r="B592" s="3509"/>
      <c r="C592" s="3509"/>
      <c r="D592" s="3509"/>
      <c r="E592" s="3509"/>
      <c r="F592" s="3509"/>
      <c r="G592" s="3509"/>
      <c r="H592" s="3509"/>
      <c r="I592" s="3509"/>
      <c r="J592" s="3509"/>
      <c r="K592" s="3510"/>
      <c r="L592" s="3511"/>
      <c r="M592" s="3509"/>
      <c r="N592" s="3509"/>
      <c r="O592" s="3509"/>
      <c r="P592" s="3553"/>
      <c r="Q592" s="3509"/>
      <c r="R592" s="3509"/>
      <c r="S592" s="3509"/>
      <c r="T592" s="3509"/>
      <c r="U592" s="3509"/>
      <c r="V592" s="3509"/>
      <c r="W592" s="3509"/>
      <c r="X592" s="3509"/>
      <c r="Y592" s="3509"/>
      <c r="Z592" s="3509"/>
      <c r="AA592" s="3509"/>
      <c r="AB592" s="3509"/>
      <c r="AC592" s="3509"/>
    </row>
    <row r="593" spans="1:29">
      <c r="A593" s="3509"/>
      <c r="B593" s="3509"/>
      <c r="C593" s="3509"/>
      <c r="D593" s="3509"/>
      <c r="E593" s="3509"/>
      <c r="F593" s="3509"/>
      <c r="G593" s="3509"/>
      <c r="H593" s="3509"/>
      <c r="I593" s="3509"/>
      <c r="J593" s="3509"/>
      <c r="K593" s="3510"/>
      <c r="L593" s="3511"/>
      <c r="M593" s="3509"/>
      <c r="N593" s="3509"/>
      <c r="O593" s="3509"/>
      <c r="P593" s="3553"/>
      <c r="Q593" s="3509"/>
      <c r="R593" s="3509"/>
      <c r="S593" s="3509"/>
      <c r="T593" s="3509"/>
      <c r="U593" s="3509"/>
      <c r="V593" s="3509"/>
      <c r="W593" s="3509"/>
      <c r="X593" s="3509"/>
      <c r="Y593" s="3509"/>
      <c r="Z593" s="3509"/>
      <c r="AA593" s="3509"/>
      <c r="AB593" s="3509"/>
      <c r="AC593" s="3509"/>
    </row>
    <row r="594" spans="1:29">
      <c r="A594" s="3509"/>
      <c r="B594" s="3509"/>
      <c r="C594" s="3509"/>
      <c r="D594" s="3509"/>
      <c r="E594" s="3509"/>
      <c r="F594" s="3509"/>
      <c r="G594" s="3509"/>
      <c r="H594" s="3509"/>
      <c r="I594" s="3509"/>
      <c r="J594" s="3509"/>
      <c r="K594" s="3510"/>
      <c r="L594" s="3511"/>
      <c r="M594" s="3509"/>
      <c r="N594" s="3509"/>
      <c r="O594" s="3509"/>
      <c r="P594" s="3553"/>
      <c r="Q594" s="3509"/>
      <c r="R594" s="3509"/>
      <c r="S594" s="3509"/>
      <c r="T594" s="3509"/>
      <c r="U594" s="3509"/>
      <c r="V594" s="3509"/>
      <c r="W594" s="3509"/>
      <c r="X594" s="3509"/>
      <c r="Y594" s="3509"/>
      <c r="Z594" s="3509"/>
      <c r="AA594" s="3509"/>
      <c r="AB594" s="3509"/>
      <c r="AC594" s="3509"/>
    </row>
    <row r="595" spans="1:29">
      <c r="A595" s="3509"/>
      <c r="B595" s="3509"/>
      <c r="C595" s="3509"/>
      <c r="D595" s="3509"/>
      <c r="E595" s="3509"/>
      <c r="F595" s="3509"/>
      <c r="G595" s="3509"/>
      <c r="H595" s="3509"/>
      <c r="I595" s="3509"/>
      <c r="J595" s="3509"/>
      <c r="K595" s="3510"/>
      <c r="L595" s="3511"/>
      <c r="M595" s="3509"/>
      <c r="N595" s="3509"/>
      <c r="O595" s="3509"/>
      <c r="P595" s="3553"/>
      <c r="Q595" s="3509"/>
      <c r="R595" s="3509"/>
      <c r="S595" s="3509"/>
      <c r="T595" s="3509"/>
      <c r="U595" s="3509"/>
      <c r="V595" s="3509"/>
      <c r="W595" s="3509"/>
      <c r="X595" s="3509"/>
      <c r="Y595" s="3509"/>
      <c r="Z595" s="3509"/>
      <c r="AA595" s="3509"/>
      <c r="AB595" s="3509"/>
      <c r="AC595" s="3509"/>
    </row>
    <row r="596" spans="1:29">
      <c r="A596" s="3509"/>
      <c r="B596" s="3509"/>
      <c r="C596" s="3509"/>
      <c r="D596" s="3509"/>
      <c r="E596" s="3509"/>
      <c r="F596" s="3509"/>
      <c r="G596" s="3509"/>
      <c r="H596" s="3509"/>
      <c r="I596" s="3509"/>
      <c r="J596" s="3509"/>
      <c r="K596" s="3510"/>
      <c r="L596" s="3511"/>
      <c r="M596" s="3509"/>
      <c r="N596" s="3509"/>
      <c r="O596" s="3509"/>
      <c r="P596" s="3553"/>
      <c r="Q596" s="3509"/>
      <c r="R596" s="3509"/>
      <c r="S596" s="3509"/>
      <c r="T596" s="3509"/>
      <c r="U596" s="3509"/>
      <c r="V596" s="3509"/>
      <c r="W596" s="3509"/>
      <c r="X596" s="3509"/>
      <c r="Y596" s="3509"/>
      <c r="Z596" s="3509"/>
      <c r="AA596" s="3509"/>
      <c r="AB596" s="3509"/>
      <c r="AC596" s="3509"/>
    </row>
    <row r="597" spans="1:29">
      <c r="A597" s="3509"/>
      <c r="B597" s="3509"/>
      <c r="C597" s="3509"/>
      <c r="D597" s="3509"/>
      <c r="E597" s="3509"/>
      <c r="F597" s="3509"/>
      <c r="G597" s="3509"/>
      <c r="H597" s="3509"/>
      <c r="I597" s="3509"/>
      <c r="J597" s="3509"/>
      <c r="K597" s="3510"/>
      <c r="L597" s="3511"/>
      <c r="M597" s="3509"/>
      <c r="N597" s="3509"/>
      <c r="O597" s="3509"/>
      <c r="P597" s="3553"/>
      <c r="Q597" s="3509"/>
      <c r="R597" s="3509"/>
      <c r="S597" s="3509"/>
      <c r="T597" s="3509"/>
      <c r="U597" s="3509"/>
      <c r="V597" s="3509"/>
      <c r="W597" s="3509"/>
      <c r="X597" s="3509"/>
      <c r="Y597" s="3509"/>
      <c r="Z597" s="3509"/>
      <c r="AA597" s="3509"/>
      <c r="AB597" s="3509"/>
      <c r="AC597" s="3509"/>
    </row>
    <row r="598" spans="1:29">
      <c r="A598" s="3509"/>
      <c r="B598" s="3509"/>
      <c r="C598" s="3509"/>
      <c r="D598" s="3509"/>
      <c r="E598" s="3509"/>
      <c r="F598" s="3509"/>
      <c r="G598" s="3509"/>
      <c r="H598" s="3509"/>
      <c r="I598" s="3509"/>
      <c r="J598" s="3509"/>
      <c r="K598" s="3510"/>
      <c r="L598" s="3511"/>
      <c r="M598" s="3509"/>
      <c r="N598" s="3509"/>
      <c r="O598" s="3509"/>
      <c r="P598" s="3553"/>
      <c r="Q598" s="3509"/>
      <c r="R598" s="3509"/>
      <c r="S598" s="3509"/>
      <c r="T598" s="3509"/>
      <c r="U598" s="3509"/>
      <c r="V598" s="3509"/>
      <c r="W598" s="3509"/>
      <c r="X598" s="3509"/>
      <c r="Y598" s="3509"/>
      <c r="Z598" s="3509"/>
      <c r="AA598" s="3509"/>
      <c r="AB598" s="3509"/>
      <c r="AC598" s="3509"/>
    </row>
    <row r="599" spans="1:29">
      <c r="A599" s="3509"/>
      <c r="B599" s="3509"/>
      <c r="C599" s="3509"/>
      <c r="D599" s="3509"/>
      <c r="E599" s="3509"/>
      <c r="F599" s="3509"/>
      <c r="G599" s="3509"/>
      <c r="H599" s="3509"/>
      <c r="I599" s="3509"/>
      <c r="J599" s="3509"/>
      <c r="K599" s="3510"/>
      <c r="L599" s="3511"/>
      <c r="M599" s="3509"/>
      <c r="N599" s="3509"/>
      <c r="O599" s="3509"/>
      <c r="P599" s="3553"/>
      <c r="Q599" s="3509"/>
      <c r="R599" s="3509"/>
      <c r="S599" s="3509"/>
      <c r="T599" s="3509"/>
      <c r="U599" s="3509"/>
      <c r="V599" s="3509"/>
      <c r="W599" s="3509"/>
      <c r="X599" s="3509"/>
      <c r="Y599" s="3509"/>
      <c r="Z599" s="3509"/>
      <c r="AA599" s="3509"/>
      <c r="AB599" s="3509"/>
      <c r="AC599" s="3509"/>
    </row>
    <row r="600" spans="1:29">
      <c r="A600" s="3509"/>
      <c r="B600" s="3509"/>
      <c r="C600" s="3509"/>
      <c r="D600" s="3509"/>
      <c r="E600" s="3509"/>
      <c r="F600" s="3509"/>
      <c r="G600" s="3509"/>
      <c r="H600" s="3509"/>
      <c r="I600" s="3509"/>
      <c r="J600" s="3509"/>
      <c r="K600" s="3510"/>
      <c r="L600" s="3511"/>
      <c r="M600" s="3509"/>
      <c r="N600" s="3509"/>
      <c r="O600" s="3509"/>
      <c r="P600" s="3553"/>
      <c r="Q600" s="3509"/>
      <c r="R600" s="3509"/>
      <c r="S600" s="3509"/>
      <c r="T600" s="3509"/>
      <c r="U600" s="3509"/>
      <c r="V600" s="3509"/>
      <c r="W600" s="3509"/>
      <c r="X600" s="3509"/>
      <c r="Y600" s="3509"/>
      <c r="Z600" s="3509"/>
      <c r="AA600" s="3509"/>
      <c r="AB600" s="3509"/>
      <c r="AC600" s="3509"/>
    </row>
    <row r="601" spans="1:29">
      <c r="A601" s="3509"/>
      <c r="B601" s="3509"/>
      <c r="C601" s="3509"/>
      <c r="D601" s="3509"/>
      <c r="E601" s="3509"/>
      <c r="F601" s="3509"/>
      <c r="G601" s="3509"/>
      <c r="H601" s="3509"/>
      <c r="I601" s="3509"/>
      <c r="J601" s="3509"/>
      <c r="K601" s="3510"/>
      <c r="L601" s="3511"/>
      <c r="M601" s="3509"/>
      <c r="N601" s="3509"/>
      <c r="O601" s="3509"/>
      <c r="P601" s="3553"/>
      <c r="Q601" s="3509"/>
      <c r="R601" s="3509"/>
      <c r="S601" s="3509"/>
      <c r="T601" s="3509"/>
      <c r="U601" s="3509"/>
      <c r="V601" s="3509"/>
      <c r="W601" s="3509"/>
      <c r="X601" s="3509"/>
      <c r="Y601" s="3509"/>
      <c r="Z601" s="3509"/>
      <c r="AA601" s="3509"/>
      <c r="AB601" s="3509"/>
      <c r="AC601" s="3509"/>
    </row>
    <row r="602" spans="1:29">
      <c r="A602" s="3509"/>
      <c r="B602" s="3509"/>
      <c r="C602" s="3509"/>
      <c r="D602" s="3509"/>
      <c r="E602" s="3509"/>
      <c r="F602" s="3509"/>
      <c r="G602" s="3509"/>
      <c r="H602" s="3509"/>
      <c r="I602" s="3509"/>
      <c r="J602" s="3509"/>
      <c r="K602" s="3510"/>
      <c r="L602" s="3511"/>
      <c r="M602" s="3509"/>
      <c r="N602" s="3509"/>
      <c r="O602" s="3509"/>
      <c r="P602" s="3553"/>
      <c r="Q602" s="3509"/>
      <c r="R602" s="3509"/>
      <c r="S602" s="3509"/>
      <c r="T602" s="3509"/>
      <c r="U602" s="3509"/>
      <c r="V602" s="3509"/>
      <c r="W602" s="3509"/>
      <c r="X602" s="3509"/>
      <c r="Y602" s="3509"/>
      <c r="Z602" s="3509"/>
      <c r="AA602" s="3509"/>
      <c r="AB602" s="3509"/>
      <c r="AC602" s="3509"/>
    </row>
    <row r="603" spans="1:29">
      <c r="A603" s="3509"/>
      <c r="B603" s="3509"/>
      <c r="C603" s="3509"/>
      <c r="D603" s="3509"/>
      <c r="E603" s="3509"/>
      <c r="F603" s="3509"/>
      <c r="G603" s="3509"/>
      <c r="H603" s="3509"/>
      <c r="I603" s="3509"/>
      <c r="J603" s="3509"/>
      <c r="K603" s="3510"/>
      <c r="L603" s="3511"/>
      <c r="M603" s="3509"/>
      <c r="N603" s="3509"/>
      <c r="O603" s="3509"/>
      <c r="P603" s="3553"/>
      <c r="Q603" s="3509"/>
      <c r="R603" s="3509"/>
      <c r="S603" s="3509"/>
      <c r="T603" s="3509"/>
      <c r="U603" s="3509"/>
      <c r="V603" s="3509"/>
      <c r="W603" s="3509"/>
      <c r="X603" s="3509"/>
      <c r="Y603" s="3509"/>
      <c r="Z603" s="3509"/>
      <c r="AA603" s="3509"/>
      <c r="AB603" s="3509"/>
      <c r="AC603" s="3509"/>
    </row>
    <row r="604" spans="1:29">
      <c r="A604" s="3509"/>
      <c r="B604" s="3509"/>
      <c r="C604" s="3509"/>
      <c r="D604" s="3509"/>
      <c r="E604" s="3509"/>
      <c r="F604" s="3509"/>
      <c r="G604" s="3509"/>
      <c r="H604" s="3509"/>
      <c r="I604" s="3509"/>
      <c r="J604" s="3509"/>
      <c r="K604" s="3510"/>
      <c r="L604" s="3511"/>
      <c r="M604" s="3509"/>
      <c r="N604" s="3509"/>
      <c r="O604" s="3509"/>
      <c r="P604" s="3553"/>
      <c r="Q604" s="3509"/>
      <c r="R604" s="3509"/>
      <c r="S604" s="3509"/>
      <c r="T604" s="3509"/>
      <c r="U604" s="3509"/>
      <c r="V604" s="3509"/>
      <c r="W604" s="3509"/>
      <c r="X604" s="3509"/>
      <c r="Y604" s="3509"/>
      <c r="Z604" s="3509"/>
      <c r="AA604" s="3509"/>
      <c r="AB604" s="3509"/>
      <c r="AC604" s="3509"/>
    </row>
    <row r="605" spans="1:29">
      <c r="A605" s="3509"/>
      <c r="B605" s="3509"/>
      <c r="C605" s="3509"/>
      <c r="D605" s="3509"/>
      <c r="E605" s="3509"/>
      <c r="F605" s="3509"/>
      <c r="G605" s="3509"/>
      <c r="H605" s="3509"/>
      <c r="I605" s="3509"/>
      <c r="J605" s="3509"/>
      <c r="K605" s="3510"/>
      <c r="L605" s="3511"/>
      <c r="M605" s="3509"/>
      <c r="N605" s="3509"/>
      <c r="O605" s="3509"/>
      <c r="P605" s="3553"/>
      <c r="Q605" s="3509"/>
      <c r="R605" s="3509"/>
      <c r="S605" s="3509"/>
      <c r="T605" s="3509"/>
      <c r="U605" s="3509"/>
      <c r="V605" s="3509"/>
      <c r="W605" s="3509"/>
      <c r="X605" s="3509"/>
      <c r="Y605" s="3509"/>
      <c r="Z605" s="3509"/>
      <c r="AA605" s="3509"/>
      <c r="AB605" s="3509"/>
      <c r="AC605" s="3509"/>
    </row>
    <row r="606" spans="1:29">
      <c r="A606" s="3509"/>
      <c r="B606" s="3509"/>
      <c r="C606" s="3509"/>
      <c r="D606" s="3509"/>
      <c r="E606" s="3509"/>
      <c r="F606" s="3509"/>
      <c r="G606" s="3509"/>
      <c r="H606" s="3509"/>
      <c r="I606" s="3509"/>
      <c r="J606" s="3509"/>
      <c r="K606" s="3510"/>
      <c r="L606" s="3511"/>
      <c r="M606" s="3509"/>
      <c r="N606" s="3509"/>
      <c r="O606" s="3509"/>
      <c r="P606" s="3553"/>
      <c r="Q606" s="3509"/>
      <c r="R606" s="3509"/>
      <c r="S606" s="3509"/>
      <c r="T606" s="3509"/>
      <c r="U606" s="3509"/>
      <c r="V606" s="3509"/>
      <c r="W606" s="3509"/>
      <c r="X606" s="3509"/>
      <c r="Y606" s="3509"/>
      <c r="Z606" s="3509"/>
      <c r="AA606" s="3509"/>
      <c r="AB606" s="3509"/>
      <c r="AC606" s="3509"/>
    </row>
    <row r="607" spans="1:29">
      <c r="A607" s="3509"/>
      <c r="B607" s="3509"/>
      <c r="C607" s="3509"/>
      <c r="D607" s="3509"/>
      <c r="E607" s="3509"/>
      <c r="F607" s="3509"/>
      <c r="G607" s="3509"/>
      <c r="H607" s="3509"/>
      <c r="I607" s="3509"/>
      <c r="J607" s="3509"/>
      <c r="K607" s="3510"/>
      <c r="L607" s="3511"/>
      <c r="M607" s="3509"/>
      <c r="N607" s="3509"/>
      <c r="O607" s="3509"/>
      <c r="P607" s="3553"/>
      <c r="Q607" s="3509"/>
      <c r="R607" s="3509"/>
      <c r="S607" s="3509"/>
      <c r="T607" s="3509"/>
      <c r="U607" s="3509"/>
      <c r="V607" s="3509"/>
      <c r="W607" s="3509"/>
      <c r="X607" s="3509"/>
      <c r="Y607" s="3509"/>
      <c r="Z607" s="3509"/>
      <c r="AA607" s="3509"/>
      <c r="AB607" s="3509"/>
      <c r="AC607" s="3509"/>
    </row>
    <row r="608" spans="1:29">
      <c r="A608" s="3509"/>
      <c r="B608" s="3509"/>
      <c r="C608" s="3509"/>
      <c r="D608" s="3509"/>
      <c r="E608" s="3509"/>
      <c r="F608" s="3509"/>
      <c r="G608" s="3509"/>
      <c r="H608" s="3509"/>
      <c r="I608" s="3509"/>
      <c r="J608" s="3509"/>
      <c r="K608" s="3510"/>
      <c r="L608" s="3511"/>
      <c r="M608" s="3509"/>
      <c r="N608" s="3509"/>
      <c r="O608" s="3509"/>
      <c r="P608" s="3553"/>
      <c r="Q608" s="3509"/>
      <c r="R608" s="3509"/>
      <c r="S608" s="3509"/>
      <c r="T608" s="3509"/>
      <c r="U608" s="3509"/>
      <c r="V608" s="3509"/>
      <c r="W608" s="3509"/>
      <c r="X608" s="3509"/>
      <c r="Y608" s="3509"/>
      <c r="Z608" s="3509"/>
      <c r="AA608" s="3509"/>
      <c r="AB608" s="3509"/>
      <c r="AC608" s="3509"/>
    </row>
    <row r="609" spans="1:29">
      <c r="A609" s="3509"/>
      <c r="B609" s="3509"/>
      <c r="C609" s="3509"/>
      <c r="D609" s="3509"/>
      <c r="E609" s="3509"/>
      <c r="F609" s="3509"/>
      <c r="G609" s="3509"/>
      <c r="H609" s="3509"/>
      <c r="I609" s="3509"/>
      <c r="J609" s="3509"/>
      <c r="K609" s="3510"/>
      <c r="L609" s="3511"/>
      <c r="M609" s="3509"/>
      <c r="N609" s="3509"/>
      <c r="O609" s="3509"/>
      <c r="P609" s="3553"/>
      <c r="Q609" s="3509"/>
      <c r="R609" s="3509"/>
      <c r="S609" s="3509"/>
      <c r="T609" s="3509"/>
      <c r="U609" s="3509"/>
      <c r="V609" s="3509"/>
      <c r="W609" s="3509"/>
      <c r="X609" s="3509"/>
      <c r="Y609" s="3509"/>
      <c r="Z609" s="3509"/>
      <c r="AA609" s="3509"/>
      <c r="AB609" s="3509"/>
      <c r="AC609" s="3509"/>
    </row>
    <row r="610" spans="1:29">
      <c r="A610" s="3509"/>
      <c r="B610" s="3509"/>
      <c r="C610" s="3509"/>
      <c r="D610" s="3509"/>
      <c r="E610" s="3509"/>
      <c r="F610" s="3509"/>
      <c r="G610" s="3509"/>
      <c r="H610" s="3509"/>
      <c r="I610" s="3509"/>
      <c r="J610" s="3509"/>
      <c r="K610" s="3510"/>
      <c r="L610" s="3511"/>
      <c r="M610" s="3509"/>
      <c r="N610" s="3509"/>
      <c r="O610" s="3509"/>
      <c r="P610" s="3553"/>
      <c r="Q610" s="3509"/>
      <c r="R610" s="3509"/>
      <c r="S610" s="3509"/>
      <c r="T610" s="3509"/>
      <c r="U610" s="3509"/>
      <c r="V610" s="3509"/>
      <c r="W610" s="3509"/>
      <c r="X610" s="3509"/>
      <c r="Y610" s="3509"/>
      <c r="Z610" s="3509"/>
      <c r="AA610" s="3509"/>
      <c r="AB610" s="3509"/>
      <c r="AC610" s="3509"/>
    </row>
    <row r="611" spans="1:29">
      <c r="A611" s="3509"/>
      <c r="B611" s="3509"/>
      <c r="C611" s="3509"/>
      <c r="D611" s="3509"/>
      <c r="E611" s="3509"/>
      <c r="F611" s="3509"/>
      <c r="G611" s="3509"/>
      <c r="H611" s="3509"/>
      <c r="I611" s="3509"/>
      <c r="J611" s="3509"/>
      <c r="K611" s="3510"/>
      <c r="L611" s="3511"/>
      <c r="M611" s="3509"/>
      <c r="N611" s="3509"/>
      <c r="O611" s="3509"/>
      <c r="P611" s="3553"/>
      <c r="Q611" s="3509"/>
      <c r="R611" s="3509"/>
      <c r="S611" s="3509"/>
      <c r="T611" s="3509"/>
      <c r="U611" s="3509"/>
      <c r="V611" s="3509"/>
      <c r="W611" s="3509"/>
      <c r="X611" s="3509"/>
      <c r="Y611" s="3509"/>
      <c r="Z611" s="3509"/>
      <c r="AA611" s="3509"/>
      <c r="AB611" s="3509"/>
      <c r="AC611" s="3509"/>
    </row>
    <row r="612" spans="1:29">
      <c r="A612" s="3509"/>
      <c r="B612" s="3509"/>
      <c r="C612" s="3509"/>
      <c r="D612" s="3509"/>
      <c r="E612" s="3509"/>
      <c r="F612" s="3509"/>
      <c r="G612" s="3509"/>
      <c r="H612" s="3509"/>
      <c r="I612" s="3509"/>
      <c r="J612" s="3509"/>
      <c r="K612" s="3510"/>
      <c r="L612" s="3511"/>
      <c r="M612" s="3509"/>
      <c r="N612" s="3509"/>
      <c r="O612" s="3509"/>
      <c r="P612" s="3553"/>
      <c r="Q612" s="3509"/>
      <c r="R612" s="3509"/>
      <c r="S612" s="3509"/>
      <c r="T612" s="3509"/>
      <c r="U612" s="3509"/>
      <c r="V612" s="3509"/>
      <c r="W612" s="3509"/>
      <c r="X612" s="3509"/>
      <c r="Y612" s="3509"/>
      <c r="Z612" s="3509"/>
      <c r="AA612" s="3509"/>
      <c r="AB612" s="3509"/>
      <c r="AC612" s="3509"/>
    </row>
    <row r="613" spans="1:29">
      <c r="A613" s="3509"/>
      <c r="B613" s="3509"/>
      <c r="C613" s="3509"/>
      <c r="D613" s="3509"/>
      <c r="E613" s="3509"/>
      <c r="F613" s="3509"/>
      <c r="G613" s="3509"/>
      <c r="H613" s="3509"/>
      <c r="I613" s="3509"/>
      <c r="J613" s="3509"/>
      <c r="K613" s="3510"/>
      <c r="L613" s="3511"/>
      <c r="M613" s="3509"/>
      <c r="N613" s="3509"/>
      <c r="O613" s="3509"/>
      <c r="P613" s="3553"/>
      <c r="Q613" s="3509"/>
      <c r="R613" s="3509"/>
      <c r="S613" s="3509"/>
      <c r="T613" s="3509"/>
      <c r="U613" s="3509"/>
      <c r="V613" s="3509"/>
      <c r="W613" s="3509"/>
      <c r="X613" s="3509"/>
      <c r="Y613" s="3509"/>
      <c r="Z613" s="3509"/>
      <c r="AA613" s="3509"/>
      <c r="AB613" s="3509"/>
      <c r="AC613" s="3509"/>
    </row>
    <row r="614" spans="1:29">
      <c r="A614" s="3509"/>
      <c r="B614" s="3509"/>
      <c r="C614" s="3509"/>
      <c r="D614" s="3509"/>
      <c r="E614" s="3509"/>
      <c r="F614" s="3509"/>
      <c r="G614" s="3509"/>
      <c r="H614" s="3509"/>
      <c r="I614" s="3509"/>
      <c r="J614" s="3509"/>
      <c r="K614" s="3510"/>
      <c r="L614" s="3511"/>
      <c r="M614" s="3509"/>
      <c r="N614" s="3509"/>
      <c r="O614" s="3509"/>
      <c r="P614" s="3553"/>
      <c r="Q614" s="3509"/>
      <c r="R614" s="3509"/>
      <c r="S614" s="3509"/>
      <c r="T614" s="3509"/>
      <c r="U614" s="3509"/>
      <c r="V614" s="3509"/>
      <c r="W614" s="3509"/>
      <c r="X614" s="3509"/>
      <c r="Y614" s="3509"/>
      <c r="Z614" s="3509"/>
      <c r="AA614" s="3509"/>
      <c r="AB614" s="3509"/>
      <c r="AC614" s="3509"/>
    </row>
    <row r="615" spans="1:29">
      <c r="A615" s="3509"/>
      <c r="B615" s="3509"/>
      <c r="C615" s="3509"/>
      <c r="D615" s="3509"/>
      <c r="E615" s="3509"/>
      <c r="F615" s="3509"/>
      <c r="G615" s="3509"/>
      <c r="H615" s="3509"/>
      <c r="I615" s="3509"/>
      <c r="J615" s="3509"/>
      <c r="K615" s="3510"/>
      <c r="L615" s="3511"/>
      <c r="M615" s="3509"/>
      <c r="N615" s="3509"/>
      <c r="O615" s="3509"/>
      <c r="P615" s="3553"/>
      <c r="Q615" s="3509"/>
      <c r="R615" s="3509"/>
      <c r="S615" s="3509"/>
      <c r="T615" s="3509"/>
      <c r="U615" s="3509"/>
      <c r="V615" s="3509"/>
      <c r="W615" s="3509"/>
      <c r="X615" s="3509"/>
      <c r="Y615" s="3509"/>
      <c r="Z615" s="3509"/>
      <c r="AA615" s="3509"/>
      <c r="AB615" s="3509"/>
      <c r="AC615" s="3509"/>
    </row>
    <row r="616" spans="1:29">
      <c r="A616" s="3509"/>
      <c r="B616" s="3509"/>
      <c r="C616" s="3509"/>
      <c r="D616" s="3509"/>
      <c r="E616" s="3509"/>
      <c r="F616" s="3509"/>
      <c r="G616" s="3509"/>
      <c r="H616" s="3509"/>
      <c r="I616" s="3509"/>
      <c r="J616" s="3509"/>
      <c r="K616" s="3510"/>
      <c r="L616" s="3511"/>
      <c r="M616" s="3509"/>
      <c r="N616" s="3509"/>
      <c r="O616" s="3509"/>
      <c r="P616" s="3553"/>
      <c r="Q616" s="3509"/>
      <c r="R616" s="3509"/>
      <c r="S616" s="3509"/>
      <c r="T616" s="3509"/>
      <c r="U616" s="3509"/>
      <c r="V616" s="3509"/>
      <c r="W616" s="3509"/>
      <c r="X616" s="3509"/>
      <c r="Y616" s="3509"/>
      <c r="Z616" s="3509"/>
      <c r="AA616" s="3509"/>
      <c r="AB616" s="3509"/>
      <c r="AC616" s="3509"/>
    </row>
    <row r="617" spans="1:29">
      <c r="A617" s="3509"/>
      <c r="B617" s="3509"/>
      <c r="C617" s="3509"/>
      <c r="D617" s="3509"/>
      <c r="E617" s="3509"/>
      <c r="F617" s="3509"/>
      <c r="G617" s="3509"/>
      <c r="H617" s="3509"/>
      <c r="I617" s="3509"/>
      <c r="J617" s="3509"/>
      <c r="K617" s="3510"/>
      <c r="L617" s="3511"/>
      <c r="M617" s="3509"/>
      <c r="N617" s="3509"/>
      <c r="O617" s="3509"/>
      <c r="P617" s="3553"/>
      <c r="Q617" s="3509"/>
      <c r="R617" s="3509"/>
      <c r="S617" s="3509"/>
      <c r="T617" s="3509"/>
      <c r="U617" s="3509"/>
      <c r="V617" s="3509"/>
      <c r="W617" s="3509"/>
      <c r="X617" s="3509"/>
      <c r="Y617" s="3509"/>
      <c r="Z617" s="3509"/>
      <c r="AA617" s="3509"/>
      <c r="AB617" s="3509"/>
      <c r="AC617" s="3509"/>
    </row>
    <row r="618" spans="1:29">
      <c r="A618" s="3509"/>
      <c r="B618" s="3509"/>
      <c r="C618" s="3509"/>
      <c r="D618" s="3509"/>
      <c r="E618" s="3509"/>
      <c r="F618" s="3509"/>
      <c r="G618" s="3509"/>
      <c r="H618" s="3509"/>
      <c r="I618" s="3509"/>
      <c r="J618" s="3509"/>
      <c r="K618" s="3510"/>
      <c r="L618" s="3511"/>
      <c r="M618" s="3509"/>
      <c r="N618" s="3509"/>
      <c r="O618" s="3509"/>
      <c r="P618" s="3553"/>
      <c r="Q618" s="3509"/>
      <c r="R618" s="3509"/>
      <c r="S618" s="3509"/>
      <c r="T618" s="3509"/>
      <c r="U618" s="3509"/>
      <c r="V618" s="3509"/>
      <c r="W618" s="3509"/>
      <c r="X618" s="3509"/>
      <c r="Y618" s="3509"/>
      <c r="Z618" s="3509"/>
      <c r="AA618" s="3509"/>
      <c r="AB618" s="3509"/>
      <c r="AC618" s="3509"/>
    </row>
    <row r="619" spans="1:29">
      <c r="A619" s="3509"/>
      <c r="B619" s="3509"/>
      <c r="C619" s="3509"/>
      <c r="D619" s="3509"/>
      <c r="E619" s="3509"/>
      <c r="F619" s="3509"/>
      <c r="G619" s="3509"/>
      <c r="H619" s="3509"/>
      <c r="I619" s="3509"/>
      <c r="J619" s="3509"/>
      <c r="K619" s="3510"/>
      <c r="L619" s="3511"/>
      <c r="M619" s="3509"/>
      <c r="N619" s="3509"/>
      <c r="O619" s="3509"/>
      <c r="P619" s="3553"/>
      <c r="Q619" s="3509"/>
      <c r="R619" s="3509"/>
      <c r="S619" s="3509"/>
      <c r="T619" s="3509"/>
      <c r="U619" s="3509"/>
      <c r="V619" s="3509"/>
      <c r="W619" s="3509"/>
      <c r="X619" s="3509"/>
      <c r="Y619" s="3509"/>
      <c r="Z619" s="3509"/>
      <c r="AA619" s="3509"/>
      <c r="AB619" s="3509"/>
      <c r="AC619" s="3509"/>
    </row>
    <row r="620" spans="1:29">
      <c r="A620" s="3509"/>
      <c r="B620" s="3509"/>
      <c r="C620" s="3509"/>
      <c r="D620" s="3509"/>
      <c r="E620" s="3509"/>
      <c r="F620" s="3509"/>
      <c r="G620" s="3509"/>
      <c r="H620" s="3509"/>
      <c r="I620" s="3509"/>
      <c r="J620" s="3509"/>
      <c r="K620" s="3510"/>
      <c r="L620" s="3511"/>
      <c r="M620" s="3509"/>
      <c r="N620" s="3509"/>
      <c r="O620" s="3509"/>
      <c r="P620" s="3553"/>
      <c r="Q620" s="3509"/>
      <c r="R620" s="3509"/>
      <c r="S620" s="3509"/>
      <c r="T620" s="3509"/>
      <c r="U620" s="3509"/>
      <c r="V620" s="3509"/>
      <c r="W620" s="3509"/>
      <c r="X620" s="3509"/>
      <c r="Y620" s="3509"/>
      <c r="Z620" s="3509"/>
      <c r="AA620" s="3509"/>
      <c r="AB620" s="3509"/>
      <c r="AC620" s="3509"/>
    </row>
    <row r="621" spans="1:29">
      <c r="A621" s="3509"/>
      <c r="B621" s="3509"/>
      <c r="C621" s="3509"/>
      <c r="D621" s="3509"/>
      <c r="E621" s="3509"/>
      <c r="F621" s="3509"/>
      <c r="G621" s="3509"/>
      <c r="H621" s="3509"/>
      <c r="I621" s="3509"/>
      <c r="J621" s="3509"/>
      <c r="K621" s="3510"/>
      <c r="L621" s="3511"/>
      <c r="M621" s="3509"/>
      <c r="N621" s="3509"/>
      <c r="O621" s="3509"/>
      <c r="P621" s="3553"/>
      <c r="Q621" s="3509"/>
      <c r="R621" s="3509"/>
      <c r="S621" s="3509"/>
      <c r="T621" s="3509"/>
      <c r="U621" s="3509"/>
      <c r="V621" s="3509"/>
      <c r="W621" s="3509"/>
      <c r="X621" s="3509"/>
      <c r="Y621" s="3509"/>
      <c r="Z621" s="3509"/>
      <c r="AA621" s="3509"/>
      <c r="AB621" s="3509"/>
      <c r="AC621" s="3509"/>
    </row>
    <row r="622" spans="1:29">
      <c r="A622" s="3509"/>
      <c r="B622" s="3509"/>
      <c r="C622" s="3509"/>
      <c r="D622" s="3509"/>
      <c r="E622" s="3509"/>
      <c r="F622" s="3509"/>
      <c r="G622" s="3509"/>
      <c r="H622" s="3509"/>
      <c r="I622" s="3509"/>
      <c r="J622" s="3509"/>
      <c r="K622" s="3510"/>
      <c r="L622" s="3511"/>
      <c r="M622" s="3509"/>
      <c r="N622" s="3509"/>
      <c r="O622" s="3509"/>
      <c r="P622" s="3553"/>
      <c r="Q622" s="3509"/>
      <c r="R622" s="3509"/>
      <c r="S622" s="3509"/>
      <c r="T622" s="3509"/>
      <c r="U622" s="3509"/>
      <c r="V622" s="3509"/>
      <c r="W622" s="3509"/>
      <c r="X622" s="3509"/>
      <c r="Y622" s="3509"/>
      <c r="Z622" s="3509"/>
      <c r="AA622" s="3509"/>
      <c r="AB622" s="3509"/>
      <c r="AC622" s="3509"/>
    </row>
    <row r="623" spans="1:29">
      <c r="A623" s="3509"/>
      <c r="B623" s="3509"/>
      <c r="C623" s="3509"/>
      <c r="D623" s="3509"/>
      <c r="E623" s="3509"/>
      <c r="F623" s="3509"/>
      <c r="G623" s="3509"/>
      <c r="H623" s="3509"/>
      <c r="I623" s="3509"/>
      <c r="J623" s="3509"/>
      <c r="K623" s="3510"/>
      <c r="L623" s="3511"/>
      <c r="M623" s="3509"/>
      <c r="N623" s="3509"/>
      <c r="O623" s="3509"/>
      <c r="P623" s="3553"/>
      <c r="Q623" s="3509"/>
      <c r="R623" s="3509"/>
      <c r="S623" s="3509"/>
      <c r="T623" s="3509"/>
      <c r="U623" s="3509"/>
      <c r="V623" s="3509"/>
      <c r="W623" s="3509"/>
      <c r="X623" s="3509"/>
      <c r="Y623" s="3509"/>
      <c r="Z623" s="3509"/>
      <c r="AA623" s="3509"/>
      <c r="AB623" s="3509"/>
      <c r="AC623" s="3509"/>
    </row>
    <row r="624" spans="1:29">
      <c r="A624" s="3509"/>
      <c r="B624" s="3509"/>
      <c r="C624" s="3509"/>
      <c r="D624" s="3509"/>
      <c r="E624" s="3509"/>
      <c r="F624" s="3509"/>
      <c r="G624" s="3509"/>
      <c r="H624" s="3509"/>
      <c r="I624" s="3509"/>
      <c r="J624" s="3509"/>
      <c r="K624" s="3510"/>
      <c r="L624" s="3511"/>
      <c r="M624" s="3509"/>
      <c r="N624" s="3509"/>
      <c r="O624" s="3509"/>
      <c r="P624" s="3553"/>
      <c r="Q624" s="3509"/>
      <c r="R624" s="3509"/>
      <c r="S624" s="3509"/>
      <c r="T624" s="3509"/>
      <c r="U624" s="3509"/>
      <c r="V624" s="3509"/>
      <c r="W624" s="3509"/>
      <c r="X624" s="3509"/>
      <c r="Y624" s="3509"/>
      <c r="Z624" s="3509"/>
      <c r="AA624" s="3509"/>
      <c r="AB624" s="3509"/>
      <c r="AC624" s="3509"/>
    </row>
    <row r="625" spans="1:29">
      <c r="A625" s="3509"/>
      <c r="B625" s="3509"/>
      <c r="C625" s="3509"/>
      <c r="D625" s="3509"/>
      <c r="E625" s="3509"/>
      <c r="F625" s="3509"/>
      <c r="G625" s="3509"/>
      <c r="H625" s="3509"/>
      <c r="I625" s="3509"/>
      <c r="J625" s="3509"/>
      <c r="K625" s="3510"/>
      <c r="L625" s="3511"/>
      <c r="M625" s="3509"/>
      <c r="N625" s="3509"/>
      <c r="O625" s="3509"/>
      <c r="P625" s="3553"/>
      <c r="Q625" s="3509"/>
      <c r="R625" s="3509"/>
      <c r="S625" s="3509"/>
      <c r="T625" s="3509"/>
      <c r="U625" s="3509"/>
      <c r="V625" s="3509"/>
      <c r="W625" s="3509"/>
      <c r="X625" s="3509"/>
      <c r="Y625" s="3509"/>
      <c r="Z625" s="3509"/>
      <c r="AA625" s="3509"/>
      <c r="AB625" s="3509"/>
      <c r="AC625" s="3509"/>
    </row>
    <row r="626" spans="1:29">
      <c r="A626" s="3509"/>
      <c r="B626" s="3509"/>
      <c r="C626" s="3509"/>
      <c r="D626" s="3509"/>
      <c r="E626" s="3509"/>
      <c r="F626" s="3509"/>
      <c r="G626" s="3509"/>
      <c r="H626" s="3509"/>
      <c r="I626" s="3509"/>
      <c r="J626" s="3509"/>
      <c r="K626" s="3510"/>
      <c r="L626" s="3511"/>
      <c r="M626" s="3509"/>
      <c r="N626" s="3509"/>
      <c r="O626" s="3509"/>
      <c r="P626" s="3553"/>
      <c r="Q626" s="3509"/>
      <c r="R626" s="3509"/>
      <c r="S626" s="3509"/>
      <c r="T626" s="3509"/>
      <c r="U626" s="3509"/>
      <c r="V626" s="3509"/>
      <c r="W626" s="3509"/>
      <c r="X626" s="3509"/>
      <c r="Y626" s="3509"/>
      <c r="Z626" s="3509"/>
      <c r="AA626" s="3509"/>
      <c r="AB626" s="3509"/>
      <c r="AC626" s="3509"/>
    </row>
    <row r="627" spans="1:29">
      <c r="A627" s="3509"/>
      <c r="B627" s="3509"/>
      <c r="C627" s="3509"/>
      <c r="D627" s="3509"/>
      <c r="E627" s="3509"/>
      <c r="F627" s="3509"/>
      <c r="G627" s="3509"/>
      <c r="H627" s="3509"/>
      <c r="I627" s="3509"/>
      <c r="J627" s="3509"/>
      <c r="K627" s="3510"/>
      <c r="L627" s="3511"/>
      <c r="M627" s="3509"/>
      <c r="N627" s="3509"/>
      <c r="O627" s="3509"/>
      <c r="P627" s="3553"/>
      <c r="Q627" s="3509"/>
      <c r="R627" s="3509"/>
      <c r="S627" s="3509"/>
      <c r="T627" s="3509"/>
      <c r="U627" s="3509"/>
      <c r="V627" s="3509"/>
      <c r="W627" s="3509"/>
      <c r="X627" s="3509"/>
      <c r="Y627" s="3509"/>
      <c r="Z627" s="3509"/>
      <c r="AA627" s="3509"/>
      <c r="AB627" s="3509"/>
      <c r="AC627" s="3509"/>
    </row>
    <row r="628" spans="1:29">
      <c r="A628" s="3509"/>
      <c r="B628" s="3509"/>
      <c r="C628" s="3509"/>
      <c r="D628" s="3509"/>
      <c r="E628" s="3509"/>
      <c r="F628" s="3509"/>
      <c r="G628" s="3509"/>
      <c r="H628" s="3509"/>
      <c r="I628" s="3509"/>
      <c r="J628" s="3509"/>
      <c r="K628" s="3510"/>
      <c r="L628" s="3511"/>
      <c r="M628" s="3509"/>
      <c r="N628" s="3509"/>
      <c r="O628" s="3509"/>
      <c r="P628" s="3553"/>
      <c r="Q628" s="3509"/>
      <c r="R628" s="3509"/>
      <c r="S628" s="3509"/>
      <c r="T628" s="3509"/>
      <c r="U628" s="3509"/>
      <c r="V628" s="3509"/>
      <c r="W628" s="3509"/>
      <c r="X628" s="3509"/>
      <c r="Y628" s="3509"/>
      <c r="Z628" s="3509"/>
      <c r="AA628" s="3509"/>
      <c r="AB628" s="3509"/>
      <c r="AC628" s="3509"/>
    </row>
    <row r="629" spans="1:29">
      <c r="A629" s="3509"/>
      <c r="B629" s="3509"/>
      <c r="C629" s="3509"/>
      <c r="D629" s="3509"/>
      <c r="E629" s="3509"/>
      <c r="F629" s="3509"/>
      <c r="G629" s="3509"/>
      <c r="H629" s="3509"/>
      <c r="I629" s="3509"/>
      <c r="J629" s="3509"/>
      <c r="K629" s="3510"/>
      <c r="L629" s="3511"/>
      <c r="M629" s="3509"/>
      <c r="N629" s="3509"/>
      <c r="O629" s="3509"/>
      <c r="P629" s="3553"/>
      <c r="Q629" s="3509"/>
      <c r="R629" s="3509"/>
      <c r="S629" s="3509"/>
      <c r="T629" s="3509"/>
      <c r="U629" s="3509"/>
      <c r="V629" s="3509"/>
      <c r="W629" s="3509"/>
      <c r="X629" s="3509"/>
      <c r="Y629" s="3509"/>
      <c r="Z629" s="3509"/>
      <c r="AA629" s="3509"/>
      <c r="AB629" s="3509"/>
      <c r="AC629" s="3509"/>
    </row>
    <row r="630" spans="1:29">
      <c r="A630" s="3509"/>
      <c r="B630" s="3509"/>
      <c r="C630" s="3509"/>
      <c r="D630" s="3509"/>
      <c r="E630" s="3509"/>
      <c r="F630" s="3509"/>
      <c r="G630" s="3509"/>
      <c r="H630" s="3509"/>
      <c r="I630" s="3509"/>
      <c r="J630" s="3509"/>
      <c r="K630" s="3510"/>
      <c r="L630" s="3511"/>
      <c r="M630" s="3509"/>
      <c r="N630" s="3509"/>
      <c r="O630" s="3509"/>
      <c r="P630" s="3553"/>
      <c r="Q630" s="3509"/>
      <c r="R630" s="3509"/>
      <c r="S630" s="3509"/>
      <c r="T630" s="3509"/>
      <c r="U630" s="3509"/>
      <c r="V630" s="3509"/>
      <c r="W630" s="3509"/>
      <c r="X630" s="3509"/>
      <c r="Y630" s="3509"/>
      <c r="Z630" s="3509"/>
      <c r="AA630" s="3509"/>
      <c r="AB630" s="3509"/>
      <c r="AC630" s="3509"/>
    </row>
    <row r="631" spans="1:29">
      <c r="A631" s="3509"/>
      <c r="B631" s="3509"/>
      <c r="C631" s="3509"/>
      <c r="D631" s="3509"/>
      <c r="E631" s="3509"/>
      <c r="F631" s="3509"/>
      <c r="G631" s="3509"/>
      <c r="H631" s="3509"/>
      <c r="I631" s="3509"/>
      <c r="J631" s="3509"/>
      <c r="K631" s="3510"/>
      <c r="L631" s="3511"/>
      <c r="M631" s="3509"/>
      <c r="N631" s="3509"/>
      <c r="O631" s="3509"/>
      <c r="P631" s="3553"/>
      <c r="Q631" s="3509"/>
      <c r="R631" s="3509"/>
      <c r="S631" s="3509"/>
      <c r="T631" s="3509"/>
      <c r="U631" s="3509"/>
      <c r="V631" s="3509"/>
      <c r="W631" s="3509"/>
      <c r="X631" s="3509"/>
      <c r="Y631" s="3509"/>
      <c r="Z631" s="3509"/>
      <c r="AA631" s="3509"/>
      <c r="AB631" s="3509"/>
      <c r="AC631" s="3509"/>
    </row>
    <row r="632" spans="1:29">
      <c r="A632" s="3509"/>
      <c r="B632" s="3509"/>
      <c r="C632" s="3509"/>
      <c r="D632" s="3509"/>
      <c r="E632" s="3509"/>
      <c r="F632" s="3509"/>
      <c r="G632" s="3509"/>
      <c r="H632" s="3509"/>
      <c r="I632" s="3509"/>
      <c r="J632" s="3509"/>
      <c r="K632" s="3510"/>
      <c r="L632" s="3511"/>
      <c r="M632" s="3509"/>
      <c r="N632" s="3509"/>
      <c r="O632" s="3509"/>
      <c r="P632" s="3553"/>
      <c r="Q632" s="3509"/>
      <c r="R632" s="3509"/>
      <c r="S632" s="3509"/>
      <c r="T632" s="3509"/>
      <c r="U632" s="3509"/>
      <c r="V632" s="3509"/>
      <c r="W632" s="3509"/>
      <c r="X632" s="3509"/>
      <c r="Y632" s="3509"/>
      <c r="Z632" s="3509"/>
      <c r="AA632" s="3509"/>
      <c r="AB632" s="3509"/>
      <c r="AC632" s="3509"/>
    </row>
    <row r="633" spans="1:29">
      <c r="A633" s="3509"/>
      <c r="B633" s="3509"/>
      <c r="C633" s="3509"/>
      <c r="D633" s="3509"/>
      <c r="E633" s="3509"/>
      <c r="F633" s="3509"/>
      <c r="G633" s="3509"/>
      <c r="H633" s="3509"/>
      <c r="I633" s="3509"/>
      <c r="J633" s="3509"/>
      <c r="K633" s="3510"/>
      <c r="L633" s="3511"/>
      <c r="M633" s="3509"/>
      <c r="N633" s="3509"/>
      <c r="O633" s="3509"/>
      <c r="P633" s="3553"/>
      <c r="Q633" s="3509"/>
      <c r="R633" s="3509"/>
      <c r="S633" s="3509"/>
      <c r="T633" s="3509"/>
      <c r="U633" s="3509"/>
      <c r="V633" s="3509"/>
      <c r="W633" s="3509"/>
      <c r="X633" s="3509"/>
      <c r="Y633" s="3509"/>
      <c r="Z633" s="3509"/>
      <c r="AA633" s="3509"/>
      <c r="AB633" s="3509"/>
      <c r="AC633" s="3509"/>
    </row>
    <row r="634" spans="1:29">
      <c r="A634" s="3509"/>
      <c r="B634" s="3509"/>
      <c r="C634" s="3509"/>
      <c r="D634" s="3509"/>
      <c r="E634" s="3509"/>
      <c r="F634" s="3509"/>
      <c r="G634" s="3509"/>
      <c r="H634" s="3509"/>
      <c r="I634" s="3509"/>
      <c r="J634" s="3509"/>
      <c r="K634" s="3510"/>
      <c r="L634" s="3511"/>
      <c r="M634" s="3509"/>
      <c r="N634" s="3509"/>
      <c r="O634" s="3509"/>
      <c r="P634" s="3553"/>
      <c r="Q634" s="3509"/>
      <c r="R634" s="3509"/>
      <c r="S634" s="3509"/>
      <c r="T634" s="3509"/>
      <c r="U634" s="3509"/>
      <c r="V634" s="3509"/>
      <c r="W634" s="3509"/>
      <c r="X634" s="3509"/>
      <c r="Y634" s="3509"/>
      <c r="Z634" s="3509"/>
      <c r="AA634" s="3509"/>
      <c r="AB634" s="3509"/>
      <c r="AC634" s="3509"/>
    </row>
    <row r="635" spans="1:29">
      <c r="A635" s="3509"/>
      <c r="B635" s="3509"/>
      <c r="C635" s="3509"/>
      <c r="D635" s="3509"/>
      <c r="E635" s="3509"/>
      <c r="F635" s="3509"/>
      <c r="G635" s="3509"/>
      <c r="H635" s="3509"/>
      <c r="I635" s="3509"/>
      <c r="J635" s="3509"/>
      <c r="K635" s="3510"/>
      <c r="L635" s="3511"/>
      <c r="M635" s="3509"/>
      <c r="N635" s="3509"/>
      <c r="O635" s="3509"/>
      <c r="P635" s="3553"/>
      <c r="Q635" s="3509"/>
      <c r="R635" s="3509"/>
      <c r="S635" s="3509"/>
      <c r="T635" s="3509"/>
      <c r="U635" s="3509"/>
      <c r="V635" s="3509"/>
      <c r="W635" s="3509"/>
      <c r="X635" s="3509"/>
      <c r="Y635" s="3509"/>
      <c r="Z635" s="3509"/>
      <c r="AA635" s="3509"/>
      <c r="AB635" s="3509"/>
      <c r="AC635" s="3509"/>
    </row>
    <row r="636" spans="1:29">
      <c r="A636" s="3509"/>
      <c r="B636" s="3509"/>
      <c r="C636" s="3509"/>
      <c r="D636" s="3509"/>
      <c r="E636" s="3509"/>
      <c r="F636" s="3509"/>
      <c r="G636" s="3509"/>
      <c r="H636" s="3509"/>
      <c r="I636" s="3509"/>
      <c r="J636" s="3509"/>
      <c r="K636" s="3510"/>
      <c r="L636" s="3511"/>
      <c r="M636" s="3509"/>
      <c r="N636" s="3509"/>
      <c r="O636" s="3509"/>
      <c r="P636" s="3553"/>
      <c r="Q636" s="3509"/>
      <c r="R636" s="3509"/>
      <c r="S636" s="3509"/>
      <c r="T636" s="3509"/>
      <c r="U636" s="3509"/>
      <c r="V636" s="3509"/>
      <c r="W636" s="3509"/>
      <c r="X636" s="3509"/>
      <c r="Y636" s="3509"/>
      <c r="Z636" s="3509"/>
      <c r="AA636" s="3509"/>
      <c r="AB636" s="3509"/>
      <c r="AC636" s="3509"/>
    </row>
    <row r="637" spans="1:29">
      <c r="A637" s="3509"/>
      <c r="B637" s="3509"/>
      <c r="C637" s="3509"/>
      <c r="D637" s="3509"/>
      <c r="E637" s="3509"/>
      <c r="F637" s="3509"/>
      <c r="G637" s="3509"/>
      <c r="H637" s="3509"/>
      <c r="I637" s="3509"/>
      <c r="J637" s="3509"/>
      <c r="K637" s="3510"/>
      <c r="L637" s="3511"/>
      <c r="M637" s="3509"/>
      <c r="N637" s="3509"/>
      <c r="O637" s="3509"/>
      <c r="P637" s="3553"/>
      <c r="Q637" s="3509"/>
      <c r="R637" s="3509"/>
      <c r="S637" s="3509"/>
      <c r="T637" s="3509"/>
      <c r="U637" s="3509"/>
      <c r="V637" s="3509"/>
      <c r="W637" s="3509"/>
      <c r="X637" s="3509"/>
      <c r="Y637" s="3509"/>
      <c r="Z637" s="3509"/>
      <c r="AA637" s="3509"/>
      <c r="AB637" s="3509"/>
      <c r="AC637" s="3509"/>
    </row>
    <row r="638" spans="1:29">
      <c r="A638" s="3509"/>
      <c r="B638" s="3509"/>
      <c r="C638" s="3509"/>
      <c r="D638" s="3509"/>
      <c r="E638" s="3509"/>
      <c r="F638" s="3509"/>
      <c r="G638" s="3509"/>
      <c r="H638" s="3509"/>
      <c r="I638" s="3509"/>
      <c r="J638" s="3509"/>
      <c r="K638" s="3510"/>
      <c r="L638" s="3511"/>
      <c r="M638" s="3509"/>
      <c r="N638" s="3509"/>
      <c r="O638" s="3509"/>
      <c r="P638" s="3553"/>
      <c r="Q638" s="3509"/>
      <c r="R638" s="3509"/>
      <c r="S638" s="3509"/>
      <c r="T638" s="3509"/>
      <c r="U638" s="3509"/>
      <c r="V638" s="3509"/>
      <c r="W638" s="3509"/>
      <c r="X638" s="3509"/>
      <c r="Y638" s="3509"/>
      <c r="Z638" s="3509"/>
      <c r="AA638" s="3509"/>
      <c r="AB638" s="3509"/>
      <c r="AC638" s="3509"/>
    </row>
    <row r="639" spans="1:29">
      <c r="A639" s="3509"/>
      <c r="B639" s="3509"/>
      <c r="C639" s="3509"/>
      <c r="D639" s="3509"/>
      <c r="E639" s="3509"/>
      <c r="F639" s="3509"/>
      <c r="G639" s="3509"/>
      <c r="H639" s="3509"/>
      <c r="I639" s="3509"/>
      <c r="J639" s="3509"/>
      <c r="K639" s="3510"/>
      <c r="L639" s="3511"/>
      <c r="M639" s="3509"/>
      <c r="N639" s="3509"/>
      <c r="O639" s="3509"/>
      <c r="P639" s="3553"/>
      <c r="Q639" s="3509"/>
      <c r="R639" s="3509"/>
      <c r="S639" s="3509"/>
      <c r="T639" s="3509"/>
      <c r="U639" s="3509"/>
      <c r="V639" s="3509"/>
      <c r="W639" s="3509"/>
      <c r="X639" s="3509"/>
      <c r="Y639" s="3509"/>
      <c r="Z639" s="3509"/>
      <c r="AA639" s="3509"/>
      <c r="AB639" s="3509"/>
      <c r="AC639" s="3509"/>
    </row>
    <row r="640" spans="1:29">
      <c r="A640" s="3509"/>
      <c r="B640" s="3509"/>
      <c r="C640" s="3509"/>
      <c r="D640" s="3509"/>
      <c r="E640" s="3509"/>
      <c r="F640" s="3509"/>
      <c r="G640" s="3509"/>
      <c r="H640" s="3509"/>
      <c r="I640" s="3509"/>
      <c r="J640" s="3509"/>
      <c r="K640" s="3510"/>
      <c r="L640" s="3511"/>
      <c r="M640" s="3509"/>
      <c r="N640" s="3509"/>
      <c r="O640" s="3509"/>
      <c r="P640" s="3553"/>
      <c r="Q640" s="3509"/>
      <c r="R640" s="3509"/>
      <c r="S640" s="3509"/>
      <c r="T640" s="3509"/>
      <c r="U640" s="3509"/>
      <c r="V640" s="3509"/>
      <c r="W640" s="3509"/>
      <c r="X640" s="3509"/>
      <c r="Y640" s="3509"/>
      <c r="Z640" s="3509"/>
      <c r="AA640" s="3509"/>
      <c r="AB640" s="3509"/>
      <c r="AC640" s="3509"/>
    </row>
    <row r="641" spans="1:29">
      <c r="A641" s="3509"/>
      <c r="B641" s="3509"/>
      <c r="C641" s="3509"/>
      <c r="D641" s="3509"/>
      <c r="E641" s="3509"/>
      <c r="F641" s="3509"/>
      <c r="G641" s="3509"/>
      <c r="H641" s="3509"/>
      <c r="I641" s="3509"/>
      <c r="J641" s="3509"/>
      <c r="K641" s="3510"/>
      <c r="L641" s="3511"/>
      <c r="M641" s="3509"/>
      <c r="N641" s="3509"/>
      <c r="O641" s="3509"/>
      <c r="P641" s="3553"/>
      <c r="Q641" s="3509"/>
      <c r="R641" s="3509"/>
      <c r="S641" s="3509"/>
      <c r="T641" s="3509"/>
      <c r="U641" s="3509"/>
      <c r="V641" s="3509"/>
      <c r="W641" s="3509"/>
      <c r="X641" s="3509"/>
      <c r="Y641" s="3509"/>
      <c r="Z641" s="3509"/>
      <c r="AA641" s="3509"/>
      <c r="AB641" s="3509"/>
      <c r="AC641" s="3509"/>
    </row>
    <row r="642" spans="1:29">
      <c r="A642" s="3509"/>
      <c r="B642" s="3509"/>
      <c r="C642" s="3509"/>
      <c r="D642" s="3509"/>
      <c r="E642" s="3509"/>
      <c r="F642" s="3509"/>
      <c r="G642" s="3509"/>
      <c r="H642" s="3509"/>
      <c r="I642" s="3509"/>
      <c r="J642" s="3509"/>
      <c r="K642" s="3510"/>
      <c r="L642" s="3511"/>
      <c r="M642" s="3509"/>
      <c r="N642" s="3509"/>
      <c r="O642" s="3509"/>
      <c r="P642" s="3553"/>
      <c r="Q642" s="3509"/>
      <c r="R642" s="3509"/>
      <c r="S642" s="3509"/>
      <c r="T642" s="3509"/>
      <c r="U642" s="3509"/>
      <c r="V642" s="3509"/>
      <c r="W642" s="3509"/>
      <c r="X642" s="3509"/>
      <c r="Y642" s="3509"/>
      <c r="Z642" s="3509"/>
      <c r="AA642" s="3509"/>
      <c r="AB642" s="3509"/>
      <c r="AC642" s="3509"/>
    </row>
    <row r="643" spans="1:29">
      <c r="A643" s="3509"/>
      <c r="B643" s="3509"/>
      <c r="C643" s="3509"/>
      <c r="D643" s="3509"/>
      <c r="E643" s="3509"/>
      <c r="F643" s="3509"/>
      <c r="G643" s="3509"/>
      <c r="H643" s="3509"/>
      <c r="I643" s="3509"/>
      <c r="J643" s="3509"/>
      <c r="K643" s="3510"/>
      <c r="L643" s="3511"/>
      <c r="M643" s="3509"/>
      <c r="N643" s="3509"/>
      <c r="O643" s="3509"/>
      <c r="P643" s="3553"/>
      <c r="Q643" s="3509"/>
      <c r="R643" s="3509"/>
      <c r="S643" s="3509"/>
      <c r="T643" s="3509"/>
      <c r="U643" s="3509"/>
      <c r="V643" s="3509"/>
      <c r="W643" s="3509"/>
      <c r="X643" s="3509"/>
      <c r="Y643" s="3509"/>
      <c r="Z643" s="3509"/>
      <c r="AA643" s="3509"/>
      <c r="AB643" s="3509"/>
      <c r="AC643" s="3509"/>
    </row>
    <row r="644" spans="1:29">
      <c r="A644" s="3509"/>
      <c r="B644" s="3509"/>
      <c r="C644" s="3509"/>
      <c r="D644" s="3509"/>
      <c r="E644" s="3509"/>
      <c r="F644" s="3509"/>
      <c r="G644" s="3509"/>
      <c r="H644" s="3509"/>
      <c r="I644" s="3509"/>
      <c r="J644" s="3509"/>
      <c r="K644" s="3510"/>
      <c r="L644" s="3511"/>
      <c r="M644" s="3509"/>
      <c r="N644" s="3509"/>
      <c r="O644" s="3509"/>
      <c r="P644" s="3553"/>
      <c r="Q644" s="3509"/>
      <c r="R644" s="3509"/>
      <c r="S644" s="3509"/>
      <c r="T644" s="3509"/>
      <c r="U644" s="3509"/>
      <c r="V644" s="3509"/>
      <c r="W644" s="3509"/>
      <c r="X644" s="3509"/>
      <c r="Y644" s="3509"/>
      <c r="Z644" s="3509"/>
      <c r="AA644" s="3509"/>
      <c r="AB644" s="3509"/>
      <c r="AC644" s="3509"/>
    </row>
    <row r="645" spans="1:29">
      <c r="A645" s="3509"/>
      <c r="B645" s="3509"/>
      <c r="C645" s="3509"/>
      <c r="D645" s="3509"/>
      <c r="E645" s="3509"/>
      <c r="F645" s="3509"/>
      <c r="G645" s="3509"/>
      <c r="H645" s="3509"/>
      <c r="I645" s="3509"/>
      <c r="J645" s="3509"/>
      <c r="K645" s="3510"/>
      <c r="L645" s="3511"/>
      <c r="M645" s="3509"/>
      <c r="N645" s="3509"/>
      <c r="O645" s="3509"/>
      <c r="P645" s="3553"/>
      <c r="Q645" s="3509"/>
      <c r="R645" s="3509"/>
      <c r="S645" s="3509"/>
      <c r="T645" s="3509"/>
      <c r="U645" s="3509"/>
      <c r="V645" s="3509"/>
      <c r="W645" s="3509"/>
      <c r="X645" s="3509"/>
      <c r="Y645" s="3509"/>
      <c r="Z645" s="3509"/>
      <c r="AA645" s="3509"/>
      <c r="AB645" s="3509"/>
      <c r="AC645" s="3509"/>
    </row>
    <row r="646" spans="1:29">
      <c r="A646" s="3509"/>
      <c r="B646" s="3509"/>
      <c r="C646" s="3509"/>
      <c r="D646" s="3509"/>
      <c r="E646" s="3509"/>
      <c r="F646" s="3509"/>
      <c r="G646" s="3509"/>
      <c r="H646" s="3509"/>
      <c r="I646" s="3509"/>
      <c r="J646" s="3509"/>
      <c r="K646" s="3510"/>
      <c r="L646" s="3511"/>
      <c r="M646" s="3509"/>
      <c r="N646" s="3509"/>
      <c r="O646" s="3509"/>
      <c r="P646" s="3553"/>
      <c r="Q646" s="3509"/>
      <c r="R646" s="3509"/>
      <c r="S646" s="3509"/>
      <c r="T646" s="3509"/>
      <c r="U646" s="3509"/>
      <c r="V646" s="3509"/>
      <c r="W646" s="3509"/>
      <c r="X646" s="3509"/>
      <c r="Y646" s="3509"/>
      <c r="Z646" s="3509"/>
      <c r="AA646" s="3509"/>
      <c r="AB646" s="3509"/>
      <c r="AC646" s="3509"/>
    </row>
    <row r="647" spans="1:29">
      <c r="A647" s="3509"/>
      <c r="B647" s="3509"/>
      <c r="C647" s="3509"/>
      <c r="D647" s="3509"/>
      <c r="E647" s="3509"/>
      <c r="F647" s="3509"/>
      <c r="G647" s="3509"/>
      <c r="H647" s="3509"/>
      <c r="I647" s="3509"/>
      <c r="J647" s="3509"/>
      <c r="K647" s="3510"/>
      <c r="L647" s="3511"/>
      <c r="M647" s="3509"/>
      <c r="N647" s="3509"/>
      <c r="O647" s="3509"/>
      <c r="P647" s="3553"/>
      <c r="Q647" s="3509"/>
      <c r="R647" s="3509"/>
      <c r="S647" s="3509"/>
      <c r="T647" s="3509"/>
      <c r="U647" s="3509"/>
      <c r="V647" s="3509"/>
      <c r="W647" s="3509"/>
      <c r="X647" s="3509"/>
      <c r="Y647" s="3509"/>
      <c r="Z647" s="3509"/>
      <c r="AA647" s="3509"/>
      <c r="AB647" s="3509"/>
      <c r="AC647" s="3509"/>
    </row>
    <row r="648" spans="1:29">
      <c r="A648" s="3509"/>
      <c r="B648" s="3509"/>
      <c r="C648" s="3509"/>
      <c r="D648" s="3509"/>
      <c r="E648" s="3509"/>
      <c r="F648" s="3509"/>
      <c r="G648" s="3509"/>
      <c r="H648" s="3509"/>
      <c r="I648" s="3509"/>
      <c r="J648" s="3509"/>
      <c r="K648" s="3510"/>
      <c r="L648" s="3511"/>
      <c r="M648" s="3509"/>
      <c r="N648" s="3509"/>
      <c r="O648" s="3509"/>
      <c r="P648" s="3553"/>
      <c r="Q648" s="3509"/>
      <c r="R648" s="3509"/>
      <c r="S648" s="3509"/>
      <c r="T648" s="3509"/>
      <c r="U648" s="3509"/>
      <c r="V648" s="3509"/>
      <c r="W648" s="3509"/>
      <c r="X648" s="3509"/>
      <c r="Y648" s="3509"/>
      <c r="Z648" s="3509"/>
      <c r="AA648" s="3509"/>
      <c r="AB648" s="3509"/>
      <c r="AC648" s="3509"/>
    </row>
    <row r="649" spans="1:29">
      <c r="A649" s="3509"/>
      <c r="B649" s="3509"/>
      <c r="C649" s="3509"/>
      <c r="D649" s="3509"/>
      <c r="E649" s="3509"/>
      <c r="F649" s="3509"/>
      <c r="G649" s="3509"/>
      <c r="H649" s="3509"/>
      <c r="I649" s="3509"/>
      <c r="J649" s="3509"/>
      <c r="K649" s="3510"/>
      <c r="L649" s="3511"/>
      <c r="M649" s="3509"/>
      <c r="N649" s="3509"/>
      <c r="O649" s="3509"/>
      <c r="P649" s="3553"/>
      <c r="Q649" s="3509"/>
      <c r="R649" s="3509"/>
      <c r="S649" s="3509"/>
      <c r="T649" s="3509"/>
      <c r="U649" s="3509"/>
      <c r="V649" s="3509"/>
      <c r="W649" s="3509"/>
      <c r="X649" s="3509"/>
      <c r="Y649" s="3509"/>
      <c r="Z649" s="3509"/>
      <c r="AA649" s="3509"/>
      <c r="AB649" s="3509"/>
      <c r="AC649" s="3509"/>
    </row>
    <row r="650" spans="1:29">
      <c r="A650" s="3509"/>
      <c r="B650" s="3509"/>
      <c r="C650" s="3509"/>
      <c r="D650" s="3509"/>
      <c r="E650" s="3509"/>
      <c r="F650" s="3509"/>
      <c r="G650" s="3509"/>
      <c r="H650" s="3509"/>
      <c r="I650" s="3509"/>
      <c r="J650" s="3509"/>
      <c r="K650" s="3510"/>
      <c r="L650" s="3511"/>
      <c r="M650" s="3509"/>
      <c r="N650" s="3509"/>
      <c r="O650" s="3509"/>
      <c r="P650" s="3553"/>
      <c r="Q650" s="3509"/>
      <c r="R650" s="3509"/>
      <c r="S650" s="3509"/>
      <c r="T650" s="3509"/>
      <c r="U650" s="3509"/>
      <c r="V650" s="3509"/>
      <c r="W650" s="3509"/>
      <c r="X650" s="3509"/>
      <c r="Y650" s="3509"/>
      <c r="Z650" s="3509"/>
      <c r="AA650" s="3509"/>
      <c r="AB650" s="3509"/>
      <c r="AC650" s="3509"/>
    </row>
    <row r="651" spans="1:29">
      <c r="A651" s="3509"/>
      <c r="B651" s="3509"/>
      <c r="C651" s="3509"/>
      <c r="D651" s="3509"/>
      <c r="E651" s="3509"/>
      <c r="F651" s="3509"/>
      <c r="G651" s="3509"/>
      <c r="H651" s="3509"/>
      <c r="I651" s="3509"/>
      <c r="J651" s="3509"/>
      <c r="K651" s="3510"/>
      <c r="L651" s="3511"/>
      <c r="M651" s="3509"/>
      <c r="N651" s="3509"/>
      <c r="O651" s="3509"/>
      <c r="P651" s="3553"/>
      <c r="Q651" s="3509"/>
      <c r="R651" s="3509"/>
      <c r="S651" s="3509"/>
      <c r="T651" s="3509"/>
      <c r="U651" s="3509"/>
      <c r="V651" s="3509"/>
      <c r="W651" s="3509"/>
      <c r="X651" s="3509"/>
      <c r="Y651" s="3509"/>
      <c r="Z651" s="3509"/>
      <c r="AA651" s="3509"/>
      <c r="AB651" s="3509"/>
      <c r="AC651" s="3509"/>
    </row>
    <row r="652" spans="1:29">
      <c r="A652" s="3509"/>
      <c r="B652" s="3509"/>
      <c r="C652" s="3509"/>
      <c r="D652" s="3509"/>
      <c r="E652" s="3509"/>
      <c r="F652" s="3509"/>
      <c r="G652" s="3509"/>
      <c r="H652" s="3509"/>
      <c r="I652" s="3509"/>
      <c r="J652" s="3509"/>
      <c r="K652" s="3510"/>
      <c r="L652" s="3511"/>
      <c r="M652" s="3509"/>
      <c r="N652" s="3509"/>
      <c r="O652" s="3509"/>
      <c r="P652" s="3553"/>
      <c r="Q652" s="3509"/>
      <c r="R652" s="3509"/>
      <c r="S652" s="3509"/>
      <c r="T652" s="3509"/>
      <c r="U652" s="3509"/>
      <c r="V652" s="3509"/>
      <c r="W652" s="3509"/>
      <c r="X652" s="3509"/>
      <c r="Y652" s="3509"/>
      <c r="Z652" s="3509"/>
      <c r="AA652" s="3509"/>
      <c r="AB652" s="3509"/>
      <c r="AC652" s="3509"/>
    </row>
    <row r="653" spans="1:29">
      <c r="A653" s="3509"/>
      <c r="B653" s="3509"/>
      <c r="C653" s="3509"/>
      <c r="D653" s="3509"/>
      <c r="E653" s="3509"/>
      <c r="F653" s="3509"/>
      <c r="G653" s="3509"/>
      <c r="H653" s="3509"/>
      <c r="I653" s="3509"/>
      <c r="J653" s="3509"/>
      <c r="K653" s="3510"/>
      <c r="L653" s="3511"/>
      <c r="M653" s="3509"/>
      <c r="N653" s="3509"/>
      <c r="O653" s="3509"/>
      <c r="P653" s="3553"/>
      <c r="Q653" s="3509"/>
      <c r="R653" s="3509"/>
      <c r="S653" s="3509"/>
      <c r="T653" s="3509"/>
      <c r="U653" s="3509"/>
      <c r="V653" s="3509"/>
      <c r="W653" s="3509"/>
      <c r="X653" s="3509"/>
      <c r="Y653" s="3509"/>
      <c r="Z653" s="3509"/>
      <c r="AA653" s="3509"/>
      <c r="AB653" s="3509"/>
      <c r="AC653" s="3509"/>
    </row>
    <row r="654" spans="1:29">
      <c r="A654" s="3509"/>
      <c r="B654" s="3509"/>
      <c r="C654" s="3509"/>
      <c r="D654" s="3509"/>
      <c r="E654" s="3509"/>
      <c r="F654" s="3509"/>
      <c r="G654" s="3509"/>
      <c r="H654" s="3509"/>
      <c r="I654" s="3509"/>
      <c r="J654" s="3509"/>
      <c r="K654" s="3510"/>
      <c r="L654" s="3511"/>
      <c r="M654" s="3509"/>
      <c r="N654" s="3509"/>
      <c r="O654" s="3509"/>
      <c r="P654" s="3553"/>
      <c r="Q654" s="3509"/>
      <c r="R654" s="3509"/>
      <c r="S654" s="3509"/>
      <c r="T654" s="3509"/>
      <c r="U654" s="3509"/>
      <c r="V654" s="3509"/>
      <c r="W654" s="3509"/>
      <c r="X654" s="3509"/>
      <c r="Y654" s="3509"/>
      <c r="Z654" s="3509"/>
      <c r="AA654" s="3509"/>
      <c r="AB654" s="3509"/>
      <c r="AC654" s="3509"/>
    </row>
    <row r="655" spans="1:29">
      <c r="A655" s="3509"/>
      <c r="B655" s="3509"/>
      <c r="C655" s="3509"/>
      <c r="D655" s="3509"/>
      <c r="E655" s="3509"/>
      <c r="F655" s="3509"/>
      <c r="G655" s="3509"/>
      <c r="H655" s="3509"/>
      <c r="I655" s="3509"/>
      <c r="J655" s="3509"/>
      <c r="K655" s="3510"/>
      <c r="L655" s="3511"/>
      <c r="M655" s="3509"/>
      <c r="N655" s="3509"/>
      <c r="O655" s="3509"/>
      <c r="P655" s="3553"/>
      <c r="Q655" s="3509"/>
      <c r="R655" s="3509"/>
      <c r="S655" s="3509"/>
      <c r="T655" s="3509"/>
      <c r="U655" s="3509"/>
      <c r="V655" s="3509"/>
      <c r="W655" s="3509"/>
      <c r="X655" s="3509"/>
      <c r="Y655" s="3509"/>
      <c r="Z655" s="3509"/>
      <c r="AA655" s="3509"/>
      <c r="AB655" s="3509"/>
      <c r="AC655" s="3509"/>
    </row>
    <row r="656" spans="1:29">
      <c r="A656" s="3509"/>
      <c r="B656" s="3509"/>
      <c r="C656" s="3509"/>
      <c r="D656" s="3509"/>
      <c r="E656" s="3509"/>
      <c r="F656" s="3509"/>
      <c r="G656" s="3509"/>
      <c r="H656" s="3509"/>
      <c r="I656" s="3509"/>
      <c r="J656" s="3509"/>
      <c r="K656" s="3510"/>
      <c r="L656" s="3511"/>
      <c r="M656" s="3509"/>
      <c r="N656" s="3509"/>
      <c r="O656" s="3509"/>
      <c r="P656" s="3553"/>
      <c r="Q656" s="3509"/>
      <c r="R656" s="3509"/>
      <c r="S656" s="3509"/>
      <c r="T656" s="3509"/>
      <c r="U656" s="3509"/>
      <c r="V656" s="3509"/>
      <c r="W656" s="3509"/>
      <c r="X656" s="3509"/>
      <c r="Y656" s="3509"/>
      <c r="Z656" s="3509"/>
      <c r="AA656" s="3509"/>
      <c r="AB656" s="3509"/>
      <c r="AC656" s="3509"/>
    </row>
    <row r="657" spans="1:29">
      <c r="A657" s="3509"/>
      <c r="B657" s="3509"/>
      <c r="C657" s="3509"/>
      <c r="D657" s="3509"/>
      <c r="E657" s="3509"/>
      <c r="F657" s="3509"/>
      <c r="G657" s="3509"/>
      <c r="H657" s="3509"/>
      <c r="I657" s="3509"/>
      <c r="J657" s="3509"/>
      <c r="K657" s="3510"/>
      <c r="L657" s="3511"/>
      <c r="M657" s="3509"/>
      <c r="N657" s="3509"/>
      <c r="O657" s="3509"/>
      <c r="P657" s="3553"/>
      <c r="Q657" s="3509"/>
      <c r="R657" s="3509"/>
      <c r="S657" s="3509"/>
      <c r="T657" s="3509"/>
      <c r="U657" s="3509"/>
      <c r="V657" s="3509"/>
      <c r="W657" s="3509"/>
      <c r="X657" s="3509"/>
      <c r="Y657" s="3509"/>
      <c r="Z657" s="3509"/>
      <c r="AA657" s="3509"/>
      <c r="AB657" s="3509"/>
      <c r="AC657" s="3509"/>
    </row>
    <row r="658" spans="1:29">
      <c r="A658" s="3509"/>
      <c r="B658" s="3509"/>
      <c r="C658" s="3509"/>
      <c r="D658" s="3509"/>
      <c r="E658" s="3509"/>
      <c r="F658" s="3509"/>
      <c r="G658" s="3509"/>
      <c r="H658" s="3509"/>
      <c r="I658" s="3509"/>
      <c r="J658" s="3509"/>
      <c r="K658" s="3510"/>
      <c r="L658" s="3511"/>
      <c r="M658" s="3509"/>
      <c r="N658" s="3509"/>
      <c r="O658" s="3509"/>
      <c r="P658" s="3553"/>
      <c r="Q658" s="3509"/>
      <c r="R658" s="3509"/>
      <c r="S658" s="3509"/>
      <c r="T658" s="3509"/>
      <c r="U658" s="3509"/>
      <c r="V658" s="3509"/>
      <c r="W658" s="3509"/>
      <c r="X658" s="3509"/>
      <c r="Y658" s="3509"/>
      <c r="Z658" s="3509"/>
      <c r="AA658" s="3509"/>
      <c r="AB658" s="3509"/>
      <c r="AC658" s="3509"/>
    </row>
    <row r="659" spans="1:29">
      <c r="A659" s="3509"/>
      <c r="B659" s="3509"/>
      <c r="C659" s="3509"/>
      <c r="D659" s="3509"/>
      <c r="E659" s="3509"/>
      <c r="F659" s="3509"/>
      <c r="G659" s="3509"/>
      <c r="H659" s="3509"/>
      <c r="I659" s="3509"/>
      <c r="J659" s="3509"/>
      <c r="K659" s="3510"/>
      <c r="L659" s="3511"/>
      <c r="M659" s="3509"/>
      <c r="N659" s="3509"/>
      <c r="O659" s="3509"/>
      <c r="P659" s="3553"/>
      <c r="Q659" s="3509"/>
      <c r="R659" s="3509"/>
      <c r="S659" s="3509"/>
      <c r="T659" s="3509"/>
      <c r="U659" s="3509"/>
      <c r="V659" s="3509"/>
      <c r="W659" s="3509"/>
      <c r="X659" s="3509"/>
      <c r="Y659" s="3509"/>
      <c r="Z659" s="3509"/>
      <c r="AA659" s="3509"/>
      <c r="AB659" s="3509"/>
      <c r="AC659" s="3509"/>
    </row>
    <row r="660" spans="1:29">
      <c r="A660" s="3509"/>
      <c r="B660" s="3509"/>
      <c r="C660" s="3509"/>
      <c r="D660" s="3509"/>
      <c r="E660" s="3509"/>
      <c r="F660" s="3509"/>
      <c r="G660" s="3509"/>
      <c r="H660" s="3509"/>
      <c r="I660" s="3509"/>
      <c r="J660" s="3509"/>
      <c r="K660" s="3510"/>
      <c r="L660" s="3511"/>
      <c r="M660" s="3509"/>
      <c r="N660" s="3509"/>
      <c r="O660" s="3509"/>
      <c r="P660" s="3553"/>
      <c r="Q660" s="3509"/>
      <c r="R660" s="3509"/>
      <c r="S660" s="3509"/>
      <c r="T660" s="3509"/>
      <c r="U660" s="3509"/>
      <c r="V660" s="3509"/>
      <c r="W660" s="3509"/>
      <c r="X660" s="3509"/>
      <c r="Y660" s="3509"/>
      <c r="Z660" s="3509"/>
      <c r="AA660" s="3509"/>
      <c r="AB660" s="3509"/>
      <c r="AC660" s="3509"/>
    </row>
    <row r="661" spans="1:29">
      <c r="A661" s="3509"/>
      <c r="B661" s="3509"/>
      <c r="C661" s="3509"/>
      <c r="D661" s="3509"/>
      <c r="E661" s="3509"/>
      <c r="F661" s="3509"/>
      <c r="G661" s="3509"/>
      <c r="H661" s="3509"/>
      <c r="I661" s="3509"/>
      <c r="J661" s="3509"/>
      <c r="K661" s="3510"/>
      <c r="L661" s="3511"/>
      <c r="M661" s="3509"/>
      <c r="N661" s="3509"/>
      <c r="O661" s="3509"/>
      <c r="P661" s="3553"/>
      <c r="Q661" s="3509"/>
      <c r="R661" s="3509"/>
      <c r="S661" s="3509"/>
      <c r="T661" s="3509"/>
      <c r="U661" s="3509"/>
      <c r="V661" s="3509"/>
      <c r="W661" s="3509"/>
      <c r="X661" s="3509"/>
      <c r="Y661" s="3509"/>
      <c r="Z661" s="3509"/>
      <c r="AA661" s="3509"/>
      <c r="AB661" s="3509"/>
      <c r="AC661" s="3509"/>
    </row>
    <row r="662" spans="1:29">
      <c r="A662" s="3509"/>
      <c r="B662" s="3509"/>
      <c r="C662" s="3509"/>
      <c r="D662" s="3509"/>
      <c r="E662" s="3509"/>
      <c r="F662" s="3509"/>
      <c r="G662" s="3509"/>
      <c r="H662" s="3509"/>
      <c r="I662" s="3509"/>
      <c r="J662" s="3509"/>
      <c r="K662" s="3510"/>
      <c r="L662" s="3511"/>
      <c r="M662" s="3509"/>
      <c r="N662" s="3509"/>
      <c r="O662" s="3509"/>
      <c r="P662" s="3553"/>
      <c r="Q662" s="3509"/>
      <c r="R662" s="3509"/>
      <c r="S662" s="3509"/>
      <c r="T662" s="3509"/>
      <c r="U662" s="3509"/>
      <c r="V662" s="3509"/>
      <c r="W662" s="3509"/>
      <c r="X662" s="3509"/>
      <c r="Y662" s="3509"/>
      <c r="Z662" s="3509"/>
      <c r="AA662" s="3509"/>
      <c r="AB662" s="3509"/>
      <c r="AC662" s="3509"/>
    </row>
    <row r="663" spans="1:29">
      <c r="A663" s="3509"/>
      <c r="B663" s="3509"/>
      <c r="C663" s="3509"/>
      <c r="D663" s="3509"/>
      <c r="E663" s="3509"/>
      <c r="F663" s="3509"/>
      <c r="G663" s="3509"/>
      <c r="H663" s="3509"/>
      <c r="I663" s="3509"/>
      <c r="J663" s="3509"/>
      <c r="K663" s="3510"/>
      <c r="L663" s="3511"/>
      <c r="M663" s="3509"/>
      <c r="N663" s="3509"/>
      <c r="O663" s="3509"/>
      <c r="P663" s="3553"/>
      <c r="Q663" s="3509"/>
      <c r="R663" s="3509"/>
      <c r="S663" s="3509"/>
      <c r="T663" s="3509"/>
      <c r="U663" s="3509"/>
      <c r="V663" s="3509"/>
      <c r="W663" s="3509"/>
      <c r="X663" s="3509"/>
      <c r="Y663" s="3509"/>
      <c r="Z663" s="3509"/>
      <c r="AA663" s="3509"/>
      <c r="AB663" s="3509"/>
      <c r="AC663" s="3509"/>
    </row>
    <row r="664" spans="1:29">
      <c r="A664" s="3509"/>
      <c r="B664" s="3509"/>
      <c r="C664" s="3509"/>
      <c r="D664" s="3509"/>
      <c r="E664" s="3509"/>
      <c r="F664" s="3509"/>
      <c r="G664" s="3509"/>
      <c r="H664" s="3509"/>
      <c r="I664" s="3509"/>
      <c r="J664" s="3509"/>
      <c r="K664" s="3510"/>
      <c r="L664" s="3511"/>
      <c r="M664" s="3509"/>
      <c r="N664" s="3509"/>
      <c r="O664" s="3509"/>
      <c r="P664" s="3553"/>
      <c r="Q664" s="3509"/>
      <c r="R664" s="3509"/>
      <c r="S664" s="3509"/>
      <c r="T664" s="3509"/>
      <c r="U664" s="3509"/>
      <c r="V664" s="3509"/>
      <c r="W664" s="3509"/>
      <c r="X664" s="3509"/>
      <c r="Y664" s="3509"/>
      <c r="Z664" s="3509"/>
      <c r="AA664" s="3509"/>
      <c r="AB664" s="3509"/>
      <c r="AC664" s="3509"/>
    </row>
    <row r="665" spans="1:29">
      <c r="A665" s="3509"/>
      <c r="B665" s="3509"/>
      <c r="C665" s="3509"/>
      <c r="D665" s="3509"/>
      <c r="E665" s="3509"/>
      <c r="F665" s="3509"/>
      <c r="G665" s="3509"/>
      <c r="H665" s="3509"/>
      <c r="I665" s="3509"/>
      <c r="J665" s="3509"/>
      <c r="K665" s="3510"/>
      <c r="L665" s="3511"/>
      <c r="M665" s="3509"/>
      <c r="N665" s="3509"/>
      <c r="O665" s="3509"/>
      <c r="P665" s="3553"/>
      <c r="Q665" s="3509"/>
      <c r="R665" s="3509"/>
      <c r="S665" s="3509"/>
      <c r="T665" s="3509"/>
      <c r="U665" s="3509"/>
      <c r="V665" s="3509"/>
      <c r="W665" s="3509"/>
      <c r="X665" s="3509"/>
      <c r="Y665" s="3509"/>
      <c r="Z665" s="3509"/>
      <c r="AA665" s="3509"/>
      <c r="AB665" s="3509"/>
      <c r="AC665" s="3509"/>
    </row>
    <row r="666" spans="1:29">
      <c r="A666" s="3509"/>
      <c r="B666" s="3509"/>
      <c r="C666" s="3509"/>
      <c r="D666" s="3509"/>
      <c r="E666" s="3509"/>
      <c r="F666" s="3509"/>
      <c r="G666" s="3509"/>
      <c r="H666" s="3509"/>
      <c r="I666" s="3509"/>
      <c r="J666" s="3509"/>
      <c r="K666" s="3510"/>
      <c r="L666" s="3511"/>
      <c r="M666" s="3509"/>
      <c r="N666" s="3509"/>
      <c r="O666" s="3509"/>
      <c r="P666" s="3553"/>
      <c r="Q666" s="3509"/>
      <c r="R666" s="3509"/>
      <c r="S666" s="3509"/>
      <c r="T666" s="3509"/>
      <c r="U666" s="3509"/>
      <c r="V666" s="3509"/>
      <c r="W666" s="3509"/>
      <c r="X666" s="3509"/>
      <c r="Y666" s="3509"/>
      <c r="Z666" s="3509"/>
      <c r="AA666" s="3509"/>
      <c r="AB666" s="3509"/>
      <c r="AC666" s="3509"/>
    </row>
    <row r="667" spans="1:29">
      <c r="A667" s="3509"/>
      <c r="B667" s="3509"/>
      <c r="C667" s="3509"/>
      <c r="D667" s="3509"/>
      <c r="E667" s="3509"/>
      <c r="F667" s="3509"/>
      <c r="G667" s="3509"/>
      <c r="H667" s="3509"/>
      <c r="I667" s="3509"/>
      <c r="J667" s="3509"/>
      <c r="K667" s="3510"/>
      <c r="L667" s="3511"/>
      <c r="M667" s="3509"/>
      <c r="N667" s="3509"/>
      <c r="O667" s="3509"/>
      <c r="P667" s="3553"/>
      <c r="Q667" s="3509"/>
      <c r="R667" s="3509"/>
      <c r="S667" s="3509"/>
      <c r="T667" s="3509"/>
      <c r="U667" s="3509"/>
      <c r="V667" s="3509"/>
      <c r="W667" s="3509"/>
      <c r="X667" s="3509"/>
      <c r="Y667" s="3509"/>
      <c r="Z667" s="3509"/>
      <c r="AA667" s="3509"/>
      <c r="AB667" s="3509"/>
      <c r="AC667" s="3509"/>
    </row>
    <row r="668" spans="1:29">
      <c r="A668" s="3509"/>
      <c r="B668" s="3509"/>
      <c r="C668" s="3509"/>
      <c r="D668" s="3509"/>
      <c r="E668" s="3509"/>
      <c r="F668" s="3509"/>
      <c r="G668" s="3509"/>
      <c r="H668" s="3509"/>
      <c r="I668" s="3509"/>
      <c r="J668" s="3509"/>
      <c r="K668" s="3510"/>
      <c r="L668" s="3511"/>
      <c r="M668" s="3509"/>
      <c r="N668" s="3509"/>
      <c r="O668" s="3509"/>
      <c r="P668" s="3553"/>
      <c r="Q668" s="3509"/>
      <c r="R668" s="3509"/>
      <c r="S668" s="3509"/>
      <c r="T668" s="3509"/>
      <c r="U668" s="3509"/>
      <c r="V668" s="3509"/>
      <c r="W668" s="3509"/>
      <c r="X668" s="3509"/>
      <c r="Y668" s="3509"/>
      <c r="Z668" s="3509"/>
      <c r="AA668" s="3509"/>
      <c r="AB668" s="3509"/>
      <c r="AC668" s="3509"/>
    </row>
    <row r="669" spans="1:29">
      <c r="A669" s="3509"/>
      <c r="B669" s="3509"/>
      <c r="C669" s="3509"/>
      <c r="D669" s="3509"/>
      <c r="E669" s="3509"/>
      <c r="F669" s="3509"/>
      <c r="G669" s="3509"/>
      <c r="H669" s="3509"/>
      <c r="I669" s="3509"/>
      <c r="J669" s="3509"/>
      <c r="K669" s="3510"/>
      <c r="L669" s="3511"/>
      <c r="M669" s="3509"/>
      <c r="N669" s="3509"/>
      <c r="O669" s="3509"/>
      <c r="P669" s="3553"/>
      <c r="Q669" s="3509"/>
      <c r="R669" s="3509"/>
      <c r="S669" s="3509"/>
      <c r="T669" s="3509"/>
      <c r="U669" s="3509"/>
      <c r="V669" s="3509"/>
      <c r="W669" s="3509"/>
      <c r="X669" s="3509"/>
      <c r="Y669" s="3509"/>
      <c r="Z669" s="3509"/>
      <c r="AA669" s="3509"/>
      <c r="AB669" s="3509"/>
      <c r="AC669" s="3509"/>
    </row>
    <row r="670" spans="1:29">
      <c r="A670" s="3509"/>
      <c r="B670" s="3509"/>
      <c r="C670" s="3509"/>
      <c r="D670" s="3509"/>
      <c r="E670" s="3509"/>
      <c r="F670" s="3509"/>
      <c r="G670" s="3509"/>
      <c r="H670" s="3509"/>
      <c r="I670" s="3509"/>
      <c r="J670" s="3509"/>
      <c r="K670" s="3510"/>
      <c r="L670" s="3511"/>
      <c r="M670" s="3509"/>
      <c r="N670" s="3509"/>
      <c r="O670" s="3509"/>
      <c r="P670" s="3553"/>
      <c r="Q670" s="3509"/>
      <c r="R670" s="3509"/>
      <c r="S670" s="3509"/>
      <c r="T670" s="3509"/>
      <c r="U670" s="3509"/>
      <c r="V670" s="3509"/>
      <c r="W670" s="3509"/>
      <c r="X670" s="3509"/>
      <c r="Y670" s="3509"/>
      <c r="Z670" s="3509"/>
      <c r="AA670" s="3509"/>
      <c r="AB670" s="3509"/>
      <c r="AC670" s="3509"/>
    </row>
    <row r="671" spans="1:29">
      <c r="A671" s="3509"/>
      <c r="B671" s="3509"/>
      <c r="C671" s="3509"/>
      <c r="D671" s="3509"/>
      <c r="E671" s="3509"/>
      <c r="F671" s="3509"/>
      <c r="G671" s="3509"/>
      <c r="H671" s="3509"/>
      <c r="I671" s="3509"/>
      <c r="J671" s="3509"/>
      <c r="K671" s="3510"/>
      <c r="L671" s="3511"/>
      <c r="M671" s="3509"/>
      <c r="N671" s="3509"/>
      <c r="O671" s="3509"/>
      <c r="P671" s="3553"/>
      <c r="Q671" s="3509"/>
      <c r="R671" s="3509"/>
      <c r="S671" s="3509"/>
      <c r="T671" s="3509"/>
      <c r="U671" s="3509"/>
      <c r="V671" s="3509"/>
      <c r="W671" s="3509"/>
      <c r="X671" s="3509"/>
      <c r="Y671" s="3509"/>
      <c r="Z671" s="3509"/>
      <c r="AA671" s="3509"/>
      <c r="AB671" s="3509"/>
      <c r="AC671" s="3509"/>
    </row>
    <row r="672" spans="1:29">
      <c r="A672" s="3509"/>
      <c r="B672" s="3509"/>
      <c r="C672" s="3509"/>
      <c r="D672" s="3509"/>
      <c r="E672" s="3509"/>
      <c r="F672" s="3509"/>
      <c r="G672" s="3509"/>
      <c r="H672" s="3509"/>
      <c r="I672" s="3509"/>
      <c r="J672" s="3509"/>
      <c r="K672" s="3510"/>
      <c r="L672" s="3511"/>
      <c r="M672" s="3509"/>
      <c r="N672" s="3509"/>
      <c r="O672" s="3509"/>
      <c r="P672" s="3553"/>
      <c r="Q672" s="3509"/>
      <c r="R672" s="3509"/>
      <c r="S672" s="3509"/>
      <c r="T672" s="3509"/>
      <c r="U672" s="3509"/>
      <c r="V672" s="3509"/>
      <c r="W672" s="3509"/>
      <c r="X672" s="3509"/>
      <c r="Y672" s="3509"/>
      <c r="Z672" s="3509"/>
      <c r="AA672" s="3509"/>
      <c r="AB672" s="3509"/>
      <c r="AC672" s="3509"/>
    </row>
    <row r="673" spans="1:29">
      <c r="A673" s="3509"/>
      <c r="B673" s="3509"/>
      <c r="C673" s="3509"/>
      <c r="D673" s="3509"/>
      <c r="E673" s="3509"/>
      <c r="F673" s="3509"/>
      <c r="G673" s="3509"/>
      <c r="H673" s="3509"/>
      <c r="I673" s="3509"/>
      <c r="J673" s="3509"/>
      <c r="K673" s="3510"/>
      <c r="L673" s="3511"/>
      <c r="M673" s="3509"/>
      <c r="N673" s="3509"/>
      <c r="O673" s="3509"/>
      <c r="P673" s="3553"/>
      <c r="Q673" s="3509"/>
      <c r="R673" s="3509"/>
      <c r="S673" s="3509"/>
      <c r="T673" s="3509"/>
      <c r="U673" s="3509"/>
      <c r="V673" s="3509"/>
      <c r="W673" s="3509"/>
      <c r="X673" s="3509"/>
      <c r="Y673" s="3509"/>
      <c r="Z673" s="3509"/>
      <c r="AA673" s="3509"/>
      <c r="AB673" s="3509"/>
      <c r="AC673" s="3509"/>
    </row>
    <row r="674" spans="1:29">
      <c r="A674" s="3509"/>
      <c r="B674" s="3509"/>
      <c r="C674" s="3509"/>
      <c r="D674" s="3509"/>
      <c r="E674" s="3509"/>
      <c r="F674" s="3509"/>
      <c r="G674" s="3509"/>
      <c r="H674" s="3509"/>
      <c r="I674" s="3509"/>
      <c r="J674" s="3509"/>
      <c r="K674" s="3510"/>
      <c r="L674" s="3511"/>
      <c r="M674" s="3509"/>
      <c r="N674" s="3509"/>
      <c r="O674" s="3509"/>
      <c r="P674" s="3553"/>
      <c r="Q674" s="3509"/>
      <c r="R674" s="3509"/>
      <c r="S674" s="3509"/>
      <c r="T674" s="3509"/>
      <c r="U674" s="3509"/>
      <c r="V674" s="3509"/>
      <c r="W674" s="3509"/>
      <c r="X674" s="3509"/>
      <c r="Y674" s="3509"/>
      <c r="Z674" s="3509"/>
      <c r="AA674" s="3509"/>
      <c r="AB674" s="3509"/>
      <c r="AC674" s="3509"/>
    </row>
    <row r="675" spans="1:29">
      <c r="A675" s="3509"/>
      <c r="B675" s="3509"/>
      <c r="C675" s="3509"/>
      <c r="D675" s="3509"/>
      <c r="E675" s="3509"/>
      <c r="F675" s="3509"/>
      <c r="G675" s="3509"/>
      <c r="H675" s="3509"/>
      <c r="I675" s="3509"/>
      <c r="J675" s="3509"/>
      <c r="K675" s="3510"/>
      <c r="L675" s="3511"/>
      <c r="M675" s="3509"/>
      <c r="N675" s="3509"/>
      <c r="O675" s="3509"/>
      <c r="P675" s="3553"/>
      <c r="Q675" s="3509"/>
      <c r="R675" s="3509"/>
      <c r="S675" s="3509"/>
      <c r="T675" s="3509"/>
      <c r="U675" s="3509"/>
      <c r="V675" s="3509"/>
      <c r="W675" s="3509"/>
      <c r="X675" s="3509"/>
      <c r="Y675" s="3509"/>
      <c r="Z675" s="3509"/>
      <c r="AA675" s="3509"/>
      <c r="AB675" s="3509"/>
      <c r="AC675" s="3509"/>
    </row>
    <row r="676" spans="1:29">
      <c r="A676" s="3509"/>
      <c r="B676" s="3509"/>
      <c r="C676" s="3509"/>
      <c r="D676" s="3509"/>
      <c r="E676" s="3509"/>
      <c r="F676" s="3509"/>
      <c r="G676" s="3509"/>
      <c r="H676" s="3509"/>
      <c r="I676" s="3509"/>
      <c r="J676" s="3509"/>
      <c r="K676" s="3510"/>
      <c r="L676" s="3511"/>
      <c r="M676" s="3509"/>
      <c r="N676" s="3509"/>
      <c r="O676" s="3509"/>
      <c r="P676" s="3553"/>
      <c r="Q676" s="3509"/>
      <c r="R676" s="3509"/>
      <c r="S676" s="3509"/>
      <c r="T676" s="3509"/>
      <c r="U676" s="3509"/>
      <c r="V676" s="3509"/>
      <c r="W676" s="3509"/>
      <c r="X676" s="3509"/>
      <c r="Y676" s="3509"/>
      <c r="Z676" s="3509"/>
      <c r="AA676" s="3509"/>
      <c r="AB676" s="3509"/>
      <c r="AC676" s="3509"/>
    </row>
    <row r="677" spans="1:29">
      <c r="A677" s="3509"/>
      <c r="B677" s="3509"/>
      <c r="C677" s="3509"/>
      <c r="D677" s="3509"/>
      <c r="E677" s="3509"/>
      <c r="F677" s="3509"/>
      <c r="G677" s="3509"/>
      <c r="H677" s="3509"/>
      <c r="I677" s="3509"/>
      <c r="J677" s="3509"/>
      <c r="K677" s="3510"/>
      <c r="L677" s="3511"/>
      <c r="M677" s="3509"/>
      <c r="N677" s="3509"/>
      <c r="O677" s="3509"/>
      <c r="P677" s="3553"/>
      <c r="Q677" s="3509"/>
      <c r="R677" s="3509"/>
      <c r="S677" s="3509"/>
      <c r="T677" s="3509"/>
      <c r="U677" s="3509"/>
      <c r="V677" s="3509"/>
      <c r="W677" s="3509"/>
      <c r="X677" s="3509"/>
      <c r="Y677" s="3509"/>
      <c r="Z677" s="3509"/>
      <c r="AA677" s="3509"/>
      <c r="AB677" s="3509"/>
      <c r="AC677" s="3509"/>
    </row>
    <row r="678" spans="1:29">
      <c r="A678" s="3509"/>
      <c r="B678" s="3509"/>
      <c r="C678" s="3509"/>
      <c r="D678" s="3509"/>
      <c r="E678" s="3509"/>
      <c r="F678" s="3509"/>
      <c r="G678" s="3509"/>
      <c r="H678" s="3509"/>
      <c r="I678" s="3509"/>
      <c r="J678" s="3509"/>
      <c r="K678" s="3510"/>
      <c r="L678" s="3511"/>
      <c r="M678" s="3509"/>
      <c r="N678" s="3509"/>
      <c r="O678" s="3509"/>
      <c r="P678" s="3553"/>
      <c r="Q678" s="3509"/>
      <c r="R678" s="3509"/>
      <c r="S678" s="3509"/>
      <c r="T678" s="3509"/>
      <c r="U678" s="3509"/>
      <c r="V678" s="3509"/>
      <c r="W678" s="3509"/>
      <c r="X678" s="3509"/>
      <c r="Y678" s="3509"/>
      <c r="Z678" s="3509"/>
      <c r="AA678" s="3509"/>
      <c r="AB678" s="3509"/>
      <c r="AC678" s="3509"/>
    </row>
    <row r="679" spans="1:29">
      <c r="A679" s="3509"/>
      <c r="B679" s="3509"/>
      <c r="C679" s="3509"/>
      <c r="D679" s="3509"/>
      <c r="E679" s="3509"/>
      <c r="F679" s="3509"/>
      <c r="G679" s="3509"/>
      <c r="H679" s="3509"/>
      <c r="I679" s="3509"/>
      <c r="J679" s="3509"/>
      <c r="K679" s="3510"/>
      <c r="L679" s="3511"/>
      <c r="M679" s="3509"/>
      <c r="N679" s="3509"/>
      <c r="O679" s="3509"/>
      <c r="P679" s="3553"/>
      <c r="Q679" s="3509"/>
      <c r="R679" s="3509"/>
      <c r="S679" s="3509"/>
      <c r="T679" s="3509"/>
      <c r="U679" s="3509"/>
      <c r="V679" s="3509"/>
      <c r="W679" s="3509"/>
      <c r="X679" s="3509"/>
      <c r="Y679" s="3509"/>
      <c r="Z679" s="3509"/>
      <c r="AA679" s="3509"/>
      <c r="AB679" s="3509"/>
      <c r="AC679" s="3509"/>
    </row>
    <row r="680" spans="1:29">
      <c r="A680" s="3509"/>
      <c r="B680" s="3509"/>
      <c r="C680" s="3509"/>
      <c r="D680" s="3509"/>
      <c r="E680" s="3509"/>
      <c r="F680" s="3509"/>
      <c r="G680" s="3509"/>
      <c r="H680" s="3509"/>
      <c r="I680" s="3509"/>
      <c r="J680" s="3509"/>
      <c r="K680" s="3510"/>
      <c r="L680" s="3511"/>
      <c r="M680" s="3509"/>
      <c r="N680" s="3509"/>
      <c r="O680" s="3509"/>
      <c r="P680" s="3553"/>
      <c r="Q680" s="3509"/>
      <c r="R680" s="3509"/>
      <c r="S680" s="3509"/>
      <c r="T680" s="3509"/>
      <c r="U680" s="3509"/>
      <c r="V680" s="3509"/>
      <c r="W680" s="3509"/>
      <c r="X680" s="3509"/>
      <c r="Y680" s="3509"/>
      <c r="Z680" s="3509"/>
      <c r="AA680" s="3509"/>
      <c r="AB680" s="3509"/>
      <c r="AC680" s="3509"/>
    </row>
    <row r="681" spans="1:29">
      <c r="A681" s="3509"/>
      <c r="B681" s="3509"/>
      <c r="C681" s="3509"/>
      <c r="D681" s="3509"/>
      <c r="E681" s="3509"/>
      <c r="F681" s="3509"/>
      <c r="G681" s="3509"/>
      <c r="H681" s="3509"/>
      <c r="I681" s="3509"/>
      <c r="J681" s="3509"/>
      <c r="K681" s="3510"/>
      <c r="L681" s="3511"/>
      <c r="M681" s="3509"/>
      <c r="N681" s="3509"/>
      <c r="O681" s="3509"/>
      <c r="P681" s="3553"/>
      <c r="Q681" s="3509"/>
      <c r="R681" s="3509"/>
      <c r="S681" s="3509"/>
      <c r="T681" s="3509"/>
      <c r="U681" s="3509"/>
      <c r="V681" s="3509"/>
      <c r="W681" s="3509"/>
      <c r="X681" s="3509"/>
      <c r="Y681" s="3509"/>
      <c r="Z681" s="3509"/>
      <c r="AA681" s="3509"/>
      <c r="AB681" s="3509"/>
      <c r="AC681" s="3509"/>
    </row>
    <row r="682" spans="1:29">
      <c r="A682" s="3509"/>
      <c r="B682" s="3509"/>
      <c r="C682" s="3509"/>
      <c r="D682" s="3509"/>
      <c r="E682" s="3509"/>
      <c r="F682" s="3509"/>
      <c r="G682" s="3509"/>
      <c r="H682" s="3509"/>
      <c r="I682" s="3509"/>
      <c r="J682" s="3509"/>
      <c r="K682" s="3510"/>
      <c r="L682" s="3511"/>
      <c r="M682" s="3509"/>
      <c r="N682" s="3509"/>
      <c r="O682" s="3509"/>
      <c r="P682" s="3553"/>
      <c r="Q682" s="3509"/>
      <c r="R682" s="3509"/>
      <c r="S682" s="3509"/>
      <c r="T682" s="3509"/>
      <c r="U682" s="3509"/>
      <c r="V682" s="3509"/>
      <c r="W682" s="3509"/>
      <c r="X682" s="3509"/>
      <c r="Y682" s="3509"/>
      <c r="Z682" s="3509"/>
      <c r="AA682" s="3509"/>
      <c r="AB682" s="3509"/>
      <c r="AC682" s="3509"/>
    </row>
    <row r="683" spans="1:29">
      <c r="A683" s="3509"/>
      <c r="B683" s="3509"/>
      <c r="C683" s="3509"/>
      <c r="D683" s="3509"/>
      <c r="E683" s="3509"/>
      <c r="F683" s="3509"/>
      <c r="G683" s="3509"/>
      <c r="H683" s="3509"/>
      <c r="I683" s="3509"/>
      <c r="J683" s="3509"/>
      <c r="K683" s="3510"/>
      <c r="L683" s="3511"/>
      <c r="M683" s="3509"/>
      <c r="N683" s="3509"/>
      <c r="O683" s="3509"/>
      <c r="P683" s="3553"/>
      <c r="Q683" s="3509"/>
      <c r="R683" s="3509"/>
      <c r="S683" s="3509"/>
      <c r="T683" s="3509"/>
      <c r="U683" s="3509"/>
      <c r="V683" s="3509"/>
      <c r="W683" s="3509"/>
      <c r="X683" s="3509"/>
      <c r="Y683" s="3509"/>
      <c r="Z683" s="3509"/>
      <c r="AA683" s="3509"/>
      <c r="AB683" s="3509"/>
      <c r="AC683" s="3509"/>
    </row>
    <row r="684" spans="1:29">
      <c r="A684" s="3509"/>
      <c r="B684" s="3509"/>
      <c r="C684" s="3509"/>
      <c r="D684" s="3509"/>
      <c r="E684" s="3509"/>
      <c r="F684" s="3509"/>
      <c r="G684" s="3509"/>
      <c r="H684" s="3509"/>
      <c r="I684" s="3509"/>
      <c r="J684" s="3509"/>
      <c r="K684" s="3510"/>
      <c r="L684" s="3511"/>
      <c r="M684" s="3509"/>
      <c r="N684" s="3509"/>
      <c r="O684" s="3509"/>
      <c r="P684" s="3553"/>
      <c r="Q684" s="3509"/>
      <c r="R684" s="3509"/>
      <c r="S684" s="3509"/>
      <c r="T684" s="3509"/>
      <c r="U684" s="3509"/>
      <c r="V684" s="3509"/>
      <c r="W684" s="3509"/>
      <c r="X684" s="3509"/>
      <c r="Y684" s="3509"/>
      <c r="Z684" s="3509"/>
      <c r="AA684" s="3509"/>
      <c r="AB684" s="3509"/>
      <c r="AC684" s="3509"/>
    </row>
    <row r="685" spans="1:29">
      <c r="A685" s="3509"/>
      <c r="B685" s="3509"/>
      <c r="C685" s="3509"/>
      <c r="D685" s="3509"/>
      <c r="E685" s="3509"/>
      <c r="F685" s="3509"/>
      <c r="G685" s="3509"/>
      <c r="H685" s="3509"/>
      <c r="I685" s="3509"/>
      <c r="J685" s="3509"/>
      <c r="K685" s="3510"/>
      <c r="L685" s="3511"/>
      <c r="M685" s="3509"/>
      <c r="N685" s="3509"/>
      <c r="O685" s="3509"/>
      <c r="P685" s="3553"/>
      <c r="Q685" s="3509"/>
      <c r="R685" s="3509"/>
      <c r="S685" s="3509"/>
      <c r="T685" s="3509"/>
      <c r="U685" s="3509"/>
      <c r="V685" s="3509"/>
      <c r="W685" s="3509"/>
      <c r="X685" s="3509"/>
      <c r="Y685" s="3509"/>
      <c r="Z685" s="3509"/>
      <c r="AA685" s="3509"/>
      <c r="AB685" s="3509"/>
      <c r="AC685" s="3509"/>
    </row>
    <row r="686" spans="1:29">
      <c r="A686" s="3509"/>
      <c r="B686" s="3509"/>
      <c r="C686" s="3509"/>
      <c r="D686" s="3509"/>
      <c r="E686" s="3509"/>
      <c r="F686" s="3509"/>
      <c r="G686" s="3509"/>
      <c r="H686" s="3509"/>
      <c r="I686" s="3509"/>
      <c r="J686" s="3509"/>
      <c r="K686" s="3510"/>
      <c r="L686" s="3511"/>
      <c r="M686" s="3509"/>
      <c r="N686" s="3509"/>
      <c r="O686" s="3509"/>
      <c r="P686" s="3553"/>
      <c r="Q686" s="3509"/>
      <c r="R686" s="3509"/>
      <c r="S686" s="3509"/>
      <c r="T686" s="3509"/>
      <c r="U686" s="3509"/>
      <c r="V686" s="3509"/>
      <c r="W686" s="3509"/>
      <c r="X686" s="3509"/>
      <c r="Y686" s="3509"/>
      <c r="Z686" s="3509"/>
      <c r="AA686" s="3509"/>
      <c r="AB686" s="3509"/>
      <c r="AC686" s="3509"/>
    </row>
    <row r="687" spans="1:29">
      <c r="A687" s="3509"/>
      <c r="B687" s="3509"/>
      <c r="C687" s="3509"/>
      <c r="D687" s="3509"/>
      <c r="E687" s="3509"/>
      <c r="F687" s="3509"/>
      <c r="G687" s="3509"/>
      <c r="H687" s="3509"/>
      <c r="I687" s="3509"/>
      <c r="J687" s="3509"/>
      <c r="K687" s="3510"/>
      <c r="L687" s="3511"/>
      <c r="M687" s="3509"/>
      <c r="N687" s="3509"/>
      <c r="O687" s="3509"/>
      <c r="P687" s="3553"/>
      <c r="Q687" s="3509"/>
      <c r="R687" s="3509"/>
      <c r="S687" s="3509"/>
      <c r="T687" s="3509"/>
      <c r="U687" s="3509"/>
      <c r="V687" s="3509"/>
      <c r="W687" s="3509"/>
      <c r="X687" s="3509"/>
      <c r="Y687" s="3509"/>
      <c r="Z687" s="3509"/>
      <c r="AA687" s="3509"/>
      <c r="AB687" s="3509"/>
      <c r="AC687" s="3509"/>
    </row>
    <row r="688" spans="1:29">
      <c r="A688" s="3509"/>
      <c r="B688" s="3509"/>
      <c r="C688" s="3509"/>
      <c r="D688" s="3509"/>
      <c r="E688" s="3509"/>
      <c r="F688" s="3509"/>
      <c r="G688" s="3509"/>
      <c r="H688" s="3509"/>
      <c r="I688" s="3509"/>
      <c r="J688" s="3509"/>
      <c r="K688" s="3510"/>
      <c r="L688" s="3511"/>
      <c r="M688" s="3509"/>
      <c r="N688" s="3509"/>
      <c r="O688" s="3509"/>
      <c r="P688" s="3553"/>
      <c r="Q688" s="3509"/>
      <c r="R688" s="3509"/>
      <c r="S688" s="3509"/>
      <c r="T688" s="3509"/>
      <c r="U688" s="3509"/>
      <c r="V688" s="3509"/>
      <c r="W688" s="3509"/>
      <c r="X688" s="3509"/>
      <c r="Y688" s="3509"/>
      <c r="Z688" s="3509"/>
      <c r="AA688" s="3509"/>
      <c r="AB688" s="3509"/>
      <c r="AC688" s="3509"/>
    </row>
    <row r="689" spans="1:29">
      <c r="A689" s="3509"/>
      <c r="B689" s="3509"/>
      <c r="C689" s="3509"/>
      <c r="D689" s="3509"/>
      <c r="E689" s="3509"/>
      <c r="F689" s="3509"/>
      <c r="G689" s="3509"/>
      <c r="H689" s="3509"/>
      <c r="I689" s="3509"/>
      <c r="J689" s="3509"/>
      <c r="K689" s="3510"/>
      <c r="L689" s="3511"/>
      <c r="M689" s="3509"/>
      <c r="N689" s="3509"/>
      <c r="O689" s="3509"/>
      <c r="P689" s="3553"/>
      <c r="Q689" s="3509"/>
      <c r="R689" s="3509"/>
      <c r="S689" s="3509"/>
      <c r="T689" s="3509"/>
      <c r="U689" s="3509"/>
      <c r="V689" s="3509"/>
      <c r="W689" s="3509"/>
      <c r="X689" s="3509"/>
      <c r="Y689" s="3509"/>
      <c r="Z689" s="3509"/>
      <c r="AA689" s="3509"/>
      <c r="AB689" s="3509"/>
      <c r="AC689" s="3509"/>
    </row>
    <row r="690" spans="1:29">
      <c r="A690" s="3509"/>
      <c r="B690" s="3509"/>
      <c r="C690" s="3509"/>
      <c r="D690" s="3509"/>
      <c r="E690" s="3509"/>
      <c r="F690" s="3509"/>
      <c r="G690" s="3509"/>
      <c r="H690" s="3509"/>
      <c r="I690" s="3509"/>
      <c r="J690" s="3509"/>
      <c r="K690" s="3510"/>
      <c r="L690" s="3511"/>
      <c r="M690" s="3509"/>
      <c r="N690" s="3509"/>
      <c r="O690" s="3509"/>
      <c r="P690" s="3553"/>
      <c r="Q690" s="3509"/>
      <c r="R690" s="3509"/>
      <c r="S690" s="3509"/>
      <c r="T690" s="3509"/>
      <c r="U690" s="3509"/>
      <c r="V690" s="3509"/>
      <c r="W690" s="3509"/>
      <c r="X690" s="3509"/>
      <c r="Y690" s="3509"/>
      <c r="Z690" s="3509"/>
      <c r="AA690" s="3509"/>
      <c r="AB690" s="3509"/>
      <c r="AC690" s="3509"/>
    </row>
    <row r="691" spans="1:29">
      <c r="A691" s="3509"/>
      <c r="B691" s="3509"/>
      <c r="C691" s="3509"/>
      <c r="D691" s="3509"/>
      <c r="E691" s="3509"/>
      <c r="F691" s="3509"/>
      <c r="G691" s="3509"/>
      <c r="H691" s="3509"/>
      <c r="I691" s="3509"/>
      <c r="J691" s="3509"/>
      <c r="K691" s="3510"/>
      <c r="L691" s="3511"/>
      <c r="M691" s="3509"/>
      <c r="N691" s="3509"/>
      <c r="O691" s="3509"/>
      <c r="P691" s="3553"/>
      <c r="Q691" s="3509"/>
      <c r="R691" s="3509"/>
      <c r="S691" s="3509"/>
      <c r="T691" s="3509"/>
      <c r="U691" s="3509"/>
      <c r="V691" s="3509"/>
      <c r="W691" s="3509"/>
      <c r="X691" s="3509"/>
      <c r="Y691" s="3509"/>
      <c r="Z691" s="3509"/>
      <c r="AA691" s="3509"/>
      <c r="AB691" s="3509"/>
      <c r="AC691" s="3509"/>
    </row>
    <row r="692" spans="1:29">
      <c r="A692" s="3509"/>
      <c r="B692" s="3509"/>
      <c r="C692" s="3509"/>
      <c r="D692" s="3509"/>
      <c r="E692" s="3509"/>
      <c r="F692" s="3509"/>
      <c r="G692" s="3509"/>
      <c r="H692" s="3509"/>
      <c r="I692" s="3509"/>
      <c r="J692" s="3509"/>
      <c r="K692" s="3510"/>
      <c r="L692" s="3511"/>
      <c r="M692" s="3509"/>
      <c r="N692" s="3509"/>
      <c r="O692" s="3509"/>
      <c r="P692" s="3553"/>
      <c r="Q692" s="3509"/>
      <c r="R692" s="3509"/>
      <c r="S692" s="3509"/>
      <c r="T692" s="3509"/>
      <c r="U692" s="3509"/>
      <c r="V692" s="3509"/>
      <c r="W692" s="3509"/>
      <c r="X692" s="3509"/>
      <c r="Y692" s="3509"/>
      <c r="Z692" s="3509"/>
      <c r="AA692" s="3509"/>
      <c r="AB692" s="3509"/>
      <c r="AC692" s="3509"/>
    </row>
    <row r="693" spans="1:29">
      <c r="A693" s="3509"/>
      <c r="B693" s="3509"/>
      <c r="C693" s="3509"/>
      <c r="D693" s="3509"/>
      <c r="E693" s="3509"/>
      <c r="F693" s="3509"/>
      <c r="G693" s="3509"/>
      <c r="H693" s="3509"/>
      <c r="I693" s="3509"/>
      <c r="J693" s="3509"/>
      <c r="K693" s="3510"/>
      <c r="L693" s="3511"/>
      <c r="M693" s="3509"/>
      <c r="N693" s="3509"/>
      <c r="O693" s="3509"/>
      <c r="P693" s="3553"/>
      <c r="Q693" s="3509"/>
      <c r="R693" s="3509"/>
      <c r="S693" s="3509"/>
      <c r="T693" s="3509"/>
      <c r="U693" s="3509"/>
      <c r="V693" s="3509"/>
      <c r="W693" s="3509"/>
      <c r="X693" s="3509"/>
      <c r="Y693" s="3509"/>
      <c r="Z693" s="3509"/>
      <c r="AA693" s="3509"/>
      <c r="AB693" s="3509"/>
      <c r="AC693" s="3509"/>
    </row>
    <row r="694" spans="1:29">
      <c r="A694" s="3509"/>
      <c r="B694" s="3509"/>
      <c r="C694" s="3509"/>
      <c r="D694" s="3509"/>
      <c r="E694" s="3509"/>
      <c r="F694" s="3509"/>
      <c r="G694" s="3509"/>
      <c r="H694" s="3509"/>
      <c r="I694" s="3509"/>
      <c r="J694" s="3509"/>
      <c r="K694" s="3510"/>
      <c r="L694" s="3511"/>
      <c r="M694" s="3509"/>
      <c r="N694" s="3509"/>
      <c r="O694" s="3509"/>
      <c r="P694" s="3553"/>
      <c r="Q694" s="3509"/>
      <c r="R694" s="3509"/>
      <c r="S694" s="3509"/>
      <c r="T694" s="3509"/>
      <c r="U694" s="3509"/>
      <c r="V694" s="3509"/>
      <c r="W694" s="3509"/>
      <c r="X694" s="3509"/>
      <c r="Y694" s="3509"/>
      <c r="Z694" s="3509"/>
      <c r="AA694" s="3509"/>
      <c r="AB694" s="3509"/>
      <c r="AC694" s="3509"/>
    </row>
    <row r="695" spans="1:29">
      <c r="A695" s="3509"/>
      <c r="B695" s="3509"/>
      <c r="C695" s="3509"/>
      <c r="D695" s="3509"/>
      <c r="E695" s="3509"/>
      <c r="F695" s="3509"/>
      <c r="G695" s="3509"/>
      <c r="H695" s="3509"/>
      <c r="I695" s="3509"/>
      <c r="J695" s="3509"/>
      <c r="K695" s="3510"/>
      <c r="L695" s="3511"/>
      <c r="M695" s="3509"/>
      <c r="N695" s="3509"/>
      <c r="O695" s="3509"/>
      <c r="P695" s="3553"/>
      <c r="Q695" s="3509"/>
      <c r="R695" s="3509"/>
      <c r="S695" s="3509"/>
      <c r="T695" s="3509"/>
      <c r="U695" s="3509"/>
      <c r="V695" s="3509"/>
      <c r="W695" s="3509"/>
      <c r="X695" s="3509"/>
      <c r="Y695" s="3509"/>
      <c r="Z695" s="3509"/>
      <c r="AA695" s="3509"/>
      <c r="AB695" s="3509"/>
      <c r="AC695" s="3509"/>
    </row>
    <row r="696" spans="1:29">
      <c r="A696" s="3509"/>
      <c r="B696" s="3509"/>
      <c r="C696" s="3509"/>
      <c r="D696" s="3509"/>
      <c r="E696" s="3509"/>
      <c r="F696" s="3509"/>
      <c r="G696" s="3509"/>
      <c r="H696" s="3509"/>
      <c r="I696" s="3509"/>
      <c r="J696" s="3509"/>
      <c r="K696" s="3510"/>
      <c r="L696" s="3511"/>
      <c r="M696" s="3509"/>
      <c r="N696" s="3509"/>
      <c r="O696" s="3509"/>
      <c r="P696" s="3553"/>
      <c r="Q696" s="3509"/>
      <c r="R696" s="3509"/>
      <c r="S696" s="3509"/>
      <c r="T696" s="3509"/>
      <c r="U696" s="3509"/>
      <c r="V696" s="3509"/>
      <c r="W696" s="3509"/>
      <c r="X696" s="3509"/>
      <c r="Y696" s="3509"/>
      <c r="Z696" s="3509"/>
      <c r="AA696" s="3509"/>
      <c r="AB696" s="3509"/>
      <c r="AC696" s="3509"/>
    </row>
    <row r="697" spans="1:29">
      <c r="A697" s="3509"/>
      <c r="B697" s="3509"/>
      <c r="C697" s="3509"/>
      <c r="D697" s="3509"/>
      <c r="E697" s="3509"/>
      <c r="F697" s="3509"/>
      <c r="G697" s="3509"/>
      <c r="H697" s="3509"/>
      <c r="I697" s="3509"/>
      <c r="J697" s="3509"/>
      <c r="K697" s="3510"/>
      <c r="L697" s="3511"/>
      <c r="M697" s="3509"/>
      <c r="N697" s="3509"/>
      <c r="O697" s="3509"/>
      <c r="P697" s="3553"/>
      <c r="Q697" s="3509"/>
      <c r="R697" s="3509"/>
      <c r="S697" s="3509"/>
      <c r="T697" s="3509"/>
      <c r="U697" s="3509"/>
      <c r="V697" s="3509"/>
      <c r="W697" s="3509"/>
      <c r="X697" s="3509"/>
      <c r="Y697" s="3509"/>
      <c r="Z697" s="3509"/>
      <c r="AA697" s="3509"/>
      <c r="AB697" s="3509"/>
      <c r="AC697" s="3509"/>
    </row>
    <row r="698" spans="1:29">
      <c r="A698" s="3509"/>
      <c r="B698" s="3509"/>
      <c r="C698" s="3509"/>
      <c r="D698" s="3509"/>
      <c r="E698" s="3509"/>
      <c r="F698" s="3509"/>
      <c r="G698" s="3509"/>
      <c r="H698" s="3509"/>
      <c r="I698" s="3509"/>
      <c r="J698" s="3509"/>
      <c r="K698" s="3510"/>
      <c r="L698" s="3511"/>
      <c r="M698" s="3509"/>
      <c r="N698" s="3509"/>
      <c r="O698" s="3509"/>
      <c r="P698" s="3553"/>
      <c r="Q698" s="3509"/>
      <c r="R698" s="3509"/>
      <c r="S698" s="3509"/>
      <c r="T698" s="3509"/>
      <c r="U698" s="3509"/>
      <c r="V698" s="3509"/>
      <c r="W698" s="3509"/>
      <c r="X698" s="3509"/>
      <c r="Y698" s="3509"/>
      <c r="Z698" s="3509"/>
      <c r="AA698" s="3509"/>
      <c r="AB698" s="3509"/>
      <c r="AC698" s="3509"/>
    </row>
    <row r="699" spans="1:29">
      <c r="A699" s="3509"/>
      <c r="B699" s="3509"/>
      <c r="C699" s="3509"/>
      <c r="D699" s="3509"/>
      <c r="E699" s="3509"/>
      <c r="F699" s="3509"/>
      <c r="G699" s="3509"/>
      <c r="H699" s="3509"/>
      <c r="I699" s="3509"/>
      <c r="J699" s="3509"/>
      <c r="K699" s="3510"/>
      <c r="L699" s="3511"/>
      <c r="M699" s="3509"/>
      <c r="N699" s="3509"/>
      <c r="O699" s="3509"/>
      <c r="P699" s="3553"/>
      <c r="Q699" s="3509"/>
      <c r="R699" s="3509"/>
      <c r="S699" s="3509"/>
      <c r="T699" s="3509"/>
      <c r="U699" s="3509"/>
      <c r="V699" s="3509"/>
      <c r="W699" s="3509"/>
      <c r="X699" s="3509"/>
      <c r="Y699" s="3509"/>
      <c r="Z699" s="3509"/>
      <c r="AA699" s="3509"/>
      <c r="AB699" s="3509"/>
      <c r="AC699" s="3509"/>
    </row>
    <row r="700" spans="1:29">
      <c r="A700" s="3509"/>
      <c r="B700" s="3509"/>
      <c r="C700" s="3509"/>
      <c r="D700" s="3509"/>
      <c r="E700" s="3509"/>
      <c r="F700" s="3509"/>
      <c r="G700" s="3509"/>
      <c r="H700" s="3509"/>
      <c r="I700" s="3509"/>
      <c r="J700" s="3509"/>
      <c r="K700" s="3510"/>
      <c r="L700" s="3511"/>
      <c r="M700" s="3509"/>
      <c r="N700" s="3509"/>
      <c r="O700" s="3509"/>
      <c r="P700" s="3553"/>
      <c r="Q700" s="3509"/>
      <c r="R700" s="3509"/>
      <c r="S700" s="3509"/>
      <c r="T700" s="3509"/>
      <c r="U700" s="3509"/>
      <c r="V700" s="3509"/>
      <c r="W700" s="3509"/>
      <c r="X700" s="3509"/>
      <c r="Y700" s="3509"/>
      <c r="Z700" s="3509"/>
      <c r="AA700" s="3509"/>
      <c r="AB700" s="3509"/>
      <c r="AC700" s="3509"/>
    </row>
    <row r="701" spans="1:29">
      <c r="A701" s="3509"/>
      <c r="B701" s="3509"/>
      <c r="C701" s="3509"/>
      <c r="D701" s="3509"/>
      <c r="E701" s="3509"/>
      <c r="F701" s="3509"/>
      <c r="G701" s="3509"/>
      <c r="H701" s="3509"/>
      <c r="I701" s="3509"/>
      <c r="J701" s="3509"/>
      <c r="K701" s="3510"/>
      <c r="L701" s="3511"/>
      <c r="M701" s="3509"/>
      <c r="N701" s="3509"/>
      <c r="O701" s="3509"/>
      <c r="P701" s="3553"/>
      <c r="Q701" s="3509"/>
      <c r="R701" s="3509"/>
      <c r="S701" s="3509"/>
      <c r="T701" s="3509"/>
      <c r="U701" s="3509"/>
      <c r="V701" s="3509"/>
      <c r="W701" s="3509"/>
      <c r="X701" s="3509"/>
      <c r="Y701" s="3509"/>
      <c r="Z701" s="3509"/>
      <c r="AA701" s="3509"/>
      <c r="AB701" s="3509"/>
      <c r="AC701" s="3509"/>
    </row>
    <row r="702" spans="1:29">
      <c r="A702" s="3509"/>
      <c r="B702" s="3509"/>
      <c r="C702" s="3509"/>
      <c r="D702" s="3509"/>
      <c r="E702" s="3509"/>
      <c r="F702" s="3509"/>
      <c r="G702" s="3509"/>
      <c r="H702" s="3509"/>
      <c r="I702" s="3509"/>
      <c r="J702" s="3509"/>
      <c r="K702" s="3510"/>
      <c r="L702" s="3511"/>
      <c r="M702" s="3509"/>
      <c r="N702" s="3509"/>
      <c r="O702" s="3509"/>
      <c r="P702" s="3553"/>
      <c r="Q702" s="3509"/>
      <c r="R702" s="3509"/>
      <c r="S702" s="3509"/>
      <c r="T702" s="3509"/>
      <c r="U702" s="3509"/>
      <c r="V702" s="3509"/>
      <c r="W702" s="3509"/>
      <c r="X702" s="3509"/>
      <c r="Y702" s="3509"/>
      <c r="Z702" s="3509"/>
      <c r="AA702" s="3509"/>
      <c r="AB702" s="3509"/>
      <c r="AC702" s="3509"/>
    </row>
    <row r="703" spans="1:29">
      <c r="A703" s="3509"/>
      <c r="B703" s="3509"/>
      <c r="C703" s="3509"/>
      <c r="D703" s="3509"/>
      <c r="E703" s="3509"/>
      <c r="F703" s="3509"/>
      <c r="G703" s="3509"/>
      <c r="H703" s="3509"/>
      <c r="I703" s="3509"/>
      <c r="J703" s="3509"/>
      <c r="K703" s="3510"/>
      <c r="L703" s="3511"/>
      <c r="M703" s="3509"/>
      <c r="N703" s="3509"/>
      <c r="O703" s="3509"/>
      <c r="P703" s="3553"/>
      <c r="Q703" s="3509"/>
      <c r="R703" s="3509"/>
      <c r="S703" s="3509"/>
      <c r="T703" s="3509"/>
      <c r="U703" s="3509"/>
      <c r="V703" s="3509"/>
      <c r="W703" s="3509"/>
      <c r="X703" s="3509"/>
      <c r="Y703" s="3509"/>
      <c r="Z703" s="3509"/>
      <c r="AA703" s="3509"/>
      <c r="AB703" s="3509"/>
      <c r="AC703" s="3509"/>
    </row>
    <row r="704" spans="1:29">
      <c r="A704" s="3509"/>
      <c r="B704" s="3509"/>
      <c r="C704" s="3509"/>
      <c r="D704" s="3509"/>
      <c r="E704" s="3509"/>
      <c r="F704" s="3509"/>
      <c r="G704" s="3509"/>
      <c r="H704" s="3509"/>
      <c r="I704" s="3509"/>
      <c r="J704" s="3509"/>
      <c r="K704" s="3510"/>
      <c r="L704" s="3511"/>
      <c r="M704" s="3509"/>
      <c r="N704" s="3509"/>
      <c r="O704" s="3509"/>
      <c r="P704" s="3553"/>
      <c r="Q704" s="3509"/>
      <c r="R704" s="3509"/>
      <c r="S704" s="3509"/>
      <c r="T704" s="3509"/>
      <c r="U704" s="3509"/>
      <c r="V704" s="3509"/>
      <c r="W704" s="3509"/>
      <c r="X704" s="3509"/>
      <c r="Y704" s="3509"/>
      <c r="Z704" s="3509"/>
      <c r="AA704" s="3509"/>
      <c r="AB704" s="3509"/>
      <c r="AC704" s="3509"/>
    </row>
    <row r="705" spans="1:29">
      <c r="A705" s="3509"/>
      <c r="B705" s="3509"/>
      <c r="C705" s="3509"/>
      <c r="D705" s="3509"/>
      <c r="E705" s="3509"/>
      <c r="F705" s="3509"/>
      <c r="G705" s="3509"/>
      <c r="H705" s="3509"/>
      <c r="I705" s="3509"/>
      <c r="J705" s="3509"/>
      <c r="K705" s="3510"/>
      <c r="L705" s="3511"/>
      <c r="M705" s="3509"/>
      <c r="N705" s="3509"/>
      <c r="O705" s="3509"/>
      <c r="P705" s="3553"/>
      <c r="Q705" s="3509"/>
      <c r="R705" s="3509"/>
      <c r="S705" s="3509"/>
      <c r="T705" s="3509"/>
      <c r="U705" s="3509"/>
      <c r="V705" s="3509"/>
      <c r="W705" s="3509"/>
      <c r="X705" s="3509"/>
      <c r="Y705" s="3509"/>
      <c r="Z705" s="3509"/>
      <c r="AA705" s="3509"/>
      <c r="AB705" s="3509"/>
      <c r="AC705" s="3509"/>
    </row>
    <row r="706" spans="1:29">
      <c r="A706" s="3509"/>
      <c r="B706" s="3509"/>
      <c r="C706" s="3509"/>
      <c r="D706" s="3509"/>
      <c r="E706" s="3509"/>
      <c r="F706" s="3509"/>
      <c r="G706" s="3509"/>
      <c r="H706" s="3509"/>
      <c r="I706" s="3509"/>
      <c r="J706" s="3509"/>
      <c r="K706" s="3510"/>
      <c r="L706" s="3511"/>
      <c r="M706" s="3509"/>
      <c r="N706" s="3509"/>
      <c r="O706" s="3509"/>
      <c r="P706" s="3553"/>
      <c r="Q706" s="3509"/>
      <c r="R706" s="3509"/>
      <c r="S706" s="3509"/>
      <c r="T706" s="3509"/>
      <c r="U706" s="3509"/>
      <c r="V706" s="3509"/>
      <c r="W706" s="3509"/>
      <c r="X706" s="3509"/>
      <c r="Y706" s="3509"/>
      <c r="Z706" s="3509"/>
      <c r="AA706" s="3509"/>
      <c r="AB706" s="3509"/>
      <c r="AC706" s="3509"/>
    </row>
    <row r="707" spans="1:29">
      <c r="A707" s="3509"/>
      <c r="B707" s="3509"/>
      <c r="C707" s="3509"/>
      <c r="D707" s="3509"/>
      <c r="E707" s="3509"/>
      <c r="F707" s="3509"/>
      <c r="G707" s="3509"/>
      <c r="H707" s="3509"/>
      <c r="I707" s="3509"/>
      <c r="J707" s="3509"/>
      <c r="K707" s="3510"/>
      <c r="L707" s="3511"/>
      <c r="M707" s="3509"/>
      <c r="N707" s="3509"/>
      <c r="O707" s="3509"/>
      <c r="P707" s="3553"/>
      <c r="Q707" s="3509"/>
      <c r="R707" s="3509"/>
      <c r="S707" s="3509"/>
      <c r="T707" s="3509"/>
      <c r="U707" s="3509"/>
      <c r="V707" s="3509"/>
      <c r="W707" s="3509"/>
      <c r="X707" s="3509"/>
      <c r="Y707" s="3509"/>
      <c r="Z707" s="3509"/>
      <c r="AA707" s="3509"/>
      <c r="AB707" s="3509"/>
      <c r="AC707" s="3509"/>
    </row>
    <row r="708" spans="1:29">
      <c r="A708" s="3509"/>
      <c r="B708" s="3509"/>
      <c r="C708" s="3509"/>
      <c r="D708" s="3509"/>
      <c r="E708" s="3509"/>
      <c r="F708" s="3509"/>
      <c r="G708" s="3509"/>
      <c r="H708" s="3509"/>
      <c r="I708" s="3509"/>
      <c r="J708" s="3509"/>
      <c r="K708" s="3510"/>
      <c r="L708" s="3511"/>
      <c r="M708" s="3509"/>
      <c r="N708" s="3509"/>
      <c r="O708" s="3509"/>
      <c r="P708" s="3553"/>
      <c r="Q708" s="3509"/>
      <c r="R708" s="3509"/>
      <c r="S708" s="3509"/>
      <c r="T708" s="3509"/>
      <c r="U708" s="3509"/>
      <c r="V708" s="3509"/>
      <c r="W708" s="3509"/>
      <c r="X708" s="3509"/>
      <c r="Y708" s="3509"/>
      <c r="Z708" s="3509"/>
      <c r="AA708" s="3509"/>
      <c r="AB708" s="3509"/>
      <c r="AC708" s="3509"/>
    </row>
    <row r="709" spans="1:29">
      <c r="A709" s="3509"/>
      <c r="B709" s="3509"/>
      <c r="C709" s="3509"/>
      <c r="D709" s="3509"/>
      <c r="E709" s="3509"/>
      <c r="F709" s="3509"/>
      <c r="G709" s="3509"/>
      <c r="H709" s="3509"/>
      <c r="I709" s="3509"/>
      <c r="J709" s="3509"/>
      <c r="K709" s="3510"/>
      <c r="L709" s="3511"/>
      <c r="M709" s="3509"/>
      <c r="N709" s="3509"/>
      <c r="O709" s="3509"/>
      <c r="P709" s="3553"/>
      <c r="Q709" s="3509"/>
      <c r="R709" s="3509"/>
      <c r="S709" s="3509"/>
      <c r="T709" s="3509"/>
      <c r="U709" s="3509"/>
      <c r="V709" s="3509"/>
      <c r="W709" s="3509"/>
      <c r="X709" s="3509"/>
      <c r="Y709" s="3509"/>
      <c r="Z709" s="3509"/>
      <c r="AA709" s="3509"/>
      <c r="AB709" s="3509"/>
      <c r="AC709" s="3509"/>
    </row>
    <row r="710" spans="1:29">
      <c r="A710" s="3509"/>
      <c r="B710" s="3509"/>
      <c r="C710" s="3509"/>
      <c r="D710" s="3509"/>
      <c r="E710" s="3509"/>
      <c r="F710" s="3509"/>
      <c r="G710" s="3509"/>
      <c r="H710" s="3509"/>
      <c r="I710" s="3509"/>
      <c r="J710" s="3509"/>
      <c r="K710" s="3510"/>
      <c r="L710" s="3511"/>
      <c r="M710" s="3509"/>
      <c r="N710" s="3509"/>
      <c r="O710" s="3509"/>
      <c r="P710" s="3553"/>
      <c r="Q710" s="3509"/>
      <c r="R710" s="3509"/>
      <c r="S710" s="3509"/>
      <c r="T710" s="3509"/>
      <c r="U710" s="3509"/>
      <c r="V710" s="3509"/>
      <c r="W710" s="3509"/>
      <c r="X710" s="3509"/>
      <c r="Y710" s="3509"/>
      <c r="Z710" s="3509"/>
      <c r="AA710" s="3509"/>
      <c r="AB710" s="3509"/>
      <c r="AC710" s="3509"/>
    </row>
    <row r="711" spans="1:29">
      <c r="A711" s="3509"/>
      <c r="B711" s="3509"/>
      <c r="C711" s="3509"/>
      <c r="D711" s="3509"/>
      <c r="E711" s="3509"/>
      <c r="F711" s="3509"/>
      <c r="G711" s="3509"/>
      <c r="H711" s="3509"/>
      <c r="I711" s="3509"/>
      <c r="J711" s="3509"/>
      <c r="K711" s="3510"/>
      <c r="L711" s="3511"/>
      <c r="M711" s="3509"/>
      <c r="N711" s="3509"/>
      <c r="O711" s="3509"/>
      <c r="P711" s="3553"/>
      <c r="Q711" s="3509"/>
      <c r="R711" s="3509"/>
      <c r="S711" s="3509"/>
      <c r="T711" s="3509"/>
      <c r="U711" s="3509"/>
      <c r="V711" s="3509"/>
      <c r="W711" s="3509"/>
      <c r="X711" s="3509"/>
      <c r="Y711" s="3509"/>
      <c r="Z711" s="3509"/>
      <c r="AA711" s="3509"/>
      <c r="AB711" s="3509"/>
      <c r="AC711" s="3509"/>
    </row>
    <row r="712" spans="1:29">
      <c r="A712" s="3509"/>
      <c r="B712" s="3509"/>
      <c r="C712" s="3509"/>
      <c r="D712" s="3509"/>
      <c r="E712" s="3509"/>
      <c r="F712" s="3509"/>
      <c r="G712" s="3509"/>
      <c r="H712" s="3509"/>
      <c r="I712" s="3509"/>
      <c r="J712" s="3509"/>
      <c r="K712" s="3510"/>
      <c r="L712" s="3511"/>
      <c r="M712" s="3509"/>
      <c r="N712" s="3509"/>
      <c r="O712" s="3509"/>
      <c r="P712" s="3553"/>
      <c r="Q712" s="3509"/>
      <c r="R712" s="3509"/>
      <c r="S712" s="3509"/>
      <c r="T712" s="3509"/>
      <c r="U712" s="3509"/>
      <c r="V712" s="3509"/>
      <c r="W712" s="3509"/>
      <c r="X712" s="3509"/>
      <c r="Y712" s="3509"/>
      <c r="Z712" s="3509"/>
      <c r="AA712" s="3509"/>
      <c r="AB712" s="3509"/>
      <c r="AC712" s="3509"/>
    </row>
    <row r="713" spans="1:29">
      <c r="A713" s="3509"/>
      <c r="B713" s="3509"/>
      <c r="C713" s="3509"/>
      <c r="D713" s="3509"/>
      <c r="E713" s="3509"/>
      <c r="F713" s="3509"/>
      <c r="G713" s="3509"/>
      <c r="H713" s="3509"/>
      <c r="I713" s="3509"/>
      <c r="J713" s="3509"/>
      <c r="K713" s="3510"/>
      <c r="L713" s="3511"/>
      <c r="M713" s="3509"/>
      <c r="N713" s="3509"/>
      <c r="O713" s="3509"/>
      <c r="P713" s="3553"/>
      <c r="Q713" s="3509"/>
      <c r="R713" s="3509"/>
      <c r="S713" s="3509"/>
      <c r="T713" s="3509"/>
      <c r="U713" s="3509"/>
      <c r="V713" s="3509"/>
      <c r="W713" s="3509"/>
      <c r="X713" s="3509"/>
      <c r="Y713" s="3509"/>
      <c r="Z713" s="3509"/>
      <c r="AA713" s="3509"/>
      <c r="AB713" s="3509"/>
      <c r="AC713" s="3509"/>
    </row>
    <row r="714" spans="1:29">
      <c r="A714" s="3509"/>
      <c r="B714" s="3509"/>
      <c r="C714" s="3509"/>
      <c r="D714" s="3509"/>
      <c r="E714" s="3509"/>
      <c r="F714" s="3509"/>
      <c r="G714" s="3509"/>
      <c r="H714" s="3509"/>
      <c r="I714" s="3509"/>
      <c r="J714" s="3509"/>
      <c r="K714" s="3510"/>
      <c r="L714" s="3511"/>
      <c r="M714" s="3509"/>
      <c r="N714" s="3509"/>
      <c r="O714" s="3509"/>
      <c r="P714" s="3553"/>
      <c r="Q714" s="3509"/>
      <c r="R714" s="3509"/>
      <c r="S714" s="3509"/>
      <c r="T714" s="3509"/>
      <c r="U714" s="3509"/>
      <c r="V714" s="3509"/>
      <c r="W714" s="3509"/>
      <c r="X714" s="3509"/>
      <c r="Y714" s="3509"/>
      <c r="Z714" s="3509"/>
      <c r="AA714" s="3509"/>
      <c r="AB714" s="3509"/>
      <c r="AC714" s="3509"/>
    </row>
    <row r="715" spans="1:29">
      <c r="A715" s="3509"/>
      <c r="B715" s="3509"/>
      <c r="C715" s="3509"/>
      <c r="D715" s="3509"/>
      <c r="E715" s="3509"/>
      <c r="F715" s="3509"/>
      <c r="G715" s="3509"/>
      <c r="H715" s="3509"/>
      <c r="I715" s="3509"/>
      <c r="J715" s="3509"/>
      <c r="K715" s="3510"/>
      <c r="L715" s="3511"/>
      <c r="M715" s="3509"/>
      <c r="N715" s="3509"/>
      <c r="O715" s="3509"/>
      <c r="P715" s="3553"/>
      <c r="Q715" s="3509"/>
      <c r="R715" s="3509"/>
      <c r="S715" s="3509"/>
      <c r="T715" s="3509"/>
      <c r="U715" s="3509"/>
      <c r="V715" s="3509"/>
      <c r="W715" s="3509"/>
      <c r="X715" s="3509"/>
      <c r="Y715" s="3509"/>
      <c r="Z715" s="3509"/>
      <c r="AA715" s="3509"/>
      <c r="AB715" s="3509"/>
      <c r="AC715" s="3509"/>
    </row>
    <row r="716" spans="1:29">
      <c r="A716" s="3509"/>
      <c r="B716" s="3509"/>
      <c r="C716" s="3509"/>
      <c r="D716" s="3509"/>
      <c r="E716" s="3509"/>
      <c r="F716" s="3509"/>
      <c r="G716" s="3509"/>
      <c r="H716" s="3509"/>
      <c r="I716" s="3509"/>
      <c r="J716" s="3509"/>
      <c r="K716" s="3510"/>
      <c r="L716" s="3511"/>
      <c r="M716" s="3509"/>
      <c r="N716" s="3509"/>
      <c r="O716" s="3509"/>
      <c r="P716" s="3553"/>
      <c r="Q716" s="3509"/>
      <c r="R716" s="3509"/>
      <c r="S716" s="3509"/>
      <c r="T716" s="3509"/>
      <c r="U716" s="3509"/>
      <c r="V716" s="3509"/>
      <c r="W716" s="3509"/>
      <c r="X716" s="3509"/>
      <c r="Y716" s="3509"/>
      <c r="Z716" s="3509"/>
      <c r="AA716" s="3509"/>
      <c r="AB716" s="3509"/>
      <c r="AC716" s="3509"/>
    </row>
    <row r="717" spans="1:29">
      <c r="A717" s="3509"/>
      <c r="B717" s="3509"/>
      <c r="C717" s="3509"/>
      <c r="D717" s="3509"/>
      <c r="E717" s="3509"/>
      <c r="F717" s="3509"/>
      <c r="G717" s="3509"/>
      <c r="H717" s="3509"/>
      <c r="I717" s="3509"/>
      <c r="J717" s="3509"/>
      <c r="K717" s="3510"/>
      <c r="L717" s="3511"/>
      <c r="M717" s="3509"/>
      <c r="N717" s="3509"/>
      <c r="O717" s="3509"/>
      <c r="P717" s="3553"/>
      <c r="Q717" s="3509"/>
      <c r="R717" s="3509"/>
      <c r="S717" s="3509"/>
      <c r="T717" s="3509"/>
      <c r="U717" s="3509"/>
      <c r="V717" s="3509"/>
      <c r="W717" s="3509"/>
      <c r="X717" s="3509"/>
      <c r="Y717" s="3509"/>
      <c r="Z717" s="3509"/>
      <c r="AA717" s="3509"/>
      <c r="AB717" s="3509"/>
      <c r="AC717" s="3509"/>
    </row>
    <row r="718" spans="1:29">
      <c r="A718" s="3509"/>
      <c r="B718" s="3509"/>
      <c r="C718" s="3509"/>
      <c r="D718" s="3509"/>
      <c r="E718" s="3509"/>
      <c r="F718" s="3509"/>
      <c r="G718" s="3509"/>
      <c r="H718" s="3509"/>
      <c r="I718" s="3509"/>
      <c r="J718" s="3509"/>
      <c r="K718" s="3510"/>
      <c r="L718" s="3511"/>
      <c r="M718" s="3509"/>
      <c r="N718" s="3509"/>
      <c r="O718" s="3509"/>
      <c r="P718" s="3553"/>
      <c r="Q718" s="3509"/>
      <c r="R718" s="3509"/>
      <c r="S718" s="3509"/>
      <c r="T718" s="3509"/>
      <c r="U718" s="3509"/>
      <c r="V718" s="3509"/>
      <c r="W718" s="3509"/>
      <c r="X718" s="3509"/>
      <c r="Y718" s="3509"/>
      <c r="Z718" s="3509"/>
      <c r="AA718" s="3509"/>
      <c r="AB718" s="3509"/>
      <c r="AC718" s="3509"/>
    </row>
    <row r="719" spans="1:29">
      <c r="A719" s="3509"/>
      <c r="B719" s="3509"/>
      <c r="C719" s="3509"/>
      <c r="D719" s="3509"/>
      <c r="E719" s="3509"/>
      <c r="F719" s="3509"/>
      <c r="G719" s="3509"/>
      <c r="H719" s="3509"/>
      <c r="I719" s="3509"/>
      <c r="J719" s="3509"/>
      <c r="K719" s="3510"/>
      <c r="L719" s="3511"/>
      <c r="M719" s="3509"/>
      <c r="N719" s="3509"/>
      <c r="O719" s="3509"/>
      <c r="P719" s="3553"/>
      <c r="Q719" s="3509"/>
      <c r="R719" s="3509"/>
      <c r="S719" s="3509"/>
      <c r="T719" s="3509"/>
      <c r="U719" s="3509"/>
      <c r="V719" s="3509"/>
      <c r="W719" s="3509"/>
      <c r="X719" s="3509"/>
      <c r="Y719" s="3509"/>
      <c r="Z719" s="3509"/>
      <c r="AA719" s="3509"/>
      <c r="AB719" s="3509"/>
      <c r="AC719" s="3509"/>
    </row>
    <row r="720" spans="1:29">
      <c r="A720" s="3509"/>
      <c r="B720" s="3509"/>
      <c r="C720" s="3509"/>
      <c r="D720" s="3509"/>
      <c r="E720" s="3509"/>
      <c r="F720" s="3509"/>
      <c r="G720" s="3509"/>
      <c r="H720" s="3509"/>
      <c r="I720" s="3509"/>
      <c r="J720" s="3509"/>
      <c r="K720" s="3510"/>
      <c r="L720" s="3511"/>
      <c r="M720" s="3509"/>
      <c r="N720" s="3509"/>
      <c r="O720" s="3509"/>
      <c r="P720" s="3553"/>
      <c r="Q720" s="3509"/>
      <c r="R720" s="3509"/>
      <c r="S720" s="3509"/>
      <c r="T720" s="3509"/>
      <c r="U720" s="3509"/>
      <c r="V720" s="3509"/>
      <c r="W720" s="3509"/>
      <c r="X720" s="3509"/>
      <c r="Y720" s="3509"/>
      <c r="Z720" s="3509"/>
      <c r="AA720" s="3509"/>
      <c r="AB720" s="3509"/>
      <c r="AC720" s="3509"/>
    </row>
    <row r="721" spans="1:29">
      <c r="A721" s="3509"/>
      <c r="B721" s="3509"/>
      <c r="C721" s="3509"/>
      <c r="D721" s="3509"/>
      <c r="E721" s="3509"/>
      <c r="F721" s="3509"/>
      <c r="G721" s="3509"/>
      <c r="H721" s="3509"/>
      <c r="I721" s="3509"/>
      <c r="J721" s="3509"/>
      <c r="K721" s="3510"/>
      <c r="L721" s="3511"/>
      <c r="M721" s="3509"/>
      <c r="N721" s="3509"/>
      <c r="O721" s="3509"/>
      <c r="P721" s="3553"/>
      <c r="Q721" s="3509"/>
      <c r="R721" s="3509"/>
      <c r="S721" s="3509"/>
      <c r="T721" s="3509"/>
      <c r="U721" s="3509"/>
      <c r="V721" s="3509"/>
      <c r="W721" s="3509"/>
      <c r="X721" s="3509"/>
      <c r="Y721" s="3509"/>
      <c r="Z721" s="3509"/>
      <c r="AA721" s="3509"/>
      <c r="AB721" s="3509"/>
      <c r="AC721" s="3509"/>
    </row>
    <row r="722" spans="1:29">
      <c r="A722" s="3509"/>
      <c r="B722" s="3509"/>
      <c r="C722" s="3509"/>
      <c r="D722" s="3509"/>
      <c r="E722" s="3509"/>
      <c r="F722" s="3509"/>
      <c r="G722" s="3509"/>
      <c r="H722" s="3509"/>
      <c r="I722" s="3509"/>
      <c r="J722" s="3509"/>
      <c r="K722" s="3510"/>
      <c r="L722" s="3511"/>
      <c r="M722" s="3509"/>
      <c r="N722" s="3509"/>
      <c r="O722" s="3509"/>
      <c r="P722" s="3553"/>
      <c r="Q722" s="3509"/>
      <c r="R722" s="3509"/>
      <c r="S722" s="3509"/>
      <c r="T722" s="3509"/>
      <c r="U722" s="3509"/>
      <c r="V722" s="3509"/>
      <c r="W722" s="3509"/>
      <c r="X722" s="3509"/>
      <c r="Y722" s="3509"/>
      <c r="Z722" s="3509"/>
      <c r="AA722" s="3509"/>
      <c r="AB722" s="3509"/>
      <c r="AC722" s="3509"/>
    </row>
    <row r="723" spans="1:29">
      <c r="A723" s="3509"/>
      <c r="B723" s="3509"/>
      <c r="C723" s="3509"/>
      <c r="D723" s="3509"/>
      <c r="E723" s="3509"/>
      <c r="F723" s="3509"/>
      <c r="G723" s="3509"/>
      <c r="H723" s="3509"/>
      <c r="I723" s="3509"/>
      <c r="J723" s="3509"/>
      <c r="K723" s="3510"/>
      <c r="L723" s="3511"/>
      <c r="M723" s="3509"/>
      <c r="N723" s="3509"/>
      <c r="O723" s="3509"/>
      <c r="P723" s="3553"/>
      <c r="Q723" s="3509"/>
      <c r="R723" s="3509"/>
      <c r="S723" s="3509"/>
      <c r="T723" s="3509"/>
      <c r="U723" s="3509"/>
      <c r="V723" s="3509"/>
      <c r="W723" s="3509"/>
      <c r="X723" s="3509"/>
      <c r="Y723" s="3509"/>
      <c r="Z723" s="3509"/>
      <c r="AA723" s="3509"/>
      <c r="AB723" s="3509"/>
      <c r="AC723" s="3509"/>
    </row>
    <row r="724" spans="1:29">
      <c r="A724" s="3509"/>
      <c r="B724" s="3509"/>
      <c r="C724" s="3509"/>
      <c r="D724" s="3509"/>
      <c r="E724" s="3509"/>
      <c r="F724" s="3509"/>
      <c r="G724" s="3509"/>
      <c r="H724" s="3509"/>
      <c r="I724" s="3509"/>
      <c r="J724" s="3509"/>
      <c r="K724" s="3510"/>
      <c r="L724" s="3511"/>
      <c r="M724" s="3509"/>
      <c r="N724" s="3509"/>
      <c r="O724" s="3509"/>
      <c r="P724" s="3553"/>
      <c r="Q724" s="3509"/>
      <c r="R724" s="3509"/>
      <c r="S724" s="3509"/>
      <c r="T724" s="3509"/>
      <c r="U724" s="3509"/>
      <c r="V724" s="3509"/>
      <c r="W724" s="3509"/>
      <c r="X724" s="3509"/>
      <c r="Y724" s="3509"/>
      <c r="Z724" s="3509"/>
      <c r="AA724" s="3509"/>
      <c r="AB724" s="3509"/>
      <c r="AC724" s="3509"/>
    </row>
    <row r="725" spans="1:29">
      <c r="A725" s="3509"/>
      <c r="B725" s="3509"/>
      <c r="C725" s="3509"/>
      <c r="D725" s="3509"/>
      <c r="E725" s="3509"/>
      <c r="F725" s="3509"/>
      <c r="G725" s="3509"/>
      <c r="H725" s="3509"/>
      <c r="I725" s="3509"/>
      <c r="J725" s="3509"/>
      <c r="K725" s="3510"/>
      <c r="L725" s="3511"/>
      <c r="M725" s="3509"/>
      <c r="N725" s="3509"/>
      <c r="O725" s="3509"/>
      <c r="P725" s="3553"/>
      <c r="Q725" s="3509"/>
      <c r="R725" s="3509"/>
      <c r="S725" s="3509"/>
      <c r="T725" s="3509"/>
      <c r="U725" s="3509"/>
      <c r="V725" s="3509"/>
      <c r="W725" s="3509"/>
      <c r="X725" s="3509"/>
      <c r="Y725" s="3509"/>
      <c r="Z725" s="3509"/>
      <c r="AA725" s="3509"/>
      <c r="AB725" s="3509"/>
      <c r="AC725" s="3509"/>
    </row>
    <row r="726" spans="1:29">
      <c r="A726" s="3509"/>
      <c r="B726" s="3509"/>
      <c r="C726" s="3509"/>
      <c r="D726" s="3509"/>
      <c r="E726" s="3509"/>
      <c r="F726" s="3509"/>
      <c r="G726" s="3509"/>
      <c r="H726" s="3509"/>
      <c r="I726" s="3509"/>
      <c r="J726" s="3509"/>
      <c r="K726" s="3510"/>
      <c r="L726" s="3511"/>
      <c r="M726" s="3509"/>
      <c r="N726" s="3509"/>
      <c r="O726" s="3509"/>
      <c r="P726" s="3553"/>
      <c r="Q726" s="3509"/>
      <c r="R726" s="3509"/>
      <c r="S726" s="3509"/>
      <c r="T726" s="3509"/>
      <c r="U726" s="3509"/>
      <c r="V726" s="3509"/>
      <c r="W726" s="3509"/>
      <c r="X726" s="3509"/>
      <c r="Y726" s="3509"/>
      <c r="Z726" s="3509"/>
      <c r="AA726" s="3509"/>
      <c r="AB726" s="3509"/>
      <c r="AC726" s="3509"/>
    </row>
    <row r="727" spans="1:29">
      <c r="A727" s="3509"/>
      <c r="B727" s="3509"/>
      <c r="C727" s="3509"/>
      <c r="D727" s="3509"/>
      <c r="E727" s="3509"/>
      <c r="F727" s="3509"/>
      <c r="G727" s="3509"/>
      <c r="H727" s="3509"/>
      <c r="I727" s="3509"/>
      <c r="J727" s="3509"/>
      <c r="K727" s="3510"/>
      <c r="L727" s="3511"/>
      <c r="M727" s="3509"/>
      <c r="N727" s="3509"/>
      <c r="O727" s="3509"/>
      <c r="P727" s="3553"/>
      <c r="Q727" s="3509"/>
      <c r="R727" s="3509"/>
      <c r="S727" s="3509"/>
      <c r="T727" s="3509"/>
      <c r="U727" s="3509"/>
      <c r="V727" s="3509"/>
      <c r="W727" s="3509"/>
      <c r="X727" s="3509"/>
      <c r="Y727" s="3509"/>
      <c r="Z727" s="3509"/>
      <c r="AA727" s="3509"/>
      <c r="AB727" s="3509"/>
      <c r="AC727" s="3509"/>
    </row>
    <row r="728" spans="1:29">
      <c r="A728" s="3509"/>
      <c r="B728" s="3509"/>
      <c r="C728" s="3509"/>
      <c r="D728" s="3509"/>
      <c r="E728" s="3509"/>
      <c r="F728" s="3509"/>
      <c r="G728" s="3509"/>
      <c r="H728" s="3509"/>
      <c r="I728" s="3509"/>
      <c r="J728" s="3509"/>
      <c r="K728" s="3510"/>
      <c r="L728" s="3511"/>
      <c r="M728" s="3509"/>
      <c r="N728" s="3509"/>
      <c r="O728" s="3509"/>
      <c r="P728" s="3553"/>
      <c r="Q728" s="3509"/>
      <c r="R728" s="3509"/>
      <c r="S728" s="3509"/>
      <c r="T728" s="3509"/>
      <c r="U728" s="3509"/>
      <c r="V728" s="3509"/>
      <c r="W728" s="3509"/>
      <c r="X728" s="3509"/>
      <c r="Y728" s="3509"/>
      <c r="Z728" s="3509"/>
      <c r="AA728" s="3509"/>
      <c r="AB728" s="3509"/>
      <c r="AC728" s="3509"/>
    </row>
    <row r="729" spans="1:29">
      <c r="A729" s="3509"/>
      <c r="B729" s="3509"/>
      <c r="C729" s="3509"/>
      <c r="D729" s="3509"/>
      <c r="E729" s="3509"/>
      <c r="F729" s="3509"/>
      <c r="G729" s="3509"/>
      <c r="H729" s="3509"/>
      <c r="I729" s="3509"/>
      <c r="J729" s="3509"/>
      <c r="K729" s="3510"/>
      <c r="L729" s="3511"/>
      <c r="M729" s="3509"/>
      <c r="N729" s="3509"/>
      <c r="O729" s="3509"/>
      <c r="P729" s="3553"/>
      <c r="Q729" s="3509"/>
      <c r="R729" s="3509"/>
      <c r="S729" s="3509"/>
      <c r="T729" s="3509"/>
      <c r="U729" s="3509"/>
      <c r="V729" s="3509"/>
      <c r="W729" s="3509"/>
      <c r="X729" s="3509"/>
      <c r="Y729" s="3509"/>
      <c r="Z729" s="3509"/>
      <c r="AA729" s="3509"/>
      <c r="AB729" s="3509"/>
      <c r="AC729" s="3509"/>
    </row>
    <row r="730" spans="1:29">
      <c r="A730" s="3509"/>
      <c r="B730" s="3509"/>
      <c r="C730" s="3509"/>
      <c r="D730" s="3509"/>
      <c r="E730" s="3509"/>
      <c r="F730" s="3509"/>
      <c r="G730" s="3509"/>
      <c r="H730" s="3509"/>
      <c r="I730" s="3509"/>
      <c r="J730" s="3509"/>
      <c r="K730" s="3510"/>
      <c r="L730" s="3511"/>
      <c r="M730" s="3509"/>
      <c r="N730" s="3509"/>
      <c r="O730" s="3509"/>
      <c r="P730" s="3553"/>
      <c r="Q730" s="3509"/>
      <c r="R730" s="3509"/>
      <c r="S730" s="3509"/>
      <c r="T730" s="3509"/>
      <c r="U730" s="3509"/>
      <c r="V730" s="3509"/>
      <c r="W730" s="3509"/>
      <c r="X730" s="3509"/>
      <c r="Y730" s="3509"/>
      <c r="Z730" s="3509"/>
      <c r="AA730" s="3509"/>
      <c r="AB730" s="3509"/>
      <c r="AC730" s="3509"/>
    </row>
    <row r="731" spans="1:29">
      <c r="A731" s="3509"/>
      <c r="B731" s="3509"/>
      <c r="C731" s="3509"/>
      <c r="D731" s="3509"/>
      <c r="E731" s="3509"/>
      <c r="F731" s="3509"/>
      <c r="G731" s="3509"/>
      <c r="H731" s="3509"/>
      <c r="I731" s="3509"/>
      <c r="J731" s="3509"/>
      <c r="K731" s="3510"/>
      <c r="L731" s="3511"/>
      <c r="M731" s="3509"/>
      <c r="N731" s="3509"/>
      <c r="O731" s="3509"/>
      <c r="P731" s="3553"/>
      <c r="Q731" s="3509"/>
      <c r="R731" s="3509"/>
      <c r="S731" s="3509"/>
      <c r="T731" s="3509"/>
      <c r="U731" s="3509"/>
      <c r="V731" s="3509"/>
      <c r="W731" s="3509"/>
      <c r="X731" s="3509"/>
      <c r="Y731" s="3509"/>
      <c r="Z731" s="3509"/>
      <c r="AA731" s="3509"/>
      <c r="AB731" s="3509"/>
      <c r="AC731" s="3509"/>
    </row>
    <row r="732" spans="1:29">
      <c r="A732" s="3509"/>
      <c r="B732" s="3509"/>
      <c r="C732" s="3509"/>
      <c r="D732" s="3509"/>
      <c r="E732" s="3509"/>
      <c r="F732" s="3509"/>
      <c r="G732" s="3509"/>
      <c r="H732" s="3509"/>
      <c r="I732" s="3509"/>
      <c r="J732" s="3509"/>
      <c r="K732" s="3510"/>
      <c r="L732" s="3511"/>
      <c r="M732" s="3509"/>
      <c r="N732" s="3509"/>
      <c r="O732" s="3509"/>
      <c r="P732" s="3553"/>
      <c r="Q732" s="3509"/>
      <c r="R732" s="3509"/>
      <c r="S732" s="3509"/>
      <c r="T732" s="3509"/>
      <c r="U732" s="3509"/>
      <c r="V732" s="3509"/>
      <c r="W732" s="3509"/>
      <c r="X732" s="3509"/>
      <c r="Y732" s="3509"/>
      <c r="Z732" s="3509"/>
      <c r="AA732" s="3509"/>
      <c r="AB732" s="3509"/>
      <c r="AC732" s="3509"/>
    </row>
    <row r="733" spans="1:29">
      <c r="A733" s="3509"/>
      <c r="B733" s="3509"/>
      <c r="C733" s="3509"/>
      <c r="D733" s="3509"/>
      <c r="E733" s="3509"/>
      <c r="F733" s="3509"/>
      <c r="G733" s="3509"/>
      <c r="H733" s="3509"/>
      <c r="I733" s="3509"/>
      <c r="J733" s="3509"/>
      <c r="K733" s="3510"/>
      <c r="L733" s="3511"/>
      <c r="M733" s="3509"/>
      <c r="N733" s="3509"/>
      <c r="O733" s="3509"/>
      <c r="P733" s="3553"/>
      <c r="Q733" s="3509"/>
      <c r="R733" s="3509"/>
      <c r="S733" s="3509"/>
      <c r="T733" s="3509"/>
      <c r="U733" s="3509"/>
      <c r="V733" s="3509"/>
      <c r="W733" s="3509"/>
      <c r="X733" s="3509"/>
      <c r="Y733" s="3509"/>
      <c r="Z733" s="3509"/>
      <c r="AA733" s="3509"/>
      <c r="AB733" s="3509"/>
      <c r="AC733" s="3509"/>
    </row>
    <row r="734" spans="1:29">
      <c r="A734" s="3509"/>
      <c r="B734" s="3509"/>
      <c r="C734" s="3509"/>
      <c r="D734" s="3509"/>
      <c r="E734" s="3509"/>
      <c r="F734" s="3509"/>
      <c r="G734" s="3509"/>
      <c r="H734" s="3509"/>
      <c r="I734" s="3509"/>
      <c r="J734" s="3509"/>
      <c r="K734" s="3510"/>
      <c r="L734" s="3511"/>
      <c r="M734" s="3509"/>
      <c r="N734" s="3509"/>
      <c r="O734" s="3509"/>
      <c r="P734" s="3553"/>
      <c r="Q734" s="3509"/>
      <c r="R734" s="3509"/>
      <c r="S734" s="3509"/>
      <c r="T734" s="3509"/>
      <c r="U734" s="3509"/>
      <c r="V734" s="3509"/>
      <c r="W734" s="3509"/>
      <c r="X734" s="3509"/>
      <c r="Y734" s="3509"/>
      <c r="Z734" s="3509"/>
      <c r="AA734" s="3509"/>
      <c r="AB734" s="3509"/>
      <c r="AC734" s="3509"/>
    </row>
    <row r="735" spans="1:29">
      <c r="A735" s="3509"/>
      <c r="B735" s="3509"/>
      <c r="C735" s="3509"/>
      <c r="D735" s="3509"/>
      <c r="E735" s="3509"/>
      <c r="F735" s="3509"/>
      <c r="G735" s="3509"/>
      <c r="H735" s="3509"/>
      <c r="I735" s="3509"/>
      <c r="J735" s="3509"/>
      <c r="K735" s="3510"/>
      <c r="L735" s="3511"/>
      <c r="M735" s="3509"/>
      <c r="N735" s="3509"/>
      <c r="O735" s="3509"/>
      <c r="P735" s="3553"/>
      <c r="Q735" s="3509"/>
      <c r="R735" s="3509"/>
      <c r="S735" s="3509"/>
      <c r="T735" s="3509"/>
      <c r="U735" s="3509"/>
      <c r="V735" s="3509"/>
      <c r="W735" s="3509"/>
      <c r="X735" s="3509"/>
      <c r="Y735" s="3509"/>
      <c r="Z735" s="3509"/>
      <c r="AA735" s="3509"/>
      <c r="AB735" s="3509"/>
      <c r="AC735" s="3509"/>
    </row>
    <row r="736" spans="1:29">
      <c r="A736" s="3509"/>
      <c r="B736" s="3509"/>
      <c r="C736" s="3509"/>
      <c r="D736" s="3509"/>
      <c r="E736" s="3509"/>
      <c r="F736" s="3509"/>
      <c r="G736" s="3509"/>
      <c r="H736" s="3509"/>
      <c r="I736" s="3509"/>
      <c r="J736" s="3509"/>
      <c r="K736" s="3510"/>
      <c r="L736" s="3511"/>
      <c r="M736" s="3509"/>
      <c r="N736" s="3509"/>
      <c r="O736" s="3509"/>
      <c r="P736" s="3553"/>
      <c r="Q736" s="3509"/>
      <c r="R736" s="3509"/>
      <c r="S736" s="3509"/>
      <c r="T736" s="3509"/>
      <c r="U736" s="3509"/>
      <c r="V736" s="3509"/>
      <c r="W736" s="3509"/>
      <c r="X736" s="3509"/>
      <c r="Y736" s="3509"/>
      <c r="Z736" s="3509"/>
      <c r="AA736" s="3509"/>
      <c r="AB736" s="3509"/>
      <c r="AC736" s="3509"/>
    </row>
    <row r="737" spans="1:29">
      <c r="A737" s="3509"/>
      <c r="B737" s="3509"/>
      <c r="C737" s="3509"/>
      <c r="D737" s="3509"/>
      <c r="E737" s="3509"/>
      <c r="F737" s="3509"/>
      <c r="G737" s="3509"/>
      <c r="H737" s="3509"/>
      <c r="I737" s="3509"/>
      <c r="J737" s="3509"/>
      <c r="K737" s="3510"/>
      <c r="L737" s="3511"/>
      <c r="M737" s="3509"/>
      <c r="N737" s="3509"/>
      <c r="O737" s="3509"/>
      <c r="P737" s="3553"/>
      <c r="Q737" s="3509"/>
      <c r="R737" s="3509"/>
      <c r="S737" s="3509"/>
      <c r="T737" s="3509"/>
      <c r="U737" s="3509"/>
      <c r="V737" s="3509"/>
      <c r="W737" s="3509"/>
      <c r="X737" s="3509"/>
      <c r="Y737" s="3509"/>
      <c r="Z737" s="3509"/>
      <c r="AA737" s="3509"/>
      <c r="AB737" s="3509"/>
      <c r="AC737" s="3509"/>
    </row>
    <row r="738" spans="1:29">
      <c r="A738" s="3509"/>
      <c r="B738" s="3509"/>
      <c r="C738" s="3509"/>
      <c r="D738" s="3509"/>
      <c r="E738" s="3509"/>
      <c r="F738" s="3509"/>
      <c r="G738" s="3509"/>
      <c r="H738" s="3509"/>
      <c r="I738" s="3509"/>
      <c r="J738" s="3509"/>
      <c r="K738" s="3510"/>
      <c r="L738" s="3511"/>
      <c r="M738" s="3509"/>
      <c r="N738" s="3509"/>
      <c r="O738" s="3509"/>
      <c r="P738" s="3553"/>
      <c r="Q738" s="3509"/>
      <c r="R738" s="3509"/>
      <c r="S738" s="3509"/>
      <c r="T738" s="3509"/>
      <c r="U738" s="3509"/>
      <c r="V738" s="3509"/>
      <c r="W738" s="3509"/>
      <c r="X738" s="3509"/>
      <c r="Y738" s="3509"/>
      <c r="Z738" s="3509"/>
      <c r="AA738" s="3509"/>
      <c r="AB738" s="3509"/>
      <c r="AC738" s="3509"/>
    </row>
    <row r="739" spans="1:29">
      <c r="A739" s="3509"/>
      <c r="B739" s="3509"/>
      <c r="C739" s="3509"/>
      <c r="D739" s="3509"/>
      <c r="E739" s="3509"/>
      <c r="F739" s="3509"/>
      <c r="G739" s="3509"/>
      <c r="H739" s="3509"/>
      <c r="I739" s="3509"/>
      <c r="J739" s="3509"/>
      <c r="K739" s="3510"/>
      <c r="L739" s="3511"/>
      <c r="M739" s="3509"/>
      <c r="N739" s="3509"/>
      <c r="O739" s="3509"/>
      <c r="P739" s="3553"/>
      <c r="Q739" s="3509"/>
      <c r="R739" s="3509"/>
      <c r="S739" s="3509"/>
      <c r="T739" s="3509"/>
      <c r="U739" s="3509"/>
      <c r="V739" s="3509"/>
      <c r="W739" s="3509"/>
      <c r="X739" s="3509"/>
      <c r="Y739" s="3509"/>
      <c r="Z739" s="3509"/>
      <c r="AA739" s="3509"/>
      <c r="AB739" s="3509"/>
      <c r="AC739" s="3509"/>
    </row>
    <row r="740" spans="1:29">
      <c r="A740" s="3509"/>
      <c r="B740" s="3509"/>
      <c r="C740" s="3509"/>
      <c r="D740" s="3509"/>
      <c r="E740" s="3509"/>
      <c r="F740" s="3509"/>
      <c r="G740" s="3509"/>
      <c r="H740" s="3509"/>
      <c r="I740" s="3509"/>
      <c r="J740" s="3509"/>
      <c r="K740" s="3510"/>
      <c r="L740" s="3511"/>
      <c r="M740" s="3509"/>
      <c r="N740" s="3509"/>
      <c r="O740" s="3509"/>
      <c r="P740" s="3553"/>
      <c r="Q740" s="3509"/>
      <c r="R740" s="3509"/>
      <c r="S740" s="3509"/>
      <c r="T740" s="3509"/>
      <c r="U740" s="3509"/>
      <c r="V740" s="3509"/>
      <c r="W740" s="3509"/>
      <c r="X740" s="3509"/>
      <c r="Y740" s="3509"/>
      <c r="Z740" s="3509"/>
      <c r="AA740" s="3509"/>
      <c r="AB740" s="3509"/>
      <c r="AC740" s="3509"/>
    </row>
    <row r="741" spans="1:29">
      <c r="A741" s="3509"/>
      <c r="B741" s="3509"/>
      <c r="C741" s="3509"/>
      <c r="D741" s="3509"/>
      <c r="E741" s="3509"/>
      <c r="F741" s="3509"/>
      <c r="G741" s="3509"/>
      <c r="H741" s="3509"/>
      <c r="I741" s="3509"/>
      <c r="J741" s="3509"/>
      <c r="K741" s="3510"/>
      <c r="L741" s="3511"/>
      <c r="M741" s="3509"/>
      <c r="N741" s="3509"/>
      <c r="O741" s="3509"/>
      <c r="P741" s="3553"/>
      <c r="Q741" s="3509"/>
      <c r="R741" s="3509"/>
      <c r="S741" s="3509"/>
      <c r="T741" s="3509"/>
      <c r="U741" s="3509"/>
      <c r="V741" s="3509"/>
      <c r="W741" s="3509"/>
      <c r="X741" s="3509"/>
      <c r="Y741" s="3509"/>
      <c r="Z741" s="3509"/>
      <c r="AA741" s="3509"/>
      <c r="AB741" s="3509"/>
      <c r="AC741" s="3509"/>
    </row>
    <row r="742" spans="1:29">
      <c r="A742" s="3509"/>
      <c r="B742" s="3509"/>
      <c r="C742" s="3509"/>
      <c r="D742" s="3509"/>
      <c r="E742" s="3509"/>
      <c r="F742" s="3509"/>
      <c r="G742" s="3509"/>
      <c r="H742" s="3509"/>
      <c r="I742" s="3509"/>
      <c r="J742" s="3509"/>
      <c r="K742" s="3510"/>
      <c r="L742" s="3511"/>
      <c r="M742" s="3509"/>
      <c r="N742" s="3509"/>
      <c r="O742" s="3509"/>
      <c r="P742" s="3553"/>
      <c r="Q742" s="3509"/>
      <c r="R742" s="3509"/>
      <c r="S742" s="3509"/>
      <c r="T742" s="3509"/>
      <c r="U742" s="3509"/>
      <c r="V742" s="3509"/>
      <c r="W742" s="3509"/>
      <c r="X742" s="3509"/>
      <c r="Y742" s="3509"/>
      <c r="Z742" s="3509"/>
      <c r="AA742" s="3509"/>
      <c r="AB742" s="3509"/>
      <c r="AC742" s="3509"/>
    </row>
    <row r="743" spans="1:29">
      <c r="A743" s="3509"/>
      <c r="B743" s="3509"/>
      <c r="C743" s="3509"/>
      <c r="D743" s="3509"/>
      <c r="E743" s="3509"/>
      <c r="F743" s="3509"/>
      <c r="G743" s="3509"/>
      <c r="H743" s="3509"/>
      <c r="I743" s="3509"/>
      <c r="J743" s="3509"/>
      <c r="K743" s="3510"/>
      <c r="L743" s="3511"/>
      <c r="M743" s="3509"/>
      <c r="N743" s="3509"/>
      <c r="O743" s="3509"/>
      <c r="P743" s="3553"/>
      <c r="Q743" s="3509"/>
      <c r="R743" s="3509"/>
      <c r="S743" s="3509"/>
      <c r="T743" s="3509"/>
      <c r="U743" s="3509"/>
      <c r="V743" s="3509"/>
      <c r="W743" s="3509"/>
      <c r="X743" s="3509"/>
      <c r="Y743" s="3509"/>
      <c r="Z743" s="3509"/>
      <c r="AA743" s="3509"/>
      <c r="AB743" s="3509"/>
      <c r="AC743" s="3509"/>
    </row>
    <row r="744" spans="1:29">
      <c r="A744" s="3509"/>
      <c r="B744" s="3509"/>
      <c r="C744" s="3509"/>
      <c r="D744" s="3509"/>
      <c r="E744" s="3509"/>
      <c r="F744" s="3509"/>
      <c r="G744" s="3509"/>
      <c r="H744" s="3509"/>
      <c r="I744" s="3509"/>
      <c r="J744" s="3509"/>
      <c r="K744" s="3510"/>
      <c r="L744" s="3511"/>
      <c r="M744" s="3509"/>
      <c r="N744" s="3509"/>
      <c r="O744" s="3509"/>
      <c r="P744" s="3553"/>
      <c r="Q744" s="3509"/>
      <c r="R744" s="3509"/>
      <c r="S744" s="3509"/>
      <c r="T744" s="3509"/>
      <c r="U744" s="3509"/>
      <c r="V744" s="3509"/>
      <c r="W744" s="3509"/>
      <c r="X744" s="3509"/>
      <c r="Y744" s="3509"/>
      <c r="Z744" s="3509"/>
      <c r="AA744" s="3509"/>
      <c r="AB744" s="3509"/>
      <c r="AC744" s="3509"/>
    </row>
    <row r="745" spans="1:29">
      <c r="A745" s="3509"/>
      <c r="B745" s="3509"/>
      <c r="C745" s="3509"/>
      <c r="D745" s="3509"/>
      <c r="E745" s="3509"/>
      <c r="F745" s="3509"/>
      <c r="G745" s="3509"/>
      <c r="H745" s="3509"/>
      <c r="I745" s="3509"/>
      <c r="J745" s="3509"/>
      <c r="K745" s="3510"/>
      <c r="L745" s="3511"/>
      <c r="M745" s="3509"/>
      <c r="N745" s="3509"/>
      <c r="O745" s="3509"/>
      <c r="P745" s="3553"/>
      <c r="Q745" s="3509"/>
      <c r="R745" s="3509"/>
      <c r="S745" s="3509"/>
      <c r="T745" s="3509"/>
      <c r="U745" s="3509"/>
      <c r="V745" s="3509"/>
      <c r="W745" s="3509"/>
      <c r="X745" s="3509"/>
      <c r="Y745" s="3509"/>
      <c r="Z745" s="3509"/>
      <c r="AA745" s="3509"/>
      <c r="AB745" s="3509"/>
      <c r="AC745" s="3509"/>
    </row>
    <row r="746" spans="1:29">
      <c r="A746" s="3509"/>
      <c r="B746" s="3509"/>
      <c r="C746" s="3509"/>
      <c r="D746" s="3509"/>
      <c r="E746" s="3509"/>
      <c r="F746" s="3509"/>
      <c r="G746" s="3509"/>
      <c r="H746" s="3509"/>
      <c r="I746" s="3509"/>
      <c r="J746" s="3509"/>
      <c r="K746" s="3510"/>
      <c r="L746" s="3511"/>
      <c r="M746" s="3509"/>
      <c r="N746" s="3509"/>
      <c r="O746" s="3509"/>
      <c r="P746" s="3553"/>
      <c r="Q746" s="3509"/>
      <c r="R746" s="3509"/>
      <c r="S746" s="3509"/>
      <c r="T746" s="3509"/>
      <c r="U746" s="3509"/>
      <c r="V746" s="3509"/>
      <c r="W746" s="3509"/>
      <c r="X746" s="3509"/>
      <c r="Y746" s="3509"/>
      <c r="Z746" s="3509"/>
      <c r="AA746" s="3509"/>
      <c r="AB746" s="3509"/>
      <c r="AC746" s="3509"/>
    </row>
    <row r="747" spans="1:29">
      <c r="A747" s="3509"/>
      <c r="B747" s="3509"/>
      <c r="C747" s="3509"/>
      <c r="D747" s="3509"/>
      <c r="E747" s="3509"/>
      <c r="F747" s="3509"/>
      <c r="G747" s="3509"/>
      <c r="H747" s="3509"/>
      <c r="I747" s="3509"/>
      <c r="J747" s="3509"/>
      <c r="K747" s="3510"/>
      <c r="L747" s="3511"/>
      <c r="M747" s="3509"/>
      <c r="N747" s="3509"/>
      <c r="O747" s="3509"/>
      <c r="P747" s="3553"/>
      <c r="Q747" s="3509"/>
      <c r="R747" s="3509"/>
      <c r="S747" s="3509"/>
      <c r="T747" s="3509"/>
      <c r="U747" s="3509"/>
      <c r="V747" s="3509"/>
      <c r="W747" s="3509"/>
      <c r="X747" s="3509"/>
      <c r="Y747" s="3509"/>
      <c r="Z747" s="3509"/>
      <c r="AA747" s="3509"/>
      <c r="AB747" s="3509"/>
      <c r="AC747" s="3509"/>
    </row>
    <row r="748" spans="1:29">
      <c r="A748" s="3509"/>
      <c r="B748" s="3509"/>
      <c r="C748" s="3509"/>
      <c r="D748" s="3509"/>
      <c r="E748" s="3509"/>
      <c r="F748" s="3509"/>
      <c r="G748" s="3509"/>
      <c r="H748" s="3509"/>
      <c r="I748" s="3509"/>
      <c r="J748" s="3509"/>
      <c r="K748" s="3510"/>
      <c r="L748" s="3511"/>
      <c r="M748" s="3509"/>
      <c r="N748" s="3509"/>
      <c r="O748" s="3509"/>
      <c r="P748" s="3553"/>
      <c r="Q748" s="3509"/>
      <c r="R748" s="3509"/>
      <c r="S748" s="3509"/>
      <c r="T748" s="3509"/>
      <c r="U748" s="3509"/>
      <c r="V748" s="3509"/>
      <c r="W748" s="3509"/>
      <c r="X748" s="3509"/>
      <c r="Y748" s="3509"/>
      <c r="Z748" s="3509"/>
      <c r="AA748" s="3509"/>
      <c r="AB748" s="3509"/>
      <c r="AC748" s="3509"/>
    </row>
    <row r="749" spans="1:29">
      <c r="A749" s="3509"/>
      <c r="B749" s="3509"/>
      <c r="C749" s="3509"/>
      <c r="D749" s="3509"/>
      <c r="E749" s="3509"/>
      <c r="F749" s="3509"/>
      <c r="G749" s="3509"/>
      <c r="H749" s="3509"/>
      <c r="I749" s="3509"/>
      <c r="J749" s="3509"/>
      <c r="K749" s="3510"/>
      <c r="L749" s="3511"/>
      <c r="M749" s="3509"/>
      <c r="N749" s="3509"/>
      <c r="O749" s="3509"/>
      <c r="P749" s="3553"/>
      <c r="Q749" s="3509"/>
      <c r="R749" s="3509"/>
      <c r="S749" s="3509"/>
      <c r="T749" s="3509"/>
      <c r="U749" s="3509"/>
      <c r="V749" s="3509"/>
      <c r="W749" s="3509"/>
      <c r="X749" s="3509"/>
      <c r="Y749" s="3509"/>
      <c r="Z749" s="3509"/>
      <c r="AA749" s="3509"/>
      <c r="AB749" s="3509"/>
      <c r="AC749" s="3509"/>
    </row>
    <row r="750" spans="1:29">
      <c r="A750" s="3509"/>
      <c r="B750" s="3509"/>
      <c r="C750" s="3509"/>
      <c r="D750" s="3509"/>
      <c r="E750" s="3509"/>
      <c r="F750" s="3509"/>
      <c r="G750" s="3509"/>
      <c r="H750" s="3509"/>
      <c r="I750" s="3509"/>
      <c r="J750" s="3509"/>
      <c r="K750" s="3510"/>
      <c r="L750" s="3511"/>
      <c r="M750" s="3509"/>
      <c r="N750" s="3509"/>
      <c r="O750" s="3509"/>
      <c r="P750" s="3553"/>
      <c r="Q750" s="3509"/>
      <c r="R750" s="3509"/>
      <c r="S750" s="3509"/>
      <c r="T750" s="3509"/>
      <c r="U750" s="3509"/>
      <c r="V750" s="3509"/>
      <c r="W750" s="3509"/>
      <c r="X750" s="3509"/>
      <c r="Y750" s="3509"/>
      <c r="Z750" s="3509"/>
      <c r="AA750" s="3509"/>
      <c r="AB750" s="3509"/>
      <c r="AC750" s="3509"/>
    </row>
    <row r="751" spans="1:29">
      <c r="A751" s="3509"/>
      <c r="B751" s="3509"/>
      <c r="C751" s="3509"/>
      <c r="D751" s="3509"/>
      <c r="E751" s="3509"/>
      <c r="F751" s="3509"/>
      <c r="G751" s="3509"/>
      <c r="H751" s="3509"/>
      <c r="I751" s="3509"/>
      <c r="J751" s="3509"/>
      <c r="K751" s="3510"/>
      <c r="L751" s="3511"/>
      <c r="M751" s="3509"/>
      <c r="N751" s="3509"/>
      <c r="O751" s="3509"/>
      <c r="P751" s="3553"/>
      <c r="Q751" s="3509"/>
      <c r="R751" s="3509"/>
      <c r="S751" s="3509"/>
      <c r="T751" s="3509"/>
      <c r="U751" s="3509"/>
      <c r="V751" s="3509"/>
      <c r="W751" s="3509"/>
      <c r="X751" s="3509"/>
      <c r="Y751" s="3509"/>
      <c r="Z751" s="3509"/>
      <c r="AA751" s="3509"/>
      <c r="AB751" s="3509"/>
      <c r="AC751" s="3509"/>
    </row>
    <row r="752" spans="1:29">
      <c r="A752" s="3509"/>
      <c r="B752" s="3509"/>
      <c r="C752" s="3509"/>
      <c r="D752" s="3509"/>
      <c r="E752" s="3509"/>
      <c r="F752" s="3509"/>
      <c r="G752" s="3509"/>
      <c r="H752" s="3509"/>
      <c r="I752" s="3509"/>
      <c r="J752" s="3509"/>
      <c r="K752" s="3510"/>
      <c r="L752" s="3511"/>
      <c r="M752" s="3509"/>
      <c r="N752" s="3509"/>
      <c r="O752" s="3509"/>
      <c r="P752" s="3553"/>
      <c r="Q752" s="3509"/>
      <c r="R752" s="3509"/>
      <c r="S752" s="3509"/>
      <c r="T752" s="3509"/>
      <c r="U752" s="3509"/>
      <c r="V752" s="3509"/>
      <c r="W752" s="3509"/>
      <c r="X752" s="3509"/>
      <c r="Y752" s="3509"/>
      <c r="Z752" s="3509"/>
      <c r="AA752" s="3509"/>
      <c r="AB752" s="3509"/>
      <c r="AC752" s="3509"/>
    </row>
    <row r="753" spans="1:29">
      <c r="A753" s="3509"/>
      <c r="B753" s="3509"/>
      <c r="C753" s="3509"/>
      <c r="D753" s="3509"/>
      <c r="E753" s="3509"/>
      <c r="F753" s="3509"/>
      <c r="G753" s="3509"/>
      <c r="H753" s="3509"/>
      <c r="I753" s="3509"/>
      <c r="J753" s="3509"/>
      <c r="K753" s="3510"/>
      <c r="L753" s="3511"/>
      <c r="M753" s="3509"/>
      <c r="N753" s="3509"/>
      <c r="O753" s="3509"/>
      <c r="P753" s="3553"/>
      <c r="Q753" s="3509"/>
      <c r="R753" s="3509"/>
      <c r="S753" s="3509"/>
      <c r="T753" s="3509"/>
      <c r="U753" s="3509"/>
      <c r="V753" s="3509"/>
      <c r="W753" s="3509"/>
      <c r="X753" s="3509"/>
      <c r="Y753" s="3509"/>
      <c r="Z753" s="3509"/>
      <c r="AA753" s="3509"/>
      <c r="AB753" s="3509"/>
      <c r="AC753" s="3509"/>
    </row>
    <row r="754" spans="1:29">
      <c r="A754" s="3509"/>
      <c r="B754" s="3509"/>
      <c r="C754" s="3509"/>
      <c r="D754" s="3509"/>
      <c r="E754" s="3509"/>
      <c r="F754" s="3509"/>
      <c r="G754" s="3509"/>
      <c r="H754" s="3509"/>
      <c r="I754" s="3509"/>
      <c r="J754" s="3509"/>
      <c r="K754" s="3510"/>
      <c r="L754" s="3511"/>
      <c r="M754" s="3509"/>
      <c r="N754" s="3509"/>
      <c r="O754" s="3509"/>
      <c r="P754" s="3553"/>
      <c r="Q754" s="3509"/>
      <c r="R754" s="3509"/>
      <c r="S754" s="3509"/>
      <c r="T754" s="3509"/>
      <c r="U754" s="3509"/>
      <c r="V754" s="3509"/>
      <c r="W754" s="3509"/>
      <c r="X754" s="3509"/>
      <c r="Y754" s="3509"/>
      <c r="Z754" s="3509"/>
      <c r="AA754" s="3509"/>
      <c r="AB754" s="3509"/>
      <c r="AC754" s="3509"/>
    </row>
    <row r="755" spans="1:29">
      <c r="A755" s="3509"/>
      <c r="B755" s="3509"/>
      <c r="C755" s="3509"/>
      <c r="D755" s="3509"/>
      <c r="E755" s="3509"/>
      <c r="F755" s="3509"/>
      <c r="G755" s="3509"/>
      <c r="H755" s="3509"/>
      <c r="I755" s="3509"/>
      <c r="J755" s="3509"/>
      <c r="K755" s="3510"/>
      <c r="L755" s="3511"/>
      <c r="M755" s="3509"/>
      <c r="N755" s="3509"/>
      <c r="O755" s="3509"/>
      <c r="P755" s="3553"/>
      <c r="Q755" s="3509"/>
      <c r="R755" s="3509"/>
      <c r="S755" s="3509"/>
      <c r="T755" s="3509"/>
      <c r="U755" s="3509"/>
      <c r="V755" s="3509"/>
      <c r="W755" s="3509"/>
      <c r="X755" s="3509"/>
      <c r="Y755" s="3509"/>
      <c r="Z755" s="3509"/>
      <c r="AA755" s="3509"/>
      <c r="AB755" s="3509"/>
      <c r="AC755" s="3509"/>
    </row>
    <row r="756" spans="1:29">
      <c r="A756" s="3509"/>
      <c r="B756" s="3509"/>
      <c r="C756" s="3509"/>
      <c r="D756" s="3509"/>
      <c r="E756" s="3509"/>
      <c r="F756" s="3509"/>
      <c r="G756" s="3509"/>
      <c r="H756" s="3509"/>
      <c r="I756" s="3509"/>
      <c r="J756" s="3509"/>
      <c r="K756" s="3510"/>
      <c r="L756" s="3511"/>
      <c r="M756" s="3509"/>
      <c r="N756" s="3509"/>
      <c r="O756" s="3509"/>
      <c r="P756" s="3553"/>
      <c r="Q756" s="3509"/>
      <c r="R756" s="3509"/>
      <c r="S756" s="3509"/>
      <c r="T756" s="3509"/>
      <c r="U756" s="3509"/>
      <c r="V756" s="3509"/>
      <c r="W756" s="3509"/>
      <c r="X756" s="3509"/>
      <c r="Y756" s="3509"/>
      <c r="Z756" s="3509"/>
      <c r="AA756" s="3509"/>
      <c r="AB756" s="3509"/>
      <c r="AC756" s="3509"/>
    </row>
    <row r="757" spans="1:29">
      <c r="A757" s="3509"/>
      <c r="B757" s="3509"/>
      <c r="C757" s="3509"/>
      <c r="D757" s="3509"/>
      <c r="E757" s="3509"/>
      <c r="F757" s="3509"/>
      <c r="G757" s="3509"/>
      <c r="H757" s="3509"/>
      <c r="I757" s="3509"/>
      <c r="J757" s="3509"/>
      <c r="K757" s="3510"/>
      <c r="L757" s="3511"/>
      <c r="M757" s="3509"/>
      <c r="N757" s="3509"/>
      <c r="O757" s="3509"/>
      <c r="P757" s="3553"/>
      <c r="Q757" s="3509"/>
      <c r="R757" s="3509"/>
      <c r="S757" s="3509"/>
      <c r="T757" s="3509"/>
      <c r="U757" s="3509"/>
      <c r="V757" s="3509"/>
      <c r="W757" s="3509"/>
      <c r="X757" s="3509"/>
      <c r="Y757" s="3509"/>
      <c r="Z757" s="3509"/>
      <c r="AA757" s="3509"/>
      <c r="AB757" s="3509"/>
      <c r="AC757" s="3509"/>
    </row>
    <row r="758" spans="1:29">
      <c r="A758" s="3509"/>
      <c r="B758" s="3509"/>
      <c r="C758" s="3509"/>
      <c r="D758" s="3509"/>
      <c r="E758" s="3509"/>
      <c r="F758" s="3509"/>
      <c r="G758" s="3509"/>
      <c r="H758" s="3509"/>
      <c r="I758" s="3509"/>
      <c r="J758" s="3509"/>
      <c r="K758" s="3510"/>
      <c r="L758" s="3511"/>
      <c r="M758" s="3509"/>
      <c r="N758" s="3509"/>
      <c r="O758" s="3509"/>
      <c r="P758" s="3553"/>
      <c r="Q758" s="3509"/>
      <c r="R758" s="3509"/>
      <c r="S758" s="3509"/>
      <c r="T758" s="3509"/>
      <c r="U758" s="3509"/>
      <c r="V758" s="3509"/>
      <c r="W758" s="3509"/>
      <c r="X758" s="3509"/>
      <c r="Y758" s="3509"/>
      <c r="Z758" s="3509"/>
      <c r="AA758" s="3509"/>
      <c r="AB758" s="3509"/>
      <c r="AC758" s="3509"/>
    </row>
    <row r="759" spans="1:29">
      <c r="A759" s="3509"/>
      <c r="B759" s="3509"/>
      <c r="C759" s="3509"/>
      <c r="D759" s="3509"/>
      <c r="E759" s="3509"/>
      <c r="F759" s="3509"/>
      <c r="G759" s="3509"/>
      <c r="H759" s="3509"/>
      <c r="I759" s="3509"/>
      <c r="J759" s="3509"/>
      <c r="K759" s="3510"/>
      <c r="L759" s="3511"/>
      <c r="M759" s="3509"/>
      <c r="N759" s="3509"/>
      <c r="O759" s="3509"/>
      <c r="P759" s="3553"/>
      <c r="Q759" s="3509"/>
      <c r="R759" s="3509"/>
      <c r="S759" s="3509"/>
      <c r="T759" s="3509"/>
      <c r="U759" s="3509"/>
      <c r="V759" s="3509"/>
      <c r="W759" s="3509"/>
      <c r="X759" s="3509"/>
      <c r="Y759" s="3509"/>
      <c r="Z759" s="3509"/>
      <c r="AA759" s="3509"/>
      <c r="AB759" s="3509"/>
      <c r="AC759" s="3509"/>
    </row>
    <row r="760" spans="1:29">
      <c r="A760" s="3509"/>
      <c r="B760" s="3509"/>
      <c r="C760" s="3509"/>
      <c r="D760" s="3509"/>
      <c r="E760" s="3509"/>
      <c r="F760" s="3509"/>
      <c r="G760" s="3509"/>
      <c r="H760" s="3509"/>
      <c r="I760" s="3509"/>
      <c r="J760" s="3509"/>
      <c r="K760" s="3510"/>
      <c r="L760" s="3511"/>
      <c r="M760" s="3509"/>
      <c r="N760" s="3509"/>
      <c r="O760" s="3509"/>
      <c r="P760" s="3553"/>
      <c r="Q760" s="3509"/>
      <c r="R760" s="3509"/>
      <c r="S760" s="3509"/>
      <c r="T760" s="3509"/>
      <c r="U760" s="3509"/>
      <c r="V760" s="3509"/>
      <c r="W760" s="3509"/>
      <c r="X760" s="3509"/>
      <c r="Y760" s="3509"/>
      <c r="Z760" s="3509"/>
      <c r="AA760" s="3509"/>
      <c r="AB760" s="3509"/>
      <c r="AC760" s="3509"/>
    </row>
    <row r="761" spans="1:29">
      <c r="A761" s="3509"/>
      <c r="B761" s="3509"/>
      <c r="C761" s="3509"/>
      <c r="D761" s="3509"/>
      <c r="E761" s="3509"/>
      <c r="F761" s="3509"/>
      <c r="G761" s="3509"/>
      <c r="H761" s="3509"/>
      <c r="I761" s="3509"/>
      <c r="J761" s="3509"/>
      <c r="K761" s="3510"/>
      <c r="L761" s="3511"/>
      <c r="M761" s="3509"/>
      <c r="N761" s="3509"/>
      <c r="O761" s="3509"/>
      <c r="P761" s="3553"/>
      <c r="Q761" s="3509"/>
      <c r="R761" s="3509"/>
      <c r="S761" s="3509"/>
      <c r="T761" s="3509"/>
      <c r="U761" s="3509"/>
      <c r="V761" s="3509"/>
      <c r="W761" s="3509"/>
      <c r="X761" s="3509"/>
      <c r="Y761" s="3509"/>
      <c r="Z761" s="3509"/>
      <c r="AA761" s="3509"/>
      <c r="AB761" s="3509"/>
      <c r="AC761" s="3509"/>
    </row>
    <row r="762" spans="1:29">
      <c r="A762" s="3509"/>
      <c r="B762" s="3509"/>
      <c r="C762" s="3509"/>
      <c r="D762" s="3509"/>
      <c r="E762" s="3509"/>
      <c r="F762" s="3509"/>
      <c r="G762" s="3509"/>
      <c r="H762" s="3509"/>
      <c r="I762" s="3509"/>
      <c r="J762" s="3509"/>
      <c r="K762" s="3510"/>
      <c r="L762" s="3511"/>
      <c r="M762" s="3509"/>
      <c r="N762" s="3509"/>
      <c r="O762" s="3509"/>
      <c r="P762" s="3553"/>
      <c r="Q762" s="3509"/>
      <c r="R762" s="3509"/>
      <c r="S762" s="3509"/>
      <c r="T762" s="3509"/>
      <c r="U762" s="3509"/>
      <c r="V762" s="3509"/>
      <c r="W762" s="3509"/>
      <c r="X762" s="3509"/>
      <c r="Y762" s="3509"/>
      <c r="Z762" s="3509"/>
      <c r="AA762" s="3509"/>
      <c r="AB762" s="3509"/>
      <c r="AC762" s="3509"/>
    </row>
    <row r="763" spans="1:29">
      <c r="A763" s="3509"/>
      <c r="B763" s="3509"/>
      <c r="C763" s="3509"/>
      <c r="D763" s="3509"/>
      <c r="E763" s="3509"/>
      <c r="F763" s="3509"/>
      <c r="G763" s="3509"/>
      <c r="H763" s="3509"/>
      <c r="I763" s="3509"/>
      <c r="J763" s="3509"/>
      <c r="K763" s="3510"/>
      <c r="L763" s="3511"/>
      <c r="M763" s="3509"/>
      <c r="N763" s="3509"/>
      <c r="O763" s="3509"/>
      <c r="P763" s="3553"/>
      <c r="Q763" s="3509"/>
      <c r="R763" s="3509"/>
      <c r="S763" s="3509"/>
      <c r="T763" s="3509"/>
      <c r="U763" s="3509"/>
      <c r="V763" s="3509"/>
      <c r="W763" s="3509"/>
      <c r="X763" s="3509"/>
      <c r="Y763" s="3509"/>
      <c r="Z763" s="3509"/>
      <c r="AA763" s="3509"/>
      <c r="AB763" s="3509"/>
      <c r="AC763" s="3509"/>
    </row>
    <row r="764" spans="1:29">
      <c r="A764" s="3509"/>
      <c r="B764" s="3509"/>
      <c r="C764" s="3509"/>
      <c r="D764" s="3509"/>
      <c r="E764" s="3509"/>
      <c r="F764" s="3509"/>
      <c r="G764" s="3509"/>
      <c r="H764" s="3509"/>
      <c r="I764" s="3509"/>
      <c r="J764" s="3509"/>
      <c r="K764" s="3510"/>
      <c r="L764" s="3511"/>
      <c r="M764" s="3509"/>
      <c r="N764" s="3509"/>
      <c r="O764" s="3509"/>
      <c r="P764" s="3553"/>
      <c r="Q764" s="3509"/>
      <c r="R764" s="3509"/>
      <c r="S764" s="3509"/>
      <c r="T764" s="3509"/>
      <c r="U764" s="3509"/>
      <c r="V764" s="3509"/>
      <c r="W764" s="3509"/>
      <c r="X764" s="3509"/>
      <c r="Y764" s="3509"/>
      <c r="Z764" s="3509"/>
      <c r="AA764" s="3509"/>
      <c r="AB764" s="3509"/>
      <c r="AC764" s="3509"/>
    </row>
    <row r="765" spans="1:29">
      <c r="A765" s="3509"/>
      <c r="B765" s="3509"/>
      <c r="C765" s="3509"/>
      <c r="D765" s="3509"/>
      <c r="E765" s="3509"/>
      <c r="F765" s="3509"/>
      <c r="G765" s="3509"/>
      <c r="H765" s="3509"/>
      <c r="I765" s="3509"/>
      <c r="J765" s="3509"/>
      <c r="K765" s="3510"/>
      <c r="L765" s="3511"/>
      <c r="M765" s="3509"/>
      <c r="N765" s="3509"/>
      <c r="O765" s="3509"/>
      <c r="P765" s="3553"/>
      <c r="Q765" s="3509"/>
      <c r="R765" s="3509"/>
      <c r="S765" s="3509"/>
      <c r="T765" s="3509"/>
      <c r="U765" s="3509"/>
      <c r="V765" s="3509"/>
      <c r="W765" s="3509"/>
      <c r="X765" s="3509"/>
      <c r="Y765" s="3509"/>
      <c r="Z765" s="3509"/>
      <c r="AA765" s="3509"/>
      <c r="AB765" s="3509"/>
      <c r="AC765" s="3509"/>
    </row>
    <row r="766" spans="1:29">
      <c r="A766" s="3509"/>
      <c r="B766" s="3509"/>
      <c r="C766" s="3509"/>
      <c r="D766" s="3509"/>
      <c r="E766" s="3509"/>
      <c r="F766" s="3509"/>
      <c r="G766" s="3509"/>
      <c r="H766" s="3509"/>
      <c r="I766" s="3509"/>
      <c r="J766" s="3509"/>
      <c r="K766" s="3510"/>
      <c r="L766" s="3511"/>
      <c r="M766" s="3509"/>
      <c r="N766" s="3509"/>
      <c r="O766" s="3509"/>
      <c r="P766" s="3553"/>
      <c r="Q766" s="3509"/>
      <c r="R766" s="3509"/>
      <c r="S766" s="3509"/>
      <c r="T766" s="3509"/>
      <c r="U766" s="3509"/>
      <c r="V766" s="3509"/>
      <c r="W766" s="3509"/>
      <c r="X766" s="3509"/>
      <c r="Y766" s="3509"/>
      <c r="Z766" s="3509"/>
      <c r="AA766" s="3509"/>
      <c r="AB766" s="3509"/>
      <c r="AC766" s="3509"/>
    </row>
    <row r="767" spans="1:29">
      <c r="A767" s="3509"/>
      <c r="B767" s="3509"/>
      <c r="C767" s="3509"/>
      <c r="D767" s="3509"/>
      <c r="E767" s="3509"/>
      <c r="F767" s="3509"/>
      <c r="G767" s="3509"/>
      <c r="H767" s="3509"/>
      <c r="I767" s="3509"/>
      <c r="J767" s="3509"/>
      <c r="K767" s="3510"/>
      <c r="L767" s="3511"/>
      <c r="M767" s="3509"/>
      <c r="N767" s="3509"/>
      <c r="O767" s="3509"/>
      <c r="P767" s="3553"/>
      <c r="Q767" s="3509"/>
      <c r="R767" s="3509"/>
      <c r="S767" s="3509"/>
      <c r="T767" s="3509"/>
      <c r="U767" s="3509"/>
      <c r="V767" s="3509"/>
      <c r="W767" s="3509"/>
      <c r="X767" s="3509"/>
      <c r="Y767" s="3509"/>
      <c r="Z767" s="3509"/>
      <c r="AA767" s="3509"/>
      <c r="AB767" s="3509"/>
      <c r="AC767" s="3509"/>
    </row>
    <row r="768" spans="1:29">
      <c r="A768" s="3509"/>
      <c r="B768" s="3509"/>
      <c r="C768" s="3509"/>
      <c r="D768" s="3509"/>
      <c r="E768" s="3509"/>
      <c r="F768" s="3509"/>
      <c r="G768" s="3509"/>
      <c r="H768" s="3509"/>
      <c r="I768" s="3509"/>
      <c r="J768" s="3509"/>
      <c r="K768" s="3510"/>
      <c r="L768" s="3511"/>
      <c r="M768" s="3509"/>
      <c r="N768" s="3509"/>
      <c r="O768" s="3509"/>
      <c r="P768" s="3553"/>
      <c r="Q768" s="3509"/>
      <c r="R768" s="3509"/>
      <c r="S768" s="3509"/>
      <c r="T768" s="3509"/>
      <c r="U768" s="3509"/>
      <c r="V768" s="3509"/>
      <c r="W768" s="3509"/>
      <c r="X768" s="3509"/>
      <c r="Y768" s="3509"/>
      <c r="Z768" s="3509"/>
      <c r="AA768" s="3509"/>
      <c r="AB768" s="3509"/>
      <c r="AC768" s="3509"/>
    </row>
    <row r="769" spans="1:29">
      <c r="A769" s="3509"/>
      <c r="B769" s="3509"/>
      <c r="C769" s="3509"/>
      <c r="D769" s="3509"/>
      <c r="E769" s="3509"/>
      <c r="F769" s="3509"/>
      <c r="G769" s="3509"/>
      <c r="H769" s="3509"/>
      <c r="I769" s="3509"/>
      <c r="J769" s="3509"/>
      <c r="K769" s="3510"/>
      <c r="L769" s="3511"/>
      <c r="M769" s="3509"/>
      <c r="N769" s="3509"/>
      <c r="O769" s="3509"/>
      <c r="P769" s="3553"/>
      <c r="Q769" s="3509"/>
      <c r="R769" s="3509"/>
      <c r="S769" s="3509"/>
      <c r="T769" s="3509"/>
      <c r="U769" s="3509"/>
      <c r="V769" s="3509"/>
      <c r="W769" s="3509"/>
      <c r="X769" s="3509"/>
      <c r="Y769" s="3509"/>
      <c r="Z769" s="3509"/>
      <c r="AA769" s="3509"/>
      <c r="AB769" s="3509"/>
      <c r="AC769" s="3509"/>
    </row>
    <row r="770" spans="1:29">
      <c r="A770" s="3509"/>
      <c r="B770" s="3509"/>
      <c r="C770" s="3509"/>
      <c r="D770" s="3509"/>
      <c r="E770" s="3509"/>
      <c r="F770" s="3509"/>
      <c r="G770" s="3509"/>
      <c r="H770" s="3509"/>
      <c r="I770" s="3509"/>
      <c r="J770" s="3509"/>
      <c r="K770" s="3510"/>
      <c r="L770" s="3511"/>
      <c r="M770" s="3509"/>
      <c r="N770" s="3509"/>
      <c r="O770" s="3509"/>
      <c r="P770" s="3553"/>
      <c r="Q770" s="3509"/>
      <c r="R770" s="3509"/>
      <c r="S770" s="3509"/>
      <c r="T770" s="3509"/>
      <c r="U770" s="3509"/>
      <c r="V770" s="3509"/>
      <c r="W770" s="3509"/>
      <c r="X770" s="3509"/>
      <c r="Y770" s="3509"/>
      <c r="Z770" s="3509"/>
      <c r="AA770" s="3509"/>
      <c r="AB770" s="3509"/>
      <c r="AC770" s="3509"/>
    </row>
    <row r="771" spans="1:29">
      <c r="A771" s="3509"/>
      <c r="B771" s="3509"/>
      <c r="C771" s="3509"/>
      <c r="D771" s="3509"/>
      <c r="E771" s="3509"/>
      <c r="F771" s="3509"/>
      <c r="G771" s="3509"/>
      <c r="H771" s="3509"/>
      <c r="I771" s="3509"/>
      <c r="J771" s="3509"/>
      <c r="K771" s="3510"/>
      <c r="L771" s="3511"/>
      <c r="M771" s="3509"/>
      <c r="N771" s="3509"/>
      <c r="O771" s="3509"/>
      <c r="P771" s="3553"/>
      <c r="Q771" s="3509"/>
      <c r="R771" s="3509"/>
      <c r="S771" s="3509"/>
      <c r="T771" s="3509"/>
      <c r="U771" s="3509"/>
      <c r="V771" s="3509"/>
      <c r="W771" s="3509"/>
      <c r="X771" s="3509"/>
      <c r="Y771" s="3509"/>
      <c r="Z771" s="3509"/>
      <c r="AA771" s="3509"/>
      <c r="AB771" s="3509"/>
      <c r="AC771" s="3509"/>
    </row>
    <row r="772" spans="1:29">
      <c r="A772" s="3509"/>
      <c r="B772" s="3509"/>
      <c r="C772" s="3509"/>
      <c r="D772" s="3509"/>
      <c r="E772" s="3509"/>
      <c r="F772" s="3509"/>
      <c r="G772" s="3509"/>
      <c r="H772" s="3509"/>
      <c r="I772" s="3509"/>
      <c r="J772" s="3509"/>
      <c r="K772" s="3510"/>
      <c r="L772" s="3511"/>
      <c r="M772" s="3509"/>
      <c r="N772" s="3509"/>
      <c r="O772" s="3509"/>
      <c r="P772" s="3553"/>
      <c r="Q772" s="3509"/>
      <c r="R772" s="3509"/>
      <c r="S772" s="3509"/>
      <c r="T772" s="3509"/>
      <c r="U772" s="3509"/>
      <c r="V772" s="3509"/>
      <c r="W772" s="3509"/>
      <c r="X772" s="3509"/>
      <c r="Y772" s="3509"/>
      <c r="Z772" s="3509"/>
      <c r="AA772" s="3509"/>
      <c r="AB772" s="3509"/>
      <c r="AC772" s="3509"/>
    </row>
    <row r="773" spans="1:29">
      <c r="A773" s="3509"/>
      <c r="B773" s="3509"/>
      <c r="C773" s="3509"/>
      <c r="D773" s="3509"/>
      <c r="E773" s="3509"/>
      <c r="F773" s="3509"/>
      <c r="G773" s="3509"/>
      <c r="H773" s="3509"/>
      <c r="I773" s="3509"/>
      <c r="J773" s="3509"/>
      <c r="K773" s="3510"/>
      <c r="L773" s="3511"/>
      <c r="M773" s="3509"/>
      <c r="N773" s="3509"/>
      <c r="O773" s="3509"/>
      <c r="P773" s="3553"/>
      <c r="Q773" s="3509"/>
      <c r="R773" s="3509"/>
      <c r="S773" s="3509"/>
      <c r="T773" s="3509"/>
      <c r="U773" s="3509"/>
      <c r="V773" s="3509"/>
      <c r="W773" s="3509"/>
      <c r="X773" s="3509"/>
      <c r="Y773" s="3509"/>
      <c r="Z773" s="3509"/>
      <c r="AA773" s="3509"/>
      <c r="AB773" s="3509"/>
      <c r="AC773" s="3509"/>
    </row>
    <row r="774" spans="1:29">
      <c r="A774" s="3509"/>
      <c r="B774" s="3509"/>
      <c r="C774" s="3509"/>
      <c r="D774" s="3509"/>
      <c r="E774" s="3509"/>
      <c r="F774" s="3509"/>
      <c r="G774" s="3509"/>
      <c r="H774" s="3509"/>
      <c r="I774" s="3509"/>
      <c r="J774" s="3509"/>
      <c r="K774" s="3510"/>
      <c r="L774" s="3511"/>
      <c r="M774" s="3509"/>
      <c r="N774" s="3509"/>
      <c r="O774" s="3509"/>
      <c r="P774" s="3553"/>
      <c r="Q774" s="3509"/>
      <c r="R774" s="3509"/>
      <c r="S774" s="3509"/>
      <c r="T774" s="3509"/>
      <c r="U774" s="3509"/>
      <c r="V774" s="3509"/>
      <c r="W774" s="3509"/>
      <c r="X774" s="3509"/>
      <c r="Y774" s="3509"/>
      <c r="Z774" s="3509"/>
      <c r="AA774" s="3509"/>
      <c r="AB774" s="3509"/>
      <c r="AC774" s="3509"/>
    </row>
    <row r="775" spans="1:29">
      <c r="A775" s="3509"/>
      <c r="B775" s="3509"/>
      <c r="C775" s="3509"/>
      <c r="D775" s="3509"/>
      <c r="E775" s="3509"/>
      <c r="F775" s="3509"/>
      <c r="G775" s="3509"/>
      <c r="H775" s="3509"/>
      <c r="I775" s="3509"/>
      <c r="J775" s="3509"/>
      <c r="K775" s="3510"/>
      <c r="L775" s="3511"/>
      <c r="M775" s="3509"/>
      <c r="N775" s="3509"/>
      <c r="O775" s="3509"/>
      <c r="P775" s="3553"/>
      <c r="Q775" s="3509"/>
      <c r="R775" s="3509"/>
      <c r="S775" s="3509"/>
      <c r="T775" s="3509"/>
      <c r="U775" s="3509"/>
      <c r="V775" s="3509"/>
      <c r="W775" s="3509"/>
      <c r="X775" s="3509"/>
      <c r="Y775" s="3509"/>
      <c r="Z775" s="3509"/>
      <c r="AA775" s="3509"/>
      <c r="AB775" s="3509"/>
      <c r="AC775" s="3509"/>
    </row>
    <row r="776" spans="1:29">
      <c r="A776" s="3509"/>
      <c r="B776" s="3509"/>
      <c r="C776" s="3509"/>
      <c r="D776" s="3509"/>
      <c r="E776" s="3509"/>
      <c r="F776" s="3509"/>
      <c r="G776" s="3509"/>
      <c r="H776" s="3509"/>
      <c r="I776" s="3509"/>
      <c r="J776" s="3509"/>
      <c r="K776" s="3510"/>
      <c r="L776" s="3511"/>
      <c r="M776" s="3509"/>
      <c r="N776" s="3509"/>
      <c r="O776" s="3509"/>
      <c r="P776" s="3553"/>
      <c r="Q776" s="3509"/>
      <c r="R776" s="3509"/>
      <c r="S776" s="3509"/>
      <c r="T776" s="3509"/>
      <c r="U776" s="3509"/>
      <c r="V776" s="3509"/>
      <c r="W776" s="3509"/>
      <c r="X776" s="3509"/>
      <c r="Y776" s="3509"/>
      <c r="Z776" s="3509"/>
      <c r="AA776" s="3509"/>
      <c r="AB776" s="3509"/>
      <c r="AC776" s="3509"/>
    </row>
    <row r="777" spans="1:29">
      <c r="A777" s="3509"/>
      <c r="B777" s="3509"/>
      <c r="C777" s="3509"/>
      <c r="D777" s="3509"/>
      <c r="E777" s="3509"/>
      <c r="F777" s="3509"/>
      <c r="G777" s="3509"/>
      <c r="H777" s="3509"/>
      <c r="I777" s="3509"/>
      <c r="J777" s="3509"/>
      <c r="K777" s="3510"/>
      <c r="L777" s="3511"/>
      <c r="M777" s="3509"/>
      <c r="N777" s="3509"/>
      <c r="O777" s="3509"/>
      <c r="P777" s="3553"/>
      <c r="Q777" s="3509"/>
      <c r="R777" s="3509"/>
      <c r="S777" s="3509"/>
      <c r="T777" s="3509"/>
      <c r="U777" s="3509"/>
      <c r="V777" s="3509"/>
      <c r="W777" s="3509"/>
      <c r="X777" s="3509"/>
      <c r="Y777" s="3509"/>
      <c r="Z777" s="3509"/>
      <c r="AA777" s="3509"/>
      <c r="AB777" s="3509"/>
      <c r="AC777" s="3509"/>
    </row>
    <row r="778" spans="1:29">
      <c r="A778" s="3509"/>
      <c r="B778" s="3509"/>
      <c r="C778" s="3509"/>
      <c r="D778" s="3509"/>
      <c r="E778" s="3509"/>
      <c r="F778" s="3509"/>
      <c r="G778" s="3509"/>
      <c r="H778" s="3509"/>
      <c r="I778" s="3509"/>
      <c r="J778" s="3509"/>
      <c r="K778" s="3510"/>
      <c r="L778" s="3511"/>
      <c r="M778" s="3509"/>
      <c r="N778" s="3509"/>
      <c r="O778" s="3509"/>
      <c r="P778" s="3553"/>
      <c r="Q778" s="3509"/>
      <c r="R778" s="3509"/>
      <c r="S778" s="3509"/>
      <c r="T778" s="3509"/>
      <c r="U778" s="3509"/>
      <c r="V778" s="3509"/>
      <c r="W778" s="3509"/>
      <c r="X778" s="3509"/>
      <c r="Y778" s="3509"/>
      <c r="Z778" s="3509"/>
      <c r="AA778" s="3509"/>
      <c r="AB778" s="3509"/>
      <c r="AC778" s="3509"/>
    </row>
    <row r="779" spans="1:29">
      <c r="A779" s="3509"/>
      <c r="B779" s="3509"/>
      <c r="C779" s="3509"/>
      <c r="D779" s="3509"/>
      <c r="E779" s="3509"/>
      <c r="F779" s="3509"/>
      <c r="G779" s="3509"/>
      <c r="H779" s="3509"/>
      <c r="I779" s="3509"/>
      <c r="J779" s="3509"/>
      <c r="K779" s="3510"/>
      <c r="L779" s="3511"/>
      <c r="M779" s="3509"/>
      <c r="N779" s="3509"/>
      <c r="O779" s="3509"/>
      <c r="P779" s="3553"/>
      <c r="Q779" s="3509"/>
      <c r="R779" s="3509"/>
      <c r="S779" s="3509"/>
      <c r="T779" s="3509"/>
      <c r="U779" s="3509"/>
      <c r="V779" s="3509"/>
      <c r="W779" s="3509"/>
      <c r="X779" s="3509"/>
      <c r="Y779" s="3509"/>
      <c r="Z779" s="3509"/>
      <c r="AA779" s="3509"/>
      <c r="AB779" s="3509"/>
      <c r="AC779" s="3509"/>
    </row>
    <row r="780" spans="1:29">
      <c r="A780" s="3509"/>
      <c r="B780" s="3509"/>
      <c r="C780" s="3509"/>
      <c r="D780" s="3509"/>
      <c r="E780" s="3509"/>
      <c r="F780" s="3509"/>
      <c r="G780" s="3509"/>
      <c r="H780" s="3509"/>
      <c r="I780" s="3509"/>
      <c r="J780" s="3509"/>
      <c r="K780" s="3510"/>
      <c r="L780" s="3511"/>
      <c r="M780" s="3509"/>
      <c r="N780" s="3509"/>
      <c r="O780" s="3509"/>
      <c r="P780" s="3553"/>
      <c r="Q780" s="3509"/>
      <c r="R780" s="3509"/>
      <c r="S780" s="3509"/>
      <c r="T780" s="3509"/>
      <c r="U780" s="3509"/>
      <c r="V780" s="3509"/>
      <c r="W780" s="3509"/>
      <c r="X780" s="3509"/>
      <c r="Y780" s="3509"/>
      <c r="Z780" s="3509"/>
      <c r="AA780" s="3509"/>
      <c r="AB780" s="3509"/>
      <c r="AC780" s="3509"/>
    </row>
    <row r="781" spans="1:29">
      <c r="A781" s="3509"/>
      <c r="B781" s="3509"/>
      <c r="C781" s="3509"/>
      <c r="D781" s="3509"/>
      <c r="E781" s="3509"/>
      <c r="F781" s="3509"/>
      <c r="G781" s="3509"/>
      <c r="H781" s="3509"/>
      <c r="I781" s="3509"/>
      <c r="J781" s="3509"/>
      <c r="K781" s="3510"/>
      <c r="L781" s="3511"/>
      <c r="M781" s="3509"/>
      <c r="N781" s="3509"/>
      <c r="O781" s="3509"/>
      <c r="P781" s="3553"/>
      <c r="Q781" s="3509"/>
      <c r="R781" s="3509"/>
      <c r="S781" s="3509"/>
      <c r="T781" s="3509"/>
      <c r="U781" s="3509"/>
      <c r="V781" s="3509"/>
      <c r="W781" s="3509"/>
      <c r="X781" s="3509"/>
      <c r="Y781" s="3509"/>
      <c r="Z781" s="3509"/>
      <c r="AA781" s="3509"/>
      <c r="AB781" s="3509"/>
      <c r="AC781" s="3509"/>
    </row>
    <row r="782" spans="1:29">
      <c r="A782" s="3509"/>
      <c r="B782" s="3509"/>
      <c r="C782" s="3509"/>
      <c r="D782" s="3509"/>
      <c r="E782" s="3509"/>
      <c r="F782" s="3509"/>
      <c r="G782" s="3509"/>
      <c r="H782" s="3509"/>
      <c r="I782" s="3509"/>
      <c r="J782" s="3509"/>
      <c r="K782" s="3510"/>
      <c r="L782" s="3511"/>
      <c r="M782" s="3509"/>
      <c r="N782" s="3509"/>
      <c r="O782" s="3509"/>
      <c r="P782" s="3553"/>
      <c r="Q782" s="3509"/>
      <c r="R782" s="3509"/>
      <c r="S782" s="3509"/>
      <c r="T782" s="3509"/>
      <c r="U782" s="3509"/>
      <c r="V782" s="3509"/>
      <c r="W782" s="3509"/>
      <c r="X782" s="3509"/>
      <c r="Y782" s="3509"/>
      <c r="Z782" s="3509"/>
      <c r="AA782" s="3509"/>
      <c r="AB782" s="3509"/>
      <c r="AC782" s="3509"/>
    </row>
    <row r="783" spans="1:29">
      <c r="A783" s="3509"/>
      <c r="B783" s="3509"/>
      <c r="C783" s="3509"/>
      <c r="D783" s="3509"/>
      <c r="E783" s="3509"/>
      <c r="F783" s="3509"/>
      <c r="G783" s="3509"/>
      <c r="H783" s="3509"/>
      <c r="I783" s="3509"/>
      <c r="J783" s="3509"/>
      <c r="K783" s="3510"/>
      <c r="L783" s="3511"/>
      <c r="M783" s="3509"/>
      <c r="N783" s="3509"/>
      <c r="O783" s="3509"/>
      <c r="P783" s="3553"/>
      <c r="Q783" s="3509"/>
      <c r="R783" s="3509"/>
      <c r="S783" s="3509"/>
      <c r="T783" s="3509"/>
      <c r="U783" s="3509"/>
      <c r="V783" s="3509"/>
      <c r="W783" s="3509"/>
      <c r="X783" s="3509"/>
      <c r="Y783" s="3509"/>
      <c r="Z783" s="3509"/>
      <c r="AA783" s="3509"/>
      <c r="AB783" s="3509"/>
      <c r="AC783" s="3509"/>
    </row>
    <row r="784" spans="1:29">
      <c r="A784" s="3509"/>
      <c r="B784" s="3509"/>
      <c r="C784" s="3509"/>
      <c r="D784" s="3509"/>
      <c r="E784" s="3509"/>
      <c r="F784" s="3509"/>
      <c r="G784" s="3509"/>
      <c r="H784" s="3509"/>
      <c r="I784" s="3509"/>
      <c r="J784" s="3509"/>
      <c r="K784" s="3510"/>
      <c r="L784" s="3511"/>
      <c r="M784" s="3509"/>
      <c r="N784" s="3509"/>
      <c r="O784" s="3509"/>
      <c r="P784" s="3553"/>
      <c r="Q784" s="3509"/>
      <c r="R784" s="3509"/>
      <c r="S784" s="3509"/>
      <c r="T784" s="3509"/>
      <c r="U784" s="3509"/>
      <c r="V784" s="3509"/>
      <c r="W784" s="3509"/>
      <c r="X784" s="3509"/>
      <c r="Y784" s="3509"/>
      <c r="Z784" s="3509"/>
      <c r="AA784" s="3509"/>
      <c r="AB784" s="3509"/>
      <c r="AC784" s="3509"/>
    </row>
    <row r="785" spans="1:29">
      <c r="A785" s="3509"/>
      <c r="B785" s="3509"/>
      <c r="C785" s="3509"/>
      <c r="D785" s="3509"/>
      <c r="E785" s="3509"/>
      <c r="F785" s="3509"/>
      <c r="G785" s="3509"/>
      <c r="H785" s="3509"/>
      <c r="I785" s="3509"/>
      <c r="J785" s="3509"/>
      <c r="K785" s="3510"/>
      <c r="L785" s="3511"/>
      <c r="M785" s="3509"/>
      <c r="N785" s="3509"/>
      <c r="O785" s="3509"/>
      <c r="P785" s="3553"/>
      <c r="Q785" s="3509"/>
      <c r="R785" s="3509"/>
      <c r="S785" s="3509"/>
      <c r="T785" s="3509"/>
      <c r="U785" s="3509"/>
      <c r="V785" s="3509"/>
      <c r="W785" s="3509"/>
      <c r="X785" s="3509"/>
      <c r="Y785" s="3509"/>
      <c r="Z785" s="3509"/>
      <c r="AA785" s="3509"/>
      <c r="AB785" s="3509"/>
      <c r="AC785" s="3509"/>
    </row>
    <row r="786" spans="1:29">
      <c r="A786" s="3509"/>
      <c r="B786" s="3509"/>
      <c r="C786" s="3509"/>
      <c r="D786" s="3509"/>
      <c r="E786" s="3509"/>
      <c r="F786" s="3509"/>
      <c r="G786" s="3509"/>
      <c r="H786" s="3509"/>
      <c r="I786" s="3509"/>
      <c r="J786" s="3509"/>
      <c r="K786" s="3510"/>
      <c r="L786" s="3511"/>
      <c r="M786" s="3509"/>
      <c r="N786" s="3509"/>
      <c r="O786" s="3509"/>
      <c r="P786" s="3553"/>
      <c r="Q786" s="3509"/>
      <c r="R786" s="3509"/>
      <c r="S786" s="3509"/>
      <c r="T786" s="3509"/>
      <c r="U786" s="3509"/>
      <c r="V786" s="3509"/>
      <c r="W786" s="3509"/>
      <c r="X786" s="3509"/>
      <c r="Y786" s="3509"/>
      <c r="Z786" s="3509"/>
      <c r="AA786" s="3509"/>
      <c r="AB786" s="3509"/>
      <c r="AC786" s="3509"/>
    </row>
    <row r="787" spans="1:29">
      <c r="A787" s="3509"/>
      <c r="B787" s="3509"/>
      <c r="C787" s="3509"/>
      <c r="D787" s="3509"/>
      <c r="E787" s="3509"/>
      <c r="F787" s="3509"/>
      <c r="G787" s="3509"/>
      <c r="H787" s="3509"/>
      <c r="I787" s="3509"/>
      <c r="J787" s="3509"/>
      <c r="K787" s="3510"/>
      <c r="L787" s="3511"/>
      <c r="M787" s="3509"/>
      <c r="N787" s="3509"/>
      <c r="O787" s="3509"/>
      <c r="P787" s="3553"/>
      <c r="Q787" s="3509"/>
      <c r="R787" s="3509"/>
      <c r="S787" s="3509"/>
      <c r="T787" s="3509"/>
      <c r="U787" s="3509"/>
      <c r="V787" s="3509"/>
      <c r="W787" s="3509"/>
      <c r="X787" s="3509"/>
      <c r="Y787" s="3509"/>
      <c r="Z787" s="3509"/>
      <c r="AA787" s="3509"/>
      <c r="AB787" s="3509"/>
      <c r="AC787" s="3509"/>
    </row>
    <row r="788" spans="1:29">
      <c r="A788" s="3509"/>
      <c r="B788" s="3509"/>
      <c r="C788" s="3509"/>
      <c r="D788" s="3509"/>
      <c r="E788" s="3509"/>
      <c r="F788" s="3509"/>
      <c r="G788" s="3509"/>
      <c r="H788" s="3509"/>
      <c r="I788" s="3509"/>
      <c r="J788" s="3509"/>
      <c r="K788" s="3510"/>
      <c r="L788" s="3511"/>
      <c r="M788" s="3509"/>
      <c r="N788" s="3509"/>
      <c r="O788" s="3509"/>
      <c r="P788" s="3553"/>
      <c r="Q788" s="3509"/>
      <c r="R788" s="3509"/>
      <c r="S788" s="3509"/>
      <c r="T788" s="3509"/>
      <c r="U788" s="3509"/>
      <c r="V788" s="3509"/>
      <c r="W788" s="3509"/>
      <c r="X788" s="3509"/>
      <c r="Y788" s="3509"/>
      <c r="Z788" s="3509"/>
      <c r="AA788" s="3509"/>
      <c r="AB788" s="3509"/>
      <c r="AC788" s="3509"/>
    </row>
    <row r="789" spans="1:29">
      <c r="A789" s="3509"/>
      <c r="B789" s="3509"/>
      <c r="C789" s="3509"/>
      <c r="D789" s="3509"/>
      <c r="E789" s="3509"/>
      <c r="F789" s="3509"/>
      <c r="G789" s="3509"/>
      <c r="H789" s="3509"/>
      <c r="I789" s="3509"/>
      <c r="J789" s="3509"/>
      <c r="K789" s="3510"/>
      <c r="L789" s="3511"/>
      <c r="M789" s="3509"/>
      <c r="N789" s="3509"/>
      <c r="O789" s="3509"/>
      <c r="P789" s="3553"/>
      <c r="Q789" s="3509"/>
      <c r="R789" s="3509"/>
      <c r="S789" s="3509"/>
      <c r="T789" s="3509"/>
      <c r="U789" s="3509"/>
      <c r="V789" s="3509"/>
      <c r="W789" s="3509"/>
      <c r="X789" s="3509"/>
      <c r="Y789" s="3509"/>
      <c r="Z789" s="3509"/>
      <c r="AA789" s="3509"/>
      <c r="AB789" s="3509"/>
      <c r="AC789" s="3509"/>
    </row>
    <row r="790" spans="1:29">
      <c r="A790" s="3509"/>
      <c r="B790" s="3509"/>
      <c r="C790" s="3509"/>
      <c r="D790" s="3509"/>
      <c r="E790" s="3509"/>
      <c r="F790" s="3509"/>
      <c r="G790" s="3509"/>
      <c r="H790" s="3509"/>
      <c r="I790" s="3509"/>
      <c r="J790" s="3509"/>
      <c r="K790" s="3510"/>
      <c r="L790" s="3511"/>
      <c r="M790" s="3509"/>
      <c r="N790" s="3509"/>
      <c r="O790" s="3509"/>
      <c r="P790" s="3553"/>
      <c r="Q790" s="3509"/>
      <c r="R790" s="3509"/>
      <c r="S790" s="3509"/>
      <c r="T790" s="3509"/>
      <c r="U790" s="3509"/>
      <c r="V790" s="3509"/>
      <c r="W790" s="3509"/>
      <c r="X790" s="3509"/>
      <c r="Y790" s="3509"/>
      <c r="Z790" s="3509"/>
      <c r="AA790" s="3509"/>
      <c r="AB790" s="3509"/>
      <c r="AC790" s="3509"/>
    </row>
    <row r="791" spans="1:29">
      <c r="A791" s="3509"/>
      <c r="B791" s="3509"/>
      <c r="C791" s="3509"/>
      <c r="D791" s="3509"/>
      <c r="E791" s="3509"/>
      <c r="F791" s="3509"/>
      <c r="G791" s="3509"/>
      <c r="H791" s="3509"/>
      <c r="I791" s="3509"/>
      <c r="J791" s="3509"/>
      <c r="K791" s="3510"/>
      <c r="L791" s="3511"/>
      <c r="M791" s="3509"/>
      <c r="N791" s="3509"/>
      <c r="O791" s="3509"/>
      <c r="P791" s="3553"/>
      <c r="Q791" s="3509"/>
      <c r="R791" s="3509"/>
      <c r="S791" s="3509"/>
      <c r="T791" s="3509"/>
      <c r="U791" s="3509"/>
      <c r="V791" s="3509"/>
      <c r="W791" s="3509"/>
      <c r="X791" s="3509"/>
      <c r="Y791" s="3509"/>
      <c r="Z791" s="3509"/>
      <c r="AA791" s="3509"/>
      <c r="AB791" s="3509"/>
      <c r="AC791" s="3509"/>
    </row>
    <row r="792" spans="1:29">
      <c r="A792" s="3509"/>
      <c r="B792" s="3509"/>
      <c r="C792" s="3509"/>
      <c r="D792" s="3509"/>
      <c r="E792" s="3509"/>
      <c r="F792" s="3509"/>
      <c r="G792" s="3509"/>
      <c r="H792" s="3509"/>
      <c r="I792" s="3509"/>
      <c r="J792" s="3509"/>
      <c r="K792" s="3510"/>
      <c r="L792" s="3511"/>
      <c r="M792" s="3509"/>
      <c r="N792" s="3509"/>
      <c r="O792" s="3509"/>
      <c r="P792" s="3553"/>
      <c r="Q792" s="3509"/>
      <c r="R792" s="3509"/>
      <c r="S792" s="3509"/>
      <c r="T792" s="3509"/>
      <c r="U792" s="3509"/>
      <c r="V792" s="3509"/>
      <c r="W792" s="3509"/>
      <c r="X792" s="3509"/>
      <c r="Y792" s="3509"/>
      <c r="Z792" s="3509"/>
      <c r="AA792" s="3509"/>
      <c r="AB792" s="3509"/>
      <c r="AC792" s="3509"/>
    </row>
    <row r="793" spans="1:29">
      <c r="A793" s="3509"/>
      <c r="B793" s="3509"/>
      <c r="C793" s="3509"/>
      <c r="D793" s="3509"/>
      <c r="E793" s="3509"/>
      <c r="F793" s="3509"/>
      <c r="G793" s="3509"/>
      <c r="H793" s="3509"/>
      <c r="I793" s="3509"/>
      <c r="J793" s="3509"/>
      <c r="K793" s="3510"/>
      <c r="L793" s="3511"/>
      <c r="M793" s="3509"/>
      <c r="N793" s="3509"/>
      <c r="O793" s="3509"/>
      <c r="P793" s="3553"/>
      <c r="Q793" s="3509"/>
      <c r="R793" s="3509"/>
      <c r="S793" s="3509"/>
      <c r="T793" s="3509"/>
      <c r="U793" s="3509"/>
      <c r="V793" s="3509"/>
      <c r="W793" s="3509"/>
      <c r="X793" s="3509"/>
      <c r="Y793" s="3509"/>
      <c r="Z793" s="3509"/>
      <c r="AA793" s="3509"/>
      <c r="AB793" s="3509"/>
      <c r="AC793" s="3509"/>
    </row>
    <row r="794" spans="1:29">
      <c r="A794" s="3509"/>
      <c r="B794" s="3509"/>
      <c r="C794" s="3509"/>
      <c r="D794" s="3509"/>
      <c r="E794" s="3509"/>
      <c r="F794" s="3509"/>
      <c r="G794" s="3509"/>
      <c r="H794" s="3509"/>
      <c r="I794" s="3509"/>
      <c r="J794" s="3509"/>
      <c r="K794" s="3510"/>
      <c r="L794" s="3511"/>
      <c r="M794" s="3509"/>
      <c r="N794" s="3509"/>
      <c r="O794" s="3509"/>
      <c r="P794" s="3553"/>
      <c r="Q794" s="3509"/>
      <c r="R794" s="3509"/>
      <c r="S794" s="3509"/>
      <c r="T794" s="3509"/>
      <c r="U794" s="3509"/>
      <c r="V794" s="3509"/>
      <c r="W794" s="3509"/>
      <c r="X794" s="3509"/>
      <c r="Y794" s="3509"/>
      <c r="Z794" s="3509"/>
      <c r="AA794" s="3509"/>
      <c r="AB794" s="3509"/>
      <c r="AC794" s="3509"/>
    </row>
    <row r="795" spans="1:29">
      <c r="A795" s="3509"/>
      <c r="B795" s="3509"/>
      <c r="C795" s="3509"/>
      <c r="D795" s="3509"/>
      <c r="E795" s="3509"/>
      <c r="F795" s="3509"/>
      <c r="G795" s="3509"/>
      <c r="H795" s="3509"/>
      <c r="I795" s="3509"/>
      <c r="J795" s="3509"/>
      <c r="K795" s="3510"/>
      <c r="L795" s="3511"/>
      <c r="M795" s="3509"/>
      <c r="N795" s="3509"/>
      <c r="O795" s="3509"/>
      <c r="P795" s="3553"/>
      <c r="Q795" s="3509"/>
      <c r="R795" s="3509"/>
      <c r="S795" s="3509"/>
      <c r="T795" s="3509"/>
      <c r="U795" s="3509"/>
      <c r="V795" s="3509"/>
      <c r="W795" s="3509"/>
      <c r="X795" s="3509"/>
      <c r="Y795" s="3509"/>
      <c r="Z795" s="3509"/>
      <c r="AA795" s="3509"/>
      <c r="AB795" s="3509"/>
      <c r="AC795" s="3509"/>
    </row>
    <row r="796" spans="1:29">
      <c r="A796" s="3509"/>
      <c r="B796" s="3509"/>
      <c r="C796" s="3509"/>
      <c r="D796" s="3509"/>
      <c r="E796" s="3509"/>
      <c r="F796" s="3509"/>
      <c r="G796" s="3509"/>
      <c r="H796" s="3509"/>
      <c r="I796" s="3509"/>
      <c r="J796" s="3509"/>
      <c r="K796" s="3510"/>
      <c r="L796" s="3511"/>
      <c r="M796" s="3509"/>
      <c r="N796" s="3509"/>
      <c r="O796" s="3509"/>
      <c r="P796" s="3553"/>
      <c r="Q796" s="3509"/>
      <c r="R796" s="3509"/>
      <c r="S796" s="3509"/>
      <c r="T796" s="3509"/>
      <c r="U796" s="3509"/>
      <c r="V796" s="3509"/>
      <c r="W796" s="3509"/>
      <c r="X796" s="3509"/>
      <c r="Y796" s="3509"/>
      <c r="Z796" s="3509"/>
      <c r="AA796" s="3509"/>
      <c r="AB796" s="3509"/>
      <c r="AC796" s="3509"/>
    </row>
    <row r="797" spans="1:29">
      <c r="A797" s="3509"/>
      <c r="B797" s="3509"/>
      <c r="C797" s="3509"/>
      <c r="D797" s="3509"/>
      <c r="E797" s="3509"/>
      <c r="F797" s="3509"/>
      <c r="G797" s="3509"/>
      <c r="H797" s="3509"/>
      <c r="I797" s="3509"/>
      <c r="J797" s="3509"/>
      <c r="K797" s="3510"/>
      <c r="L797" s="3511"/>
      <c r="M797" s="3509"/>
      <c r="N797" s="3509"/>
      <c r="O797" s="3509"/>
      <c r="P797" s="3553"/>
      <c r="Q797" s="3509"/>
      <c r="R797" s="3509"/>
      <c r="S797" s="3509"/>
      <c r="T797" s="3509"/>
      <c r="U797" s="3509"/>
      <c r="V797" s="3509"/>
      <c r="W797" s="3509"/>
      <c r="X797" s="3509"/>
      <c r="Y797" s="3509"/>
      <c r="Z797" s="3509"/>
      <c r="AA797" s="3509"/>
      <c r="AB797" s="3509"/>
      <c r="AC797" s="3509"/>
    </row>
    <row r="798" spans="1:29">
      <c r="A798" s="3509"/>
      <c r="B798" s="3509"/>
      <c r="C798" s="3509"/>
      <c r="D798" s="3509"/>
      <c r="E798" s="3509"/>
      <c r="F798" s="3509"/>
      <c r="G798" s="3509"/>
      <c r="H798" s="3509"/>
      <c r="I798" s="3509"/>
      <c r="J798" s="3509"/>
      <c r="K798" s="3510"/>
      <c r="L798" s="3511"/>
      <c r="M798" s="3509"/>
      <c r="N798" s="3509"/>
      <c r="O798" s="3509"/>
      <c r="P798" s="3553"/>
      <c r="Q798" s="3509"/>
      <c r="R798" s="3509"/>
      <c r="S798" s="3509"/>
      <c r="T798" s="3509"/>
      <c r="U798" s="3509"/>
      <c r="V798" s="3509"/>
      <c r="W798" s="3509"/>
      <c r="X798" s="3509"/>
      <c r="Y798" s="3509"/>
      <c r="Z798" s="3509"/>
      <c r="AA798" s="3509"/>
      <c r="AB798" s="3509"/>
      <c r="AC798" s="3509"/>
    </row>
    <row r="799" spans="1:29">
      <c r="A799" s="3509"/>
      <c r="B799" s="3509"/>
      <c r="C799" s="3509"/>
      <c r="D799" s="3509"/>
      <c r="E799" s="3509"/>
      <c r="F799" s="3509"/>
      <c r="G799" s="3509"/>
      <c r="H799" s="3509"/>
      <c r="I799" s="3509"/>
      <c r="J799" s="3509"/>
      <c r="K799" s="3510"/>
      <c r="L799" s="3511"/>
      <c r="M799" s="3509"/>
      <c r="N799" s="3509"/>
      <c r="O799" s="3509"/>
      <c r="P799" s="3553"/>
      <c r="Q799" s="3509"/>
      <c r="R799" s="3509"/>
      <c r="S799" s="3509"/>
      <c r="T799" s="3509"/>
      <c r="U799" s="3509"/>
      <c r="V799" s="3509"/>
      <c r="W799" s="3509"/>
      <c r="X799" s="3509"/>
      <c r="Y799" s="3509"/>
      <c r="Z799" s="3509"/>
      <c r="AA799" s="3509"/>
      <c r="AB799" s="3509"/>
      <c r="AC799" s="3509"/>
    </row>
    <row r="800" spans="1:29">
      <c r="A800" s="3509"/>
      <c r="B800" s="3509"/>
      <c r="C800" s="3509"/>
      <c r="D800" s="3509"/>
      <c r="E800" s="3509"/>
      <c r="F800" s="3509"/>
      <c r="G800" s="3509"/>
      <c r="H800" s="3509"/>
      <c r="I800" s="3509"/>
      <c r="J800" s="3509"/>
      <c r="K800" s="3510"/>
      <c r="L800" s="3511"/>
      <c r="M800" s="3509"/>
      <c r="N800" s="3509"/>
      <c r="O800" s="3509"/>
      <c r="P800" s="3553"/>
      <c r="Q800" s="3509"/>
      <c r="R800" s="3509"/>
      <c r="S800" s="3509"/>
      <c r="T800" s="3509"/>
      <c r="U800" s="3509"/>
      <c r="V800" s="3509"/>
      <c r="W800" s="3509"/>
      <c r="X800" s="3509"/>
      <c r="Y800" s="3509"/>
      <c r="Z800" s="3509"/>
      <c r="AA800" s="3509"/>
      <c r="AB800" s="3509"/>
      <c r="AC800" s="3509"/>
    </row>
    <row r="801" spans="1:29">
      <c r="A801" s="3509"/>
      <c r="B801" s="3509"/>
      <c r="C801" s="3509"/>
      <c r="D801" s="3509"/>
      <c r="E801" s="3509"/>
      <c r="F801" s="3509"/>
      <c r="G801" s="3509"/>
      <c r="H801" s="3509"/>
      <c r="I801" s="3509"/>
      <c r="J801" s="3509"/>
      <c r="K801" s="3510"/>
      <c r="L801" s="3511"/>
      <c r="M801" s="3509"/>
      <c r="N801" s="3509"/>
      <c r="O801" s="3509"/>
      <c r="P801" s="3553"/>
      <c r="Q801" s="3509"/>
      <c r="R801" s="3509"/>
      <c r="S801" s="3509"/>
      <c r="T801" s="3509"/>
      <c r="U801" s="3509"/>
      <c r="V801" s="3509"/>
      <c r="W801" s="3509"/>
      <c r="X801" s="3509"/>
      <c r="Y801" s="3509"/>
      <c r="Z801" s="3509"/>
      <c r="AA801" s="3509"/>
      <c r="AB801" s="3509"/>
      <c r="AC801" s="3509"/>
    </row>
    <row r="802" spans="1:29">
      <c r="A802" s="3509"/>
      <c r="B802" s="3509"/>
      <c r="C802" s="3509"/>
      <c r="D802" s="3509"/>
      <c r="E802" s="3509"/>
      <c r="F802" s="3509"/>
      <c r="G802" s="3509"/>
      <c r="H802" s="3509"/>
      <c r="I802" s="3509"/>
      <c r="J802" s="3509"/>
      <c r="K802" s="3510"/>
      <c r="L802" s="3511"/>
      <c r="M802" s="3509"/>
      <c r="N802" s="3509"/>
      <c r="O802" s="3509"/>
      <c r="P802" s="3553"/>
      <c r="Q802" s="3509"/>
      <c r="R802" s="3509"/>
      <c r="S802" s="3509"/>
      <c r="T802" s="3509"/>
      <c r="U802" s="3509"/>
      <c r="V802" s="3509"/>
      <c r="W802" s="3509"/>
      <c r="X802" s="3509"/>
      <c r="Y802" s="3509"/>
      <c r="Z802" s="3509"/>
      <c r="AA802" s="3509"/>
      <c r="AB802" s="3509"/>
      <c r="AC802" s="3509"/>
    </row>
    <row r="803" spans="1:29">
      <c r="A803" s="3509"/>
      <c r="B803" s="3509"/>
      <c r="C803" s="3509"/>
      <c r="D803" s="3509"/>
      <c r="E803" s="3509"/>
      <c r="F803" s="3509"/>
      <c r="G803" s="3509"/>
      <c r="H803" s="3509"/>
      <c r="I803" s="3509"/>
      <c r="J803" s="3509"/>
      <c r="K803" s="3510"/>
      <c r="L803" s="3511"/>
      <c r="M803" s="3509"/>
      <c r="N803" s="3509"/>
      <c r="O803" s="3509"/>
      <c r="P803" s="3553"/>
      <c r="Q803" s="3509"/>
      <c r="R803" s="3509"/>
      <c r="S803" s="3509"/>
      <c r="T803" s="3509"/>
      <c r="U803" s="3509"/>
      <c r="V803" s="3509"/>
      <c r="W803" s="3509"/>
      <c r="X803" s="3509"/>
      <c r="Y803" s="3509"/>
      <c r="Z803" s="3509"/>
      <c r="AA803" s="3509"/>
      <c r="AB803" s="3509"/>
      <c r="AC803" s="3509"/>
    </row>
    <row r="804" spans="1:29">
      <c r="A804" s="3509"/>
      <c r="B804" s="3509"/>
      <c r="C804" s="3509"/>
      <c r="D804" s="3509"/>
      <c r="E804" s="3509"/>
      <c r="F804" s="3509"/>
      <c r="G804" s="3509"/>
      <c r="H804" s="3509"/>
      <c r="I804" s="3509"/>
      <c r="J804" s="3509"/>
      <c r="K804" s="3510"/>
      <c r="L804" s="3511"/>
      <c r="M804" s="3509"/>
      <c r="N804" s="3509"/>
      <c r="O804" s="3509"/>
      <c r="P804" s="3553"/>
      <c r="Q804" s="3509"/>
      <c r="R804" s="3509"/>
      <c r="S804" s="3509"/>
      <c r="T804" s="3509"/>
      <c r="U804" s="3509"/>
      <c r="V804" s="3509"/>
      <c r="W804" s="3509"/>
      <c r="X804" s="3509"/>
      <c r="Y804" s="3509"/>
      <c r="Z804" s="3509"/>
      <c r="AA804" s="3509"/>
      <c r="AB804" s="3509"/>
      <c r="AC804" s="3509"/>
    </row>
    <row r="805" spans="1:29">
      <c r="A805" s="3509"/>
      <c r="B805" s="3509"/>
      <c r="C805" s="3509"/>
      <c r="D805" s="3509"/>
      <c r="E805" s="3509"/>
      <c r="F805" s="3509"/>
      <c r="G805" s="3509"/>
      <c r="H805" s="3509"/>
      <c r="I805" s="3509"/>
      <c r="J805" s="3509"/>
      <c r="K805" s="3510"/>
      <c r="L805" s="3511"/>
      <c r="M805" s="3509"/>
      <c r="N805" s="3509"/>
      <c r="O805" s="3509"/>
      <c r="P805" s="3553"/>
      <c r="Q805" s="3509"/>
      <c r="R805" s="3509"/>
      <c r="S805" s="3509"/>
      <c r="T805" s="3509"/>
      <c r="U805" s="3509"/>
      <c r="V805" s="3509"/>
      <c r="W805" s="3509"/>
      <c r="X805" s="3509"/>
      <c r="Y805" s="3509"/>
      <c r="Z805" s="3509"/>
      <c r="AA805" s="3509"/>
      <c r="AB805" s="3509"/>
      <c r="AC805" s="3509"/>
    </row>
    <row r="806" spans="1:29">
      <c r="A806" s="3509"/>
      <c r="B806" s="3509"/>
      <c r="C806" s="3509"/>
      <c r="D806" s="3509"/>
      <c r="E806" s="3509"/>
      <c r="F806" s="3509"/>
      <c r="G806" s="3509"/>
      <c r="H806" s="3509"/>
      <c r="I806" s="3509"/>
      <c r="J806" s="3509"/>
      <c r="K806" s="3510"/>
      <c r="L806" s="3511"/>
      <c r="M806" s="3509"/>
      <c r="N806" s="3509"/>
      <c r="O806" s="3509"/>
      <c r="P806" s="3553"/>
      <c r="Q806" s="3509"/>
      <c r="R806" s="3509"/>
      <c r="S806" s="3509"/>
      <c r="T806" s="3509"/>
      <c r="U806" s="3509"/>
      <c r="V806" s="3509"/>
      <c r="W806" s="3509"/>
      <c r="X806" s="3509"/>
      <c r="Y806" s="3509"/>
      <c r="Z806" s="3509"/>
      <c r="AA806" s="3509"/>
      <c r="AB806" s="3509"/>
      <c r="AC806" s="3509"/>
    </row>
    <row r="807" spans="1:29">
      <c r="A807" s="3509"/>
      <c r="B807" s="3509"/>
      <c r="C807" s="3509"/>
      <c r="D807" s="3509"/>
      <c r="E807" s="3509"/>
      <c r="F807" s="3509"/>
      <c r="G807" s="3509"/>
      <c r="H807" s="3509"/>
      <c r="I807" s="3509"/>
      <c r="J807" s="3509"/>
      <c r="K807" s="3510"/>
      <c r="L807" s="3511"/>
      <c r="M807" s="3509"/>
      <c r="N807" s="3509"/>
      <c r="O807" s="3509"/>
      <c r="P807" s="3553"/>
      <c r="Q807" s="3509"/>
      <c r="R807" s="3509"/>
      <c r="S807" s="3509"/>
      <c r="T807" s="3509"/>
      <c r="U807" s="3509"/>
      <c r="V807" s="3509"/>
      <c r="W807" s="3509"/>
      <c r="X807" s="3509"/>
      <c r="Y807" s="3509"/>
      <c r="Z807" s="3509"/>
      <c r="AA807" s="3509"/>
      <c r="AB807" s="3509"/>
      <c r="AC807" s="3509"/>
    </row>
    <row r="808" spans="1:29">
      <c r="A808" s="3509"/>
      <c r="B808" s="3509"/>
      <c r="C808" s="3509"/>
      <c r="D808" s="3509"/>
      <c r="E808" s="3509"/>
      <c r="F808" s="3509"/>
      <c r="G808" s="3509"/>
      <c r="H808" s="3509"/>
      <c r="I808" s="3509"/>
      <c r="J808" s="3509"/>
      <c r="K808" s="3510"/>
      <c r="L808" s="3511"/>
      <c r="M808" s="3509"/>
      <c r="N808" s="3509"/>
      <c r="O808" s="3509"/>
      <c r="P808" s="3553"/>
      <c r="Q808" s="3509"/>
      <c r="R808" s="3509"/>
      <c r="S808" s="3509"/>
      <c r="T808" s="3509"/>
      <c r="U808" s="3509"/>
      <c r="V808" s="3509"/>
      <c r="W808" s="3509"/>
      <c r="X808" s="3509"/>
      <c r="Y808" s="3509"/>
      <c r="Z808" s="3509"/>
      <c r="AA808" s="3509"/>
      <c r="AB808" s="3509"/>
      <c r="AC808" s="3509"/>
    </row>
    <row r="809" spans="1:29">
      <c r="A809" s="3509"/>
      <c r="B809" s="3509"/>
      <c r="C809" s="3509"/>
      <c r="D809" s="3509"/>
      <c r="E809" s="3509"/>
      <c r="F809" s="3509"/>
      <c r="G809" s="3509"/>
      <c r="H809" s="3509"/>
      <c r="I809" s="3509"/>
      <c r="J809" s="3509"/>
      <c r="K809" s="3510"/>
      <c r="L809" s="3511"/>
      <c r="M809" s="3509"/>
      <c r="N809" s="3509"/>
      <c r="O809" s="3509"/>
      <c r="P809" s="3553"/>
      <c r="Q809" s="3509"/>
      <c r="R809" s="3509"/>
      <c r="S809" s="3509"/>
      <c r="T809" s="3509"/>
      <c r="U809" s="3509"/>
      <c r="V809" s="3509"/>
      <c r="W809" s="3509"/>
      <c r="X809" s="3509"/>
      <c r="Y809" s="3509"/>
      <c r="Z809" s="3509"/>
      <c r="AA809" s="3509"/>
      <c r="AB809" s="3509"/>
      <c r="AC809" s="3509"/>
    </row>
    <row r="810" spans="1:29">
      <c r="A810" s="3509"/>
      <c r="B810" s="3509"/>
      <c r="C810" s="3509"/>
      <c r="D810" s="3509"/>
      <c r="E810" s="3509"/>
      <c r="F810" s="3509"/>
      <c r="G810" s="3509"/>
      <c r="H810" s="3509"/>
      <c r="I810" s="3509"/>
      <c r="J810" s="3509"/>
      <c r="K810" s="3510"/>
      <c r="L810" s="3511"/>
      <c r="M810" s="3509"/>
      <c r="N810" s="3509"/>
      <c r="O810" s="3509"/>
      <c r="P810" s="3553"/>
      <c r="Q810" s="3509"/>
      <c r="R810" s="3509"/>
      <c r="S810" s="3509"/>
      <c r="T810" s="3509"/>
      <c r="U810" s="3509"/>
      <c r="V810" s="3509"/>
      <c r="W810" s="3509"/>
      <c r="X810" s="3509"/>
      <c r="Y810" s="3509"/>
      <c r="Z810" s="3509"/>
      <c r="AA810" s="3509"/>
      <c r="AB810" s="3509"/>
      <c r="AC810" s="3509"/>
    </row>
    <row r="811" spans="1:29">
      <c r="A811" s="3509"/>
      <c r="B811" s="3509"/>
      <c r="C811" s="3509"/>
      <c r="D811" s="3509"/>
      <c r="E811" s="3509"/>
      <c r="F811" s="3509"/>
      <c r="G811" s="3509"/>
      <c r="H811" s="3509"/>
      <c r="I811" s="3509"/>
      <c r="J811" s="3509"/>
      <c r="K811" s="3510"/>
      <c r="L811" s="3511"/>
      <c r="M811" s="3509"/>
      <c r="N811" s="3509"/>
      <c r="O811" s="3509"/>
      <c r="P811" s="3553"/>
      <c r="Q811" s="3509"/>
      <c r="R811" s="3509"/>
      <c r="S811" s="3509"/>
      <c r="T811" s="3509"/>
      <c r="U811" s="3509"/>
      <c r="V811" s="3509"/>
      <c r="W811" s="3509"/>
      <c r="X811" s="3509"/>
      <c r="Y811" s="3509"/>
      <c r="Z811" s="3509"/>
      <c r="AA811" s="3509"/>
      <c r="AB811" s="3509"/>
      <c r="AC811" s="3509"/>
    </row>
    <row r="812" spans="1:29">
      <c r="A812" s="3509"/>
      <c r="B812" s="3509"/>
      <c r="C812" s="3509"/>
      <c r="D812" s="3509"/>
      <c r="E812" s="3509"/>
      <c r="F812" s="3509"/>
      <c r="G812" s="3509"/>
      <c r="H812" s="3509"/>
      <c r="I812" s="3509"/>
      <c r="J812" s="3509"/>
      <c r="K812" s="3510"/>
      <c r="L812" s="3511"/>
      <c r="M812" s="3509"/>
      <c r="N812" s="3509"/>
      <c r="O812" s="3509"/>
      <c r="P812" s="3553"/>
      <c r="Q812" s="3509"/>
      <c r="R812" s="3509"/>
      <c r="S812" s="3509"/>
      <c r="T812" s="3509"/>
      <c r="U812" s="3509"/>
      <c r="V812" s="3509"/>
      <c r="W812" s="3509"/>
      <c r="X812" s="3509"/>
      <c r="Y812" s="3509"/>
      <c r="Z812" s="3509"/>
      <c r="AA812" s="3509"/>
      <c r="AB812" s="3509"/>
      <c r="AC812" s="3509"/>
    </row>
    <row r="813" spans="1:29">
      <c r="A813" s="3509"/>
      <c r="B813" s="3509"/>
      <c r="C813" s="3509"/>
      <c r="D813" s="3509"/>
      <c r="E813" s="3509"/>
      <c r="F813" s="3509"/>
      <c r="G813" s="3509"/>
      <c r="H813" s="3509"/>
      <c r="I813" s="3509"/>
      <c r="J813" s="3509"/>
      <c r="K813" s="3510"/>
      <c r="L813" s="3511"/>
      <c r="M813" s="3509"/>
      <c r="N813" s="3509"/>
      <c r="O813" s="3509"/>
      <c r="P813" s="3553"/>
      <c r="Q813" s="3509"/>
      <c r="R813" s="3509"/>
      <c r="S813" s="3509"/>
      <c r="T813" s="3509"/>
      <c r="U813" s="3509"/>
      <c r="V813" s="3509"/>
      <c r="W813" s="3509"/>
      <c r="X813" s="3509"/>
      <c r="Y813" s="3509"/>
      <c r="Z813" s="3509"/>
      <c r="AA813" s="3509"/>
      <c r="AB813" s="3509"/>
      <c r="AC813" s="3509"/>
    </row>
    <row r="814" spans="1:29">
      <c r="A814" s="3509"/>
      <c r="B814" s="3509"/>
      <c r="C814" s="3509"/>
      <c r="D814" s="3509"/>
      <c r="E814" s="3509"/>
      <c r="F814" s="3509"/>
      <c r="G814" s="3509"/>
      <c r="H814" s="3509"/>
      <c r="I814" s="3509"/>
      <c r="J814" s="3509"/>
      <c r="K814" s="3510"/>
      <c r="L814" s="3511"/>
      <c r="M814" s="3509"/>
      <c r="N814" s="3509"/>
      <c r="O814" s="3509"/>
      <c r="P814" s="3553"/>
      <c r="Q814" s="3509"/>
      <c r="R814" s="3509"/>
      <c r="S814" s="3509"/>
      <c r="T814" s="3509"/>
      <c r="U814" s="3509"/>
      <c r="V814" s="3509"/>
      <c r="W814" s="3509"/>
      <c r="X814" s="3509"/>
      <c r="Y814" s="3509"/>
      <c r="Z814" s="3509"/>
      <c r="AA814" s="3509"/>
      <c r="AB814" s="3509"/>
      <c r="AC814" s="3509"/>
    </row>
    <row r="815" spans="1:29">
      <c r="A815" s="3509"/>
      <c r="B815" s="3509"/>
      <c r="C815" s="3509"/>
      <c r="D815" s="3509"/>
      <c r="E815" s="3509"/>
      <c r="F815" s="3509"/>
      <c r="G815" s="3509"/>
      <c r="H815" s="3509"/>
      <c r="I815" s="3509"/>
      <c r="J815" s="3509"/>
      <c r="K815" s="3510"/>
      <c r="L815" s="3511"/>
      <c r="M815" s="3509"/>
      <c r="N815" s="3509"/>
      <c r="O815" s="3509"/>
      <c r="P815" s="3553"/>
      <c r="Q815" s="3509"/>
      <c r="R815" s="3509"/>
      <c r="S815" s="3509"/>
      <c r="T815" s="3509"/>
      <c r="U815" s="3509"/>
      <c r="V815" s="3509"/>
      <c r="W815" s="3509"/>
      <c r="X815" s="3509"/>
      <c r="Y815" s="3509"/>
      <c r="Z815" s="3509"/>
      <c r="AA815" s="3509"/>
      <c r="AB815" s="3509"/>
      <c r="AC815" s="3509"/>
    </row>
    <row r="816" spans="1:29">
      <c r="A816" s="3509"/>
      <c r="B816" s="3509"/>
      <c r="C816" s="3509"/>
      <c r="D816" s="3509"/>
      <c r="E816" s="3509"/>
      <c r="F816" s="3509"/>
      <c r="G816" s="3509"/>
      <c r="H816" s="3509"/>
      <c r="I816" s="3509"/>
      <c r="J816" s="3509"/>
      <c r="K816" s="3510"/>
      <c r="L816" s="3511"/>
      <c r="M816" s="3509"/>
      <c r="N816" s="3509"/>
      <c r="O816" s="3509"/>
      <c r="P816" s="3553"/>
      <c r="Q816" s="3509"/>
      <c r="R816" s="3509"/>
      <c r="S816" s="3509"/>
      <c r="T816" s="3509"/>
      <c r="U816" s="3509"/>
      <c r="V816" s="3509"/>
      <c r="W816" s="3509"/>
      <c r="X816" s="3509"/>
      <c r="Y816" s="3509"/>
      <c r="Z816" s="3509"/>
      <c r="AA816" s="3509"/>
      <c r="AB816" s="3509"/>
      <c r="AC816" s="3509"/>
    </row>
    <row r="817" spans="1:29">
      <c r="A817" s="3509"/>
      <c r="B817" s="3509"/>
      <c r="C817" s="3509"/>
      <c r="D817" s="3509"/>
      <c r="E817" s="3509"/>
      <c r="F817" s="3509"/>
      <c r="G817" s="3509"/>
      <c r="H817" s="3509"/>
      <c r="I817" s="3509"/>
      <c r="J817" s="3509"/>
      <c r="K817" s="3510"/>
      <c r="L817" s="3511"/>
      <c r="M817" s="3509"/>
      <c r="N817" s="3509"/>
      <c r="O817" s="3509"/>
      <c r="P817" s="3553"/>
      <c r="Q817" s="3509"/>
      <c r="R817" s="3509"/>
      <c r="S817" s="3509"/>
      <c r="T817" s="3509"/>
      <c r="U817" s="3509"/>
      <c r="V817" s="3509"/>
      <c r="W817" s="3509"/>
      <c r="X817" s="3509"/>
      <c r="Y817" s="3509"/>
      <c r="Z817" s="3509"/>
      <c r="AA817" s="3509"/>
      <c r="AB817" s="3509"/>
      <c r="AC817" s="3509"/>
    </row>
    <row r="818" spans="1:29">
      <c r="A818" s="3509"/>
      <c r="B818" s="3509"/>
      <c r="C818" s="3509"/>
      <c r="D818" s="3509"/>
      <c r="E818" s="3509"/>
      <c r="F818" s="3509"/>
      <c r="G818" s="3509"/>
      <c r="H818" s="3509"/>
      <c r="I818" s="3509"/>
      <c r="J818" s="3509"/>
      <c r="K818" s="3510"/>
      <c r="L818" s="3511"/>
      <c r="M818" s="3509"/>
      <c r="N818" s="3509"/>
      <c r="O818" s="3509"/>
      <c r="P818" s="3553"/>
      <c r="Q818" s="3509"/>
      <c r="R818" s="3509"/>
      <c r="S818" s="3509"/>
      <c r="T818" s="3509"/>
      <c r="U818" s="3509"/>
      <c r="V818" s="3509"/>
      <c r="W818" s="3509"/>
      <c r="X818" s="3509"/>
      <c r="Y818" s="3509"/>
      <c r="Z818" s="3509"/>
      <c r="AA818" s="3509"/>
      <c r="AB818" s="3509"/>
      <c r="AC818" s="3509"/>
    </row>
    <row r="819" spans="1:29">
      <c r="A819" s="3509"/>
      <c r="B819" s="3509"/>
      <c r="C819" s="3509"/>
      <c r="D819" s="3509"/>
      <c r="E819" s="3509"/>
      <c r="F819" s="3509"/>
      <c r="G819" s="3509"/>
      <c r="H819" s="3509"/>
      <c r="I819" s="3509"/>
      <c r="J819" s="3509"/>
      <c r="K819" s="3510"/>
      <c r="L819" s="3511"/>
      <c r="M819" s="3509"/>
      <c r="N819" s="3509"/>
      <c r="O819" s="3509"/>
      <c r="P819" s="3553"/>
      <c r="Q819" s="3509"/>
      <c r="R819" s="3509"/>
      <c r="S819" s="3509"/>
      <c r="T819" s="3509"/>
      <c r="U819" s="3509"/>
      <c r="V819" s="3509"/>
      <c r="W819" s="3509"/>
      <c r="X819" s="3509"/>
      <c r="Y819" s="3509"/>
      <c r="Z819" s="3509"/>
      <c r="AA819" s="3509"/>
      <c r="AB819" s="3509"/>
      <c r="AC819" s="3509"/>
    </row>
    <row r="820" spans="1:29">
      <c r="A820" s="3509"/>
      <c r="B820" s="3509"/>
      <c r="C820" s="3509"/>
      <c r="D820" s="3509"/>
      <c r="E820" s="3509"/>
      <c r="F820" s="3509"/>
      <c r="G820" s="3509"/>
      <c r="H820" s="3509"/>
      <c r="I820" s="3509"/>
      <c r="J820" s="3509"/>
      <c r="K820" s="3510"/>
      <c r="L820" s="3511"/>
      <c r="M820" s="3509"/>
      <c r="N820" s="3509"/>
      <c r="O820" s="3509"/>
      <c r="P820" s="3553"/>
      <c r="Q820" s="3509"/>
      <c r="R820" s="3509"/>
      <c r="S820" s="3509"/>
      <c r="T820" s="3509"/>
      <c r="U820" s="3509"/>
      <c r="V820" s="3509"/>
      <c r="W820" s="3509"/>
      <c r="X820" s="3509"/>
      <c r="Y820" s="3509"/>
      <c r="Z820" s="3509"/>
      <c r="AA820" s="3509"/>
      <c r="AB820" s="3509"/>
      <c r="AC820" s="3509"/>
    </row>
    <row r="821" spans="1:29">
      <c r="A821" s="3509"/>
      <c r="B821" s="3509"/>
      <c r="C821" s="3509"/>
      <c r="D821" s="3509"/>
      <c r="E821" s="3509"/>
      <c r="F821" s="3509"/>
      <c r="G821" s="3509"/>
      <c r="H821" s="3509"/>
      <c r="I821" s="3509"/>
      <c r="J821" s="3509"/>
      <c r="K821" s="3510"/>
      <c r="L821" s="3511"/>
      <c r="M821" s="3509"/>
      <c r="N821" s="3509"/>
      <c r="O821" s="3509"/>
      <c r="P821" s="3553"/>
      <c r="Q821" s="3509"/>
      <c r="R821" s="3509"/>
      <c r="S821" s="3509"/>
      <c r="T821" s="3509"/>
      <c r="U821" s="3509"/>
      <c r="V821" s="3509"/>
      <c r="W821" s="3509"/>
      <c r="X821" s="3509"/>
      <c r="Y821" s="3509"/>
      <c r="Z821" s="3509"/>
      <c r="AA821" s="3509"/>
      <c r="AB821" s="3509"/>
      <c r="AC821" s="3509"/>
    </row>
    <row r="822" spans="1:29">
      <c r="A822" s="3509"/>
      <c r="B822" s="3509"/>
      <c r="C822" s="3509"/>
      <c r="D822" s="3509"/>
      <c r="E822" s="3509"/>
      <c r="F822" s="3509"/>
      <c r="G822" s="3509"/>
      <c r="H822" s="3509"/>
      <c r="I822" s="3509"/>
      <c r="J822" s="3509"/>
      <c r="K822" s="3510"/>
      <c r="L822" s="3511"/>
      <c r="M822" s="3509"/>
      <c r="N822" s="3509"/>
      <c r="O822" s="3509"/>
      <c r="P822" s="3553"/>
      <c r="Q822" s="3509"/>
      <c r="R822" s="3509"/>
      <c r="S822" s="3509"/>
      <c r="T822" s="3509"/>
      <c r="U822" s="3509"/>
      <c r="V822" s="3509"/>
      <c r="W822" s="3509"/>
      <c r="X822" s="3509"/>
      <c r="Y822" s="3509"/>
      <c r="Z822" s="3509"/>
      <c r="AA822" s="3509"/>
      <c r="AB822" s="3509"/>
      <c r="AC822" s="3509"/>
    </row>
    <row r="823" spans="1:29">
      <c r="A823" s="3509"/>
      <c r="B823" s="3509"/>
      <c r="C823" s="3509"/>
      <c r="D823" s="3509"/>
      <c r="E823" s="3509"/>
      <c r="F823" s="3509"/>
      <c r="G823" s="3509"/>
      <c r="H823" s="3509"/>
      <c r="I823" s="3509"/>
      <c r="J823" s="3509"/>
      <c r="K823" s="3510"/>
      <c r="L823" s="3511"/>
      <c r="M823" s="3509"/>
      <c r="N823" s="3509"/>
      <c r="O823" s="3509"/>
      <c r="P823" s="3553"/>
      <c r="Q823" s="3509"/>
      <c r="R823" s="3509"/>
      <c r="S823" s="3509"/>
      <c r="T823" s="3509"/>
      <c r="U823" s="3509"/>
      <c r="V823" s="3509"/>
      <c r="W823" s="3509"/>
      <c r="X823" s="3509"/>
      <c r="Y823" s="3509"/>
      <c r="Z823" s="3509"/>
      <c r="AA823" s="3509"/>
      <c r="AB823" s="3509"/>
      <c r="AC823" s="3509"/>
    </row>
    <row r="824" spans="1:29">
      <c r="A824" s="3509"/>
      <c r="B824" s="3509"/>
      <c r="C824" s="3509"/>
      <c r="D824" s="3509"/>
      <c r="E824" s="3509"/>
      <c r="F824" s="3509"/>
      <c r="G824" s="3509"/>
      <c r="H824" s="3509"/>
      <c r="I824" s="3509"/>
      <c r="J824" s="3509"/>
      <c r="K824" s="3510"/>
      <c r="L824" s="3511"/>
      <c r="M824" s="3509"/>
      <c r="N824" s="3509"/>
      <c r="O824" s="3509"/>
      <c r="P824" s="3553"/>
      <c r="Q824" s="3509"/>
      <c r="R824" s="3509"/>
      <c r="S824" s="3509"/>
      <c r="T824" s="3509"/>
      <c r="U824" s="3509"/>
      <c r="V824" s="3509"/>
      <c r="W824" s="3509"/>
      <c r="X824" s="3509"/>
      <c r="Y824" s="3509"/>
      <c r="Z824" s="3509"/>
      <c r="AA824" s="3509"/>
      <c r="AB824" s="3509"/>
      <c r="AC824" s="3509"/>
    </row>
    <row r="825" spans="1:29">
      <c r="A825" s="3509"/>
      <c r="B825" s="3509"/>
      <c r="C825" s="3509"/>
      <c r="D825" s="3509"/>
      <c r="E825" s="3509"/>
      <c r="F825" s="3509"/>
      <c r="G825" s="3509"/>
      <c r="H825" s="3509"/>
      <c r="I825" s="3509"/>
      <c r="J825" s="3509"/>
      <c r="K825" s="3510"/>
      <c r="L825" s="3511"/>
      <c r="M825" s="3509"/>
      <c r="N825" s="3509"/>
      <c r="O825" s="3509"/>
      <c r="P825" s="3553"/>
      <c r="Q825" s="3509"/>
      <c r="R825" s="3509"/>
      <c r="S825" s="3509"/>
      <c r="T825" s="3509"/>
      <c r="U825" s="3509"/>
      <c r="V825" s="3509"/>
      <c r="W825" s="3509"/>
      <c r="X825" s="3509"/>
      <c r="Y825" s="3509"/>
      <c r="Z825" s="3509"/>
      <c r="AA825" s="3509"/>
      <c r="AB825" s="3509"/>
      <c r="AC825" s="3509"/>
    </row>
    <row r="826" spans="1:29">
      <c r="A826" s="3509"/>
      <c r="B826" s="3509"/>
      <c r="C826" s="3509"/>
      <c r="D826" s="3509"/>
      <c r="E826" s="3509"/>
      <c r="F826" s="3509"/>
      <c r="G826" s="3509"/>
      <c r="H826" s="3509"/>
      <c r="I826" s="3509"/>
      <c r="J826" s="3509"/>
      <c r="K826" s="3510"/>
      <c r="L826" s="3511"/>
      <c r="M826" s="3509"/>
      <c r="N826" s="3509"/>
      <c r="O826" s="3509"/>
      <c r="P826" s="3553"/>
      <c r="Q826" s="3509"/>
      <c r="R826" s="3509"/>
      <c r="S826" s="3509"/>
      <c r="T826" s="3509"/>
      <c r="U826" s="3509"/>
      <c r="V826" s="3509"/>
      <c r="W826" s="3509"/>
      <c r="X826" s="3509"/>
      <c r="Y826" s="3509"/>
      <c r="Z826" s="3509"/>
      <c r="AA826" s="3509"/>
      <c r="AB826" s="3509"/>
      <c r="AC826" s="3509"/>
    </row>
    <row r="827" spans="1:29">
      <c r="A827" s="3509"/>
      <c r="B827" s="3509"/>
      <c r="C827" s="3509"/>
      <c r="D827" s="3509"/>
      <c r="E827" s="3509"/>
      <c r="F827" s="3509"/>
      <c r="G827" s="3509"/>
      <c r="H827" s="3509"/>
      <c r="I827" s="3509"/>
      <c r="J827" s="3509"/>
      <c r="K827" s="3510"/>
      <c r="L827" s="3511"/>
      <c r="M827" s="3509"/>
      <c r="N827" s="3509"/>
      <c r="O827" s="3509"/>
      <c r="P827" s="3553"/>
      <c r="Q827" s="3509"/>
      <c r="R827" s="3509"/>
      <c r="S827" s="3509"/>
      <c r="T827" s="3509"/>
      <c r="U827" s="3509"/>
      <c r="V827" s="3509"/>
      <c r="W827" s="3509"/>
      <c r="X827" s="3509"/>
      <c r="Y827" s="3509"/>
      <c r="Z827" s="3509"/>
      <c r="AA827" s="3509"/>
      <c r="AB827" s="3509"/>
      <c r="AC827" s="3509"/>
    </row>
    <row r="828" spans="1:29">
      <c r="A828" s="3509"/>
      <c r="B828" s="3509"/>
      <c r="C828" s="3509"/>
      <c r="D828" s="3509"/>
      <c r="E828" s="3509"/>
      <c r="F828" s="3509"/>
      <c r="G828" s="3509"/>
      <c r="H828" s="3509"/>
      <c r="I828" s="3509"/>
      <c r="J828" s="3509"/>
      <c r="K828" s="3510"/>
      <c r="L828" s="3511"/>
      <c r="M828" s="3509"/>
      <c r="N828" s="3509"/>
      <c r="O828" s="3509"/>
      <c r="P828" s="3553"/>
      <c r="Q828" s="3509"/>
      <c r="R828" s="3509"/>
      <c r="S828" s="3509"/>
      <c r="T828" s="3509"/>
      <c r="U828" s="3509"/>
      <c r="V828" s="3509"/>
      <c r="W828" s="3509"/>
      <c r="X828" s="3509"/>
      <c r="Y828" s="3509"/>
      <c r="Z828" s="3509"/>
      <c r="AA828" s="3509"/>
      <c r="AB828" s="3509"/>
      <c r="AC828" s="3509"/>
    </row>
    <row r="829" spans="1:29">
      <c r="A829" s="3509"/>
      <c r="B829" s="3509"/>
      <c r="C829" s="3509"/>
      <c r="D829" s="3509"/>
      <c r="E829" s="3509"/>
      <c r="F829" s="3509"/>
      <c r="G829" s="3509"/>
      <c r="H829" s="3509"/>
      <c r="I829" s="3509"/>
      <c r="J829" s="3509"/>
      <c r="K829" s="3510"/>
      <c r="L829" s="3511"/>
      <c r="M829" s="3509"/>
      <c r="N829" s="3509"/>
      <c r="O829" s="3509"/>
      <c r="P829" s="3553"/>
      <c r="Q829" s="3509"/>
      <c r="R829" s="3509"/>
      <c r="S829" s="3509"/>
      <c r="T829" s="3509"/>
      <c r="U829" s="3509"/>
      <c r="V829" s="3509"/>
      <c r="W829" s="3509"/>
      <c r="X829" s="3509"/>
      <c r="Y829" s="3509"/>
      <c r="Z829" s="3509"/>
      <c r="AA829" s="3509"/>
      <c r="AB829" s="3509"/>
      <c r="AC829" s="3509"/>
    </row>
    <row r="830" spans="1:29">
      <c r="A830" s="3509"/>
      <c r="B830" s="3509"/>
      <c r="C830" s="3509"/>
      <c r="D830" s="3509"/>
      <c r="E830" s="3509"/>
      <c r="F830" s="3509"/>
      <c r="G830" s="3509"/>
      <c r="H830" s="3509"/>
      <c r="I830" s="3509"/>
      <c r="J830" s="3509"/>
      <c r="K830" s="3510"/>
      <c r="L830" s="3511"/>
      <c r="M830" s="3509"/>
      <c r="N830" s="3509"/>
      <c r="O830" s="3509"/>
      <c r="P830" s="3553"/>
      <c r="Q830" s="3509"/>
      <c r="R830" s="3509"/>
      <c r="S830" s="3509"/>
      <c r="T830" s="3509"/>
      <c r="U830" s="3509"/>
      <c r="V830" s="3509"/>
      <c r="W830" s="3509"/>
      <c r="X830" s="3509"/>
      <c r="Y830" s="3509"/>
      <c r="Z830" s="3509"/>
      <c r="AA830" s="3509"/>
      <c r="AB830" s="3509"/>
      <c r="AC830" s="3509"/>
    </row>
    <row r="831" spans="1:29">
      <c r="A831" s="3509"/>
      <c r="B831" s="3509"/>
      <c r="C831" s="3509"/>
      <c r="D831" s="3509"/>
      <c r="E831" s="3509"/>
      <c r="F831" s="3509"/>
      <c r="G831" s="3509"/>
      <c r="H831" s="3509"/>
      <c r="I831" s="3509"/>
      <c r="J831" s="3509"/>
      <c r="K831" s="3510"/>
      <c r="L831" s="3511"/>
      <c r="M831" s="3509"/>
      <c r="N831" s="3509"/>
      <c r="O831" s="3509"/>
      <c r="P831" s="3553"/>
      <c r="Q831" s="3509"/>
      <c r="R831" s="3509"/>
      <c r="S831" s="3509"/>
      <c r="T831" s="3509"/>
      <c r="U831" s="3509"/>
      <c r="V831" s="3509"/>
      <c r="W831" s="3509"/>
      <c r="X831" s="3509"/>
      <c r="Y831" s="3509"/>
      <c r="Z831" s="3509"/>
      <c r="AA831" s="3509"/>
      <c r="AB831" s="3509"/>
      <c r="AC831" s="3509"/>
    </row>
    <row r="832" spans="1:29">
      <c r="A832" s="3509"/>
      <c r="B832" s="3509"/>
      <c r="C832" s="3509"/>
      <c r="D832" s="3509"/>
      <c r="E832" s="3509"/>
      <c r="F832" s="3509"/>
      <c r="G832" s="3509"/>
      <c r="H832" s="3509"/>
      <c r="I832" s="3509"/>
      <c r="J832" s="3509"/>
      <c r="K832" s="3510"/>
      <c r="L832" s="3511"/>
      <c r="M832" s="3509"/>
      <c r="N832" s="3509"/>
      <c r="O832" s="3509"/>
      <c r="P832" s="3553"/>
      <c r="Q832" s="3509"/>
      <c r="R832" s="3509"/>
      <c r="S832" s="3509"/>
      <c r="T832" s="3509"/>
      <c r="U832" s="3509"/>
      <c r="V832" s="3509"/>
      <c r="W832" s="3509"/>
      <c r="X832" s="3509"/>
      <c r="Y832" s="3509"/>
      <c r="Z832" s="3509"/>
      <c r="AA832" s="3509"/>
      <c r="AB832" s="3509"/>
      <c r="AC832" s="3509"/>
    </row>
    <row r="833" spans="1:29">
      <c r="A833" s="3509"/>
      <c r="B833" s="3509"/>
      <c r="C833" s="3509"/>
      <c r="D833" s="3509"/>
      <c r="E833" s="3509"/>
      <c r="F833" s="3509"/>
      <c r="G833" s="3509"/>
      <c r="H833" s="3509"/>
      <c r="I833" s="3509"/>
      <c r="J833" s="3509"/>
      <c r="K833" s="3510"/>
      <c r="L833" s="3511"/>
      <c r="M833" s="3509"/>
      <c r="N833" s="3509"/>
      <c r="O833" s="3509"/>
      <c r="P833" s="3553"/>
      <c r="Q833" s="3509"/>
      <c r="R833" s="3509"/>
      <c r="S833" s="3509"/>
      <c r="T833" s="3509"/>
      <c r="U833" s="3509"/>
      <c r="V833" s="3509"/>
      <c r="W833" s="3509"/>
      <c r="X833" s="3509"/>
      <c r="Y833" s="3509"/>
      <c r="Z833" s="3509"/>
      <c r="AA833" s="3509"/>
      <c r="AB833" s="3509"/>
      <c r="AC833" s="3509"/>
    </row>
    <row r="834" spans="1:29">
      <c r="A834" s="3509"/>
      <c r="B834" s="3509"/>
      <c r="C834" s="3509"/>
      <c r="D834" s="3509"/>
      <c r="E834" s="3509"/>
      <c r="F834" s="3509"/>
      <c r="G834" s="3509"/>
      <c r="H834" s="3509"/>
      <c r="I834" s="3509"/>
      <c r="J834" s="3509"/>
      <c r="K834" s="3510"/>
      <c r="L834" s="3511"/>
      <c r="M834" s="3509"/>
      <c r="N834" s="3509"/>
      <c r="O834" s="3509"/>
      <c r="P834" s="3553"/>
      <c r="Q834" s="3509"/>
      <c r="R834" s="3509"/>
      <c r="S834" s="3509"/>
      <c r="T834" s="3509"/>
      <c r="U834" s="3509"/>
      <c r="V834" s="3509"/>
      <c r="W834" s="3509"/>
      <c r="X834" s="3509"/>
      <c r="Y834" s="3509"/>
      <c r="Z834" s="3509"/>
      <c r="AA834" s="3509"/>
      <c r="AB834" s="3509"/>
      <c r="AC834" s="3509"/>
    </row>
    <row r="835" spans="1:29">
      <c r="A835" s="3509"/>
      <c r="B835" s="3509"/>
      <c r="C835" s="3509"/>
      <c r="D835" s="3509"/>
      <c r="E835" s="3509"/>
      <c r="F835" s="3509"/>
      <c r="G835" s="3509"/>
      <c r="H835" s="3509"/>
      <c r="I835" s="3509"/>
      <c r="J835" s="3509"/>
      <c r="K835" s="3510"/>
      <c r="L835" s="3511"/>
      <c r="M835" s="3509"/>
      <c r="N835" s="3509"/>
      <c r="O835" s="3509"/>
      <c r="P835" s="3553"/>
      <c r="Q835" s="3509"/>
      <c r="R835" s="3509"/>
      <c r="S835" s="3509"/>
      <c r="T835" s="3509"/>
      <c r="U835" s="3509"/>
      <c r="V835" s="3509"/>
      <c r="W835" s="3509"/>
      <c r="X835" s="3509"/>
      <c r="Y835" s="3509"/>
      <c r="Z835" s="3509"/>
      <c r="AA835" s="3509"/>
      <c r="AB835" s="3509"/>
      <c r="AC835" s="3509"/>
    </row>
    <row r="836" spans="1:29">
      <c r="A836" s="3509"/>
      <c r="B836" s="3509"/>
      <c r="C836" s="3509"/>
      <c r="D836" s="3509"/>
      <c r="E836" s="3509"/>
      <c r="F836" s="3509"/>
      <c r="G836" s="3509"/>
      <c r="H836" s="3509"/>
      <c r="I836" s="3509"/>
      <c r="J836" s="3509"/>
      <c r="K836" s="3510"/>
      <c r="L836" s="3511"/>
      <c r="M836" s="3509"/>
      <c r="N836" s="3509"/>
      <c r="O836" s="3509"/>
      <c r="P836" s="3553"/>
      <c r="Q836" s="3509"/>
      <c r="R836" s="3509"/>
      <c r="S836" s="3509"/>
      <c r="T836" s="3509"/>
      <c r="U836" s="3509"/>
      <c r="V836" s="3509"/>
      <c r="W836" s="3509"/>
      <c r="X836" s="3509"/>
      <c r="Y836" s="3509"/>
      <c r="Z836" s="3509"/>
      <c r="AA836" s="3509"/>
      <c r="AB836" s="3509"/>
      <c r="AC836" s="3509"/>
    </row>
    <row r="837" spans="1:29">
      <c r="A837" s="3509"/>
      <c r="B837" s="3509"/>
      <c r="C837" s="3509"/>
      <c r="D837" s="3509"/>
      <c r="E837" s="3509"/>
      <c r="F837" s="3509"/>
      <c r="G837" s="3509"/>
      <c r="H837" s="3509"/>
      <c r="I837" s="3509"/>
      <c r="J837" s="3509"/>
      <c r="K837" s="3510"/>
      <c r="L837" s="3511"/>
      <c r="M837" s="3509"/>
      <c r="N837" s="3509"/>
      <c r="O837" s="3509"/>
      <c r="P837" s="3553"/>
      <c r="Q837" s="3509"/>
      <c r="R837" s="3509"/>
      <c r="S837" s="3509"/>
      <c r="T837" s="3509"/>
      <c r="U837" s="3509"/>
      <c r="V837" s="3509"/>
      <c r="W837" s="3509"/>
      <c r="X837" s="3509"/>
      <c r="Y837" s="3509"/>
      <c r="Z837" s="3509"/>
      <c r="AA837" s="3509"/>
      <c r="AB837" s="3509"/>
      <c r="AC837" s="3509"/>
    </row>
    <row r="838" spans="1:29">
      <c r="A838" s="3509"/>
      <c r="B838" s="3509"/>
      <c r="C838" s="3509"/>
      <c r="D838" s="3509"/>
      <c r="E838" s="3509"/>
      <c r="F838" s="3509"/>
      <c r="G838" s="3509"/>
      <c r="H838" s="3509"/>
      <c r="I838" s="3509"/>
      <c r="J838" s="3509"/>
      <c r="K838" s="3510"/>
      <c r="L838" s="3511"/>
      <c r="M838" s="3509"/>
      <c r="N838" s="3509"/>
      <c r="O838" s="3509"/>
      <c r="P838" s="3553"/>
      <c r="Q838" s="3509"/>
      <c r="R838" s="3509"/>
      <c r="S838" s="3509"/>
      <c r="T838" s="3509"/>
      <c r="U838" s="3509"/>
      <c r="V838" s="3509"/>
      <c r="W838" s="3509"/>
      <c r="X838" s="3509"/>
      <c r="Y838" s="3509"/>
      <c r="Z838" s="3509"/>
      <c r="AA838" s="3509"/>
      <c r="AB838" s="3509"/>
      <c r="AC838" s="3509"/>
    </row>
    <row r="839" spans="1:29">
      <c r="A839" s="3509"/>
      <c r="B839" s="3509"/>
      <c r="C839" s="3509"/>
      <c r="D839" s="3509"/>
      <c r="E839" s="3509"/>
      <c r="F839" s="3509"/>
      <c r="G839" s="3509"/>
      <c r="H839" s="3509"/>
      <c r="I839" s="3509"/>
      <c r="J839" s="3509"/>
      <c r="K839" s="3510"/>
      <c r="L839" s="3511"/>
      <c r="M839" s="3509"/>
      <c r="N839" s="3509"/>
      <c r="O839" s="3509"/>
      <c r="P839" s="3553"/>
      <c r="Q839" s="3509"/>
      <c r="R839" s="3509"/>
      <c r="S839" s="3509"/>
      <c r="T839" s="3509"/>
      <c r="U839" s="3509"/>
      <c r="V839" s="3509"/>
      <c r="W839" s="3509"/>
      <c r="X839" s="3509"/>
      <c r="Y839" s="3509"/>
      <c r="Z839" s="3509"/>
      <c r="AA839" s="3509"/>
      <c r="AB839" s="3509"/>
      <c r="AC839" s="3509"/>
    </row>
    <row r="840" spans="1:29">
      <c r="A840" s="3509"/>
      <c r="B840" s="3509"/>
      <c r="C840" s="3509"/>
      <c r="D840" s="3509"/>
      <c r="E840" s="3509"/>
      <c r="F840" s="3509"/>
      <c r="G840" s="3509"/>
      <c r="H840" s="3509"/>
      <c r="I840" s="3509"/>
      <c r="J840" s="3509"/>
      <c r="K840" s="3510"/>
      <c r="L840" s="3511"/>
      <c r="M840" s="3509"/>
      <c r="N840" s="3509"/>
      <c r="O840" s="3509"/>
      <c r="P840" s="3553"/>
      <c r="Q840" s="3509"/>
      <c r="R840" s="3509"/>
      <c r="S840" s="3509"/>
      <c r="T840" s="3509"/>
      <c r="U840" s="3509"/>
      <c r="V840" s="3509"/>
      <c r="W840" s="3509"/>
      <c r="X840" s="3509"/>
      <c r="Y840" s="3509"/>
      <c r="Z840" s="3509"/>
      <c r="AA840" s="3509"/>
      <c r="AB840" s="3509"/>
      <c r="AC840" s="3509"/>
    </row>
    <row r="841" spans="1:29">
      <c r="A841" s="3509"/>
      <c r="B841" s="3509"/>
      <c r="C841" s="3509"/>
      <c r="D841" s="3509"/>
      <c r="E841" s="3509"/>
      <c r="F841" s="3509"/>
      <c r="G841" s="3509"/>
      <c r="H841" s="3509"/>
      <c r="I841" s="3509"/>
      <c r="J841" s="3509"/>
      <c r="K841" s="3510"/>
      <c r="L841" s="3511"/>
      <c r="M841" s="3509"/>
      <c r="N841" s="3509"/>
      <c r="O841" s="3509"/>
      <c r="P841" s="3553"/>
      <c r="Q841" s="3509"/>
      <c r="R841" s="3509"/>
      <c r="S841" s="3509"/>
      <c r="T841" s="3509"/>
      <c r="U841" s="3509"/>
      <c r="V841" s="3509"/>
      <c r="W841" s="3509"/>
      <c r="X841" s="3509"/>
      <c r="Y841" s="3509"/>
      <c r="Z841" s="3509"/>
      <c r="AA841" s="3509"/>
      <c r="AB841" s="3509"/>
      <c r="AC841" s="3509"/>
    </row>
    <row r="842" spans="1:29">
      <c r="A842" s="3509"/>
      <c r="B842" s="3509"/>
      <c r="C842" s="3509"/>
      <c r="D842" s="3509"/>
      <c r="E842" s="3509"/>
      <c r="F842" s="3509"/>
      <c r="G842" s="3509"/>
      <c r="H842" s="3509"/>
      <c r="I842" s="3509"/>
      <c r="J842" s="3509"/>
      <c r="K842" s="3510"/>
      <c r="L842" s="3511"/>
      <c r="M842" s="3509"/>
      <c r="N842" s="3509"/>
      <c r="O842" s="3509"/>
      <c r="P842" s="3553"/>
      <c r="Q842" s="3509"/>
      <c r="R842" s="3509"/>
      <c r="S842" s="3509"/>
      <c r="T842" s="3509"/>
      <c r="U842" s="3509"/>
      <c r="V842" s="3509"/>
      <c r="W842" s="3509"/>
      <c r="X842" s="3509"/>
      <c r="Y842" s="3509"/>
      <c r="Z842" s="3509"/>
      <c r="AA842" s="3509"/>
      <c r="AB842" s="3509"/>
      <c r="AC842" s="3509"/>
    </row>
    <row r="843" spans="1:29">
      <c r="A843" s="3509"/>
      <c r="B843" s="3509"/>
      <c r="C843" s="3509"/>
      <c r="D843" s="3509"/>
      <c r="E843" s="3509"/>
      <c r="F843" s="3509"/>
      <c r="G843" s="3509"/>
      <c r="H843" s="3509"/>
      <c r="I843" s="3509"/>
      <c r="J843" s="3509"/>
      <c r="K843" s="3510"/>
      <c r="L843" s="3511"/>
      <c r="M843" s="3509"/>
      <c r="N843" s="3509"/>
      <c r="O843" s="3509"/>
      <c r="P843" s="3553"/>
      <c r="Q843" s="3509"/>
      <c r="R843" s="3509"/>
      <c r="S843" s="3509"/>
      <c r="T843" s="3509"/>
      <c r="U843" s="3509"/>
      <c r="V843" s="3509"/>
      <c r="W843" s="3509"/>
      <c r="X843" s="3509"/>
      <c r="Y843" s="3509"/>
      <c r="Z843" s="3509"/>
      <c r="AA843" s="3509"/>
      <c r="AB843" s="3509"/>
      <c r="AC843" s="3509"/>
    </row>
    <row r="844" spans="1:29">
      <c r="A844" s="3509"/>
      <c r="B844" s="3509"/>
      <c r="C844" s="3509"/>
      <c r="D844" s="3509"/>
      <c r="E844" s="3509"/>
      <c r="F844" s="3509"/>
      <c r="G844" s="3509"/>
      <c r="H844" s="3509"/>
      <c r="I844" s="3509"/>
      <c r="J844" s="3509"/>
      <c r="K844" s="3510"/>
      <c r="L844" s="3511"/>
      <c r="M844" s="3509"/>
      <c r="N844" s="3509"/>
      <c r="O844" s="3509"/>
      <c r="P844" s="3553"/>
      <c r="Q844" s="3509"/>
      <c r="R844" s="3509"/>
      <c r="S844" s="3509"/>
      <c r="T844" s="3509"/>
      <c r="U844" s="3509"/>
      <c r="V844" s="3509"/>
      <c r="W844" s="3509"/>
      <c r="X844" s="3509"/>
      <c r="Y844" s="3509"/>
      <c r="Z844" s="3509"/>
      <c r="AA844" s="3509"/>
      <c r="AB844" s="3509"/>
      <c r="AC844" s="3509"/>
    </row>
    <row r="845" spans="1:29">
      <c r="A845" s="3509"/>
      <c r="B845" s="3509"/>
      <c r="C845" s="3509"/>
      <c r="D845" s="3509"/>
      <c r="E845" s="3509"/>
      <c r="F845" s="3509"/>
      <c r="G845" s="3509"/>
      <c r="H845" s="3509"/>
      <c r="I845" s="3509"/>
      <c r="J845" s="3509"/>
      <c r="K845" s="3510"/>
      <c r="L845" s="3511"/>
      <c r="M845" s="3509"/>
      <c r="N845" s="3509"/>
      <c r="O845" s="3509"/>
      <c r="P845" s="3553"/>
      <c r="Q845" s="3509"/>
      <c r="R845" s="3509"/>
      <c r="S845" s="3509"/>
      <c r="T845" s="3509"/>
      <c r="U845" s="3509"/>
      <c r="V845" s="3509"/>
      <c r="W845" s="3509"/>
      <c r="X845" s="3509"/>
      <c r="Y845" s="3509"/>
      <c r="Z845" s="3509"/>
      <c r="AA845" s="3509"/>
      <c r="AB845" s="3509"/>
      <c r="AC845" s="3509"/>
    </row>
    <row r="846" spans="1:29">
      <c r="A846" s="3509"/>
      <c r="B846" s="3509"/>
      <c r="C846" s="3509"/>
      <c r="D846" s="3509"/>
      <c r="E846" s="3509"/>
      <c r="F846" s="3509"/>
      <c r="G846" s="3509"/>
      <c r="H846" s="3509"/>
      <c r="I846" s="3509"/>
      <c r="J846" s="3509"/>
      <c r="K846" s="3510"/>
      <c r="L846" s="3511"/>
      <c r="M846" s="3509"/>
      <c r="N846" s="3509"/>
      <c r="O846" s="3509"/>
      <c r="P846" s="3553"/>
      <c r="Q846" s="3509"/>
      <c r="R846" s="3509"/>
      <c r="S846" s="3509"/>
      <c r="T846" s="3509"/>
      <c r="U846" s="3509"/>
      <c r="V846" s="3509"/>
      <c r="W846" s="3509"/>
      <c r="X846" s="3509"/>
      <c r="Y846" s="3509"/>
      <c r="Z846" s="3509"/>
      <c r="AA846" s="3509"/>
      <c r="AB846" s="3509"/>
      <c r="AC846" s="3509"/>
    </row>
    <row r="847" spans="1:29">
      <c r="A847" s="3509"/>
      <c r="B847" s="3509"/>
      <c r="C847" s="3509"/>
      <c r="D847" s="3509"/>
      <c r="E847" s="3509"/>
      <c r="F847" s="3509"/>
      <c r="G847" s="3509"/>
      <c r="H847" s="3509"/>
      <c r="I847" s="3509"/>
      <c r="J847" s="3509"/>
      <c r="K847" s="3510"/>
      <c r="L847" s="3511"/>
      <c r="M847" s="3509"/>
      <c r="N847" s="3509"/>
      <c r="O847" s="3509"/>
      <c r="P847" s="3553"/>
      <c r="Q847" s="3509"/>
      <c r="R847" s="3509"/>
      <c r="S847" s="3509"/>
      <c r="T847" s="3509"/>
      <c r="U847" s="3509"/>
      <c r="V847" s="3509"/>
      <c r="W847" s="3509"/>
      <c r="X847" s="3509"/>
      <c r="Y847" s="3509"/>
      <c r="Z847" s="3509"/>
      <c r="AA847" s="3509"/>
      <c r="AB847" s="3509"/>
      <c r="AC847" s="3509"/>
    </row>
    <row r="848" spans="1:29">
      <c r="A848" s="3509"/>
      <c r="B848" s="3509"/>
      <c r="C848" s="3509"/>
      <c r="D848" s="3509"/>
      <c r="E848" s="3509"/>
      <c r="F848" s="3509"/>
      <c r="G848" s="3509"/>
      <c r="H848" s="3509"/>
      <c r="I848" s="3509"/>
      <c r="J848" s="3509"/>
      <c r="K848" s="3510"/>
      <c r="L848" s="3511"/>
      <c r="M848" s="3509"/>
      <c r="N848" s="3509"/>
      <c r="O848" s="3509"/>
      <c r="P848" s="3553"/>
      <c r="Q848" s="3509"/>
      <c r="R848" s="3509"/>
      <c r="S848" s="3509"/>
      <c r="T848" s="3509"/>
      <c r="U848" s="3509"/>
      <c r="V848" s="3509"/>
      <c r="W848" s="3509"/>
      <c r="X848" s="3509"/>
      <c r="Y848" s="3509"/>
      <c r="Z848" s="3509"/>
      <c r="AA848" s="3509"/>
      <c r="AB848" s="3509"/>
      <c r="AC848" s="3509"/>
    </row>
    <row r="849" spans="1:29">
      <c r="A849" s="3509"/>
      <c r="B849" s="3509"/>
      <c r="C849" s="3509"/>
      <c r="D849" s="3509"/>
      <c r="E849" s="3509"/>
      <c r="F849" s="3509"/>
      <c r="G849" s="3509"/>
      <c r="H849" s="3509"/>
      <c r="I849" s="3509"/>
      <c r="J849" s="3509"/>
      <c r="K849" s="3510"/>
      <c r="L849" s="3511"/>
      <c r="M849" s="3509"/>
      <c r="N849" s="3509"/>
      <c r="O849" s="3509"/>
      <c r="P849" s="3553"/>
      <c r="Q849" s="3509"/>
      <c r="R849" s="3509"/>
      <c r="S849" s="3509"/>
      <c r="T849" s="3509"/>
      <c r="U849" s="3509"/>
      <c r="V849" s="3509"/>
      <c r="W849" s="3509"/>
      <c r="X849" s="3509"/>
      <c r="Y849" s="3509"/>
      <c r="Z849" s="3509"/>
      <c r="AA849" s="3509"/>
      <c r="AB849" s="3509"/>
      <c r="AC849" s="3509"/>
    </row>
    <row r="850" spans="1:29">
      <c r="A850" s="3509"/>
      <c r="B850" s="3509"/>
      <c r="C850" s="3509"/>
      <c r="D850" s="3509"/>
      <c r="E850" s="3509"/>
      <c r="F850" s="3509"/>
      <c r="G850" s="3509"/>
      <c r="H850" s="3509"/>
      <c r="I850" s="3509"/>
      <c r="J850" s="3509"/>
      <c r="K850" s="3510"/>
      <c r="L850" s="3511"/>
      <c r="M850" s="3509"/>
      <c r="N850" s="3509"/>
      <c r="O850" s="3509"/>
      <c r="P850" s="3553"/>
      <c r="Q850" s="3509"/>
      <c r="R850" s="3509"/>
      <c r="S850" s="3509"/>
      <c r="T850" s="3509"/>
      <c r="U850" s="3509"/>
      <c r="V850" s="3509"/>
      <c r="W850" s="3509"/>
      <c r="X850" s="3509"/>
      <c r="Y850" s="3509"/>
      <c r="Z850" s="3509"/>
      <c r="AA850" s="3509"/>
      <c r="AB850" s="3509"/>
      <c r="AC850" s="3509"/>
    </row>
    <row r="851" spans="1:29">
      <c r="A851" s="3509"/>
      <c r="B851" s="3509"/>
      <c r="C851" s="3509"/>
      <c r="D851" s="3509"/>
      <c r="E851" s="3509"/>
      <c r="F851" s="3509"/>
      <c r="G851" s="3509"/>
      <c r="H851" s="3509"/>
      <c r="I851" s="3509"/>
      <c r="J851" s="3509"/>
      <c r="K851" s="3510"/>
      <c r="L851" s="3511"/>
      <c r="M851" s="3509"/>
      <c r="N851" s="3509"/>
      <c r="O851" s="3509"/>
      <c r="P851" s="3553"/>
      <c r="Q851" s="3509"/>
      <c r="R851" s="3509"/>
      <c r="S851" s="3509"/>
      <c r="T851" s="3509"/>
      <c r="U851" s="3509"/>
      <c r="V851" s="3509"/>
      <c r="W851" s="3509"/>
      <c r="X851" s="3509"/>
      <c r="Y851" s="3509"/>
      <c r="Z851" s="3509"/>
      <c r="AA851" s="3509"/>
      <c r="AB851" s="3509"/>
      <c r="AC851" s="3509"/>
    </row>
    <row r="852" spans="1:29">
      <c r="A852" s="3509"/>
      <c r="B852" s="3509"/>
      <c r="C852" s="3509"/>
      <c r="D852" s="3509"/>
      <c r="E852" s="3509"/>
      <c r="F852" s="3509"/>
      <c r="G852" s="3509"/>
      <c r="H852" s="3509"/>
      <c r="I852" s="3509"/>
      <c r="J852" s="3509"/>
      <c r="K852" s="3510"/>
      <c r="L852" s="3511"/>
      <c r="M852" s="3509"/>
      <c r="N852" s="3509"/>
      <c r="O852" s="3509"/>
      <c r="P852" s="3553"/>
      <c r="Q852" s="3509"/>
      <c r="R852" s="3509"/>
      <c r="S852" s="3509"/>
      <c r="T852" s="3509"/>
      <c r="U852" s="3509"/>
      <c r="V852" s="3509"/>
      <c r="W852" s="3509"/>
      <c r="X852" s="3509"/>
      <c r="Y852" s="3509"/>
      <c r="Z852" s="3509"/>
      <c r="AA852" s="3509"/>
      <c r="AB852" s="3509"/>
      <c r="AC852" s="3509"/>
    </row>
    <row r="853" spans="1:29">
      <c r="A853" s="3509"/>
      <c r="B853" s="3509"/>
      <c r="C853" s="3509"/>
      <c r="D853" s="3509"/>
      <c r="E853" s="3509"/>
      <c r="F853" s="3509"/>
      <c r="G853" s="3509"/>
      <c r="H853" s="3509"/>
      <c r="I853" s="3509"/>
      <c r="J853" s="3509"/>
      <c r="K853" s="3510"/>
      <c r="L853" s="3511"/>
      <c r="M853" s="3509"/>
      <c r="N853" s="3509"/>
      <c r="O853" s="3509"/>
      <c r="P853" s="3553"/>
      <c r="Q853" s="3509"/>
      <c r="R853" s="3509"/>
      <c r="S853" s="3509"/>
      <c r="T853" s="3509"/>
      <c r="U853" s="3509"/>
      <c r="V853" s="3509"/>
      <c r="W853" s="3509"/>
      <c r="X853" s="3509"/>
      <c r="Y853" s="3509"/>
      <c r="Z853" s="3509"/>
      <c r="AA853" s="3509"/>
      <c r="AB853" s="3509"/>
      <c r="AC853" s="350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1"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F1 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F65537 JB65537 SX65537 ACT65537 AMP65537 AWL65537 BGH65537 BQD65537 BZZ65537 CJV65537 CTR65537 DDN65537 DNJ65537 DXF65537 EHB65537 EQX65537 FAT65537 FKP65537 FUL65537 GEH65537 GOD65537 GXZ65537 HHV65537 HRR65537 IBN65537 ILJ65537 IVF65537 JFB65537 JOX65537 JYT65537 KIP65537 KSL65537 LCH65537 LMD65537 LVZ65537 MFV65537 MPR65537 MZN65537 NJJ65537 NTF65537 ODB65537 OMX65537 OWT65537 PGP65537 PQL65537 QAH65537 QKD65537 QTZ65537 RDV65537 RNR65537 RXN65537 SHJ65537 SRF65537 TBB65537 TKX65537 TUT65537 UEP65537 UOL65537 UYH65537 VID65537 VRZ65537 WBV65537 WLR65537 WVN65537 F131073 JB131073 SX131073 ACT131073 AMP131073 AWL131073 BGH131073 BQD131073 BZZ131073 CJV131073 CTR131073 DDN131073 DNJ131073 DXF131073 EHB131073 EQX131073 FAT131073 FKP131073 FUL131073 GEH131073 GOD131073 GXZ131073 HHV131073 HRR131073 IBN131073 ILJ131073 IVF131073 JFB131073 JOX131073 JYT131073 KIP131073 KSL131073 LCH131073 LMD131073 LVZ131073 MFV131073 MPR131073 MZN131073 NJJ131073 NTF131073 ODB131073 OMX131073 OWT131073 PGP131073 PQL131073 QAH131073 QKD131073 QTZ131073 RDV131073 RNR131073 RXN131073 SHJ131073 SRF131073 TBB131073 TKX131073 TUT131073 UEP131073 UOL131073 UYH131073 VID131073 VRZ131073 WBV131073 WLR131073 WVN131073 F196609 JB196609 SX196609 ACT196609 AMP196609 AWL196609 BGH196609 BQD196609 BZZ196609 CJV196609 CTR196609 DDN196609 DNJ196609 DXF196609 EHB196609 EQX196609 FAT196609 FKP196609 FUL196609 GEH196609 GOD196609 GXZ196609 HHV196609 HRR196609 IBN196609 ILJ196609 IVF196609 JFB196609 JOX196609 JYT196609 KIP196609 KSL196609 LCH196609 LMD196609 LVZ196609 MFV196609 MPR196609 MZN196609 NJJ196609 NTF196609 ODB196609 OMX196609 OWT196609 PGP196609 PQL196609 QAH196609 QKD196609 QTZ196609 RDV196609 RNR196609 RXN196609 SHJ196609 SRF196609 TBB196609 TKX196609 TUT196609 UEP196609 UOL196609 UYH196609 VID196609 VRZ196609 WBV196609 WLR196609 WVN196609 F262145 JB262145 SX262145 ACT262145 AMP262145 AWL262145 BGH262145 BQD262145 BZZ262145 CJV262145 CTR262145 DDN262145 DNJ262145 DXF262145 EHB262145 EQX262145 FAT262145 FKP262145 FUL262145 GEH262145 GOD262145 GXZ262145 HHV262145 HRR262145 IBN262145 ILJ262145 IVF262145 JFB262145 JOX262145 JYT262145 KIP262145 KSL262145 LCH262145 LMD262145 LVZ262145 MFV262145 MPR262145 MZN262145 NJJ262145 NTF262145 ODB262145 OMX262145 OWT262145 PGP262145 PQL262145 QAH262145 QKD262145 QTZ262145 RDV262145 RNR262145 RXN262145 SHJ262145 SRF262145 TBB262145 TKX262145 TUT262145 UEP262145 UOL262145 UYH262145 VID262145 VRZ262145 WBV262145 WLR262145 WVN262145 F327681 JB327681 SX327681 ACT327681 AMP327681 AWL327681 BGH327681 BQD327681 BZZ327681 CJV327681 CTR327681 DDN327681 DNJ327681 DXF327681 EHB327681 EQX327681 FAT327681 FKP327681 FUL327681 GEH327681 GOD327681 GXZ327681 HHV327681 HRR327681 IBN327681 ILJ327681 IVF327681 JFB327681 JOX327681 JYT327681 KIP327681 KSL327681 LCH327681 LMD327681 LVZ327681 MFV327681 MPR327681 MZN327681 NJJ327681 NTF327681 ODB327681 OMX327681 OWT327681 PGP327681 PQL327681 QAH327681 QKD327681 QTZ327681 RDV327681 RNR327681 RXN327681 SHJ327681 SRF327681 TBB327681 TKX327681 TUT327681 UEP327681 UOL327681 UYH327681 VID327681 VRZ327681 WBV327681 WLR327681 WVN327681 F393217 JB393217 SX393217 ACT393217 AMP393217 AWL393217 BGH393217 BQD393217 BZZ393217 CJV393217 CTR393217 DDN393217 DNJ393217 DXF393217 EHB393217 EQX393217 FAT393217 FKP393217 FUL393217 GEH393217 GOD393217 GXZ393217 HHV393217 HRR393217 IBN393217 ILJ393217 IVF393217 JFB393217 JOX393217 JYT393217 KIP393217 KSL393217 LCH393217 LMD393217 LVZ393217 MFV393217 MPR393217 MZN393217 NJJ393217 NTF393217 ODB393217 OMX393217 OWT393217 PGP393217 PQL393217 QAH393217 QKD393217 QTZ393217 RDV393217 RNR393217 RXN393217 SHJ393217 SRF393217 TBB393217 TKX393217 TUT393217 UEP393217 UOL393217 UYH393217 VID393217 VRZ393217 WBV393217 WLR393217 WVN393217 F458753 JB458753 SX458753 ACT458753 AMP458753 AWL458753 BGH458753 BQD458753 BZZ458753 CJV458753 CTR458753 DDN458753 DNJ458753 DXF458753 EHB458753 EQX458753 FAT458753 FKP458753 FUL458753 GEH458753 GOD458753 GXZ458753 HHV458753 HRR458753 IBN458753 ILJ458753 IVF458753 JFB458753 JOX458753 JYT458753 KIP458753 KSL458753 LCH458753 LMD458753 LVZ458753 MFV458753 MPR458753 MZN458753 NJJ458753 NTF458753 ODB458753 OMX458753 OWT458753 PGP458753 PQL458753 QAH458753 QKD458753 QTZ458753 RDV458753 RNR458753 RXN458753 SHJ458753 SRF458753 TBB458753 TKX458753 TUT458753 UEP458753 UOL458753 UYH458753 VID458753 VRZ458753 WBV458753 WLR458753 WVN458753 F524289 JB524289 SX524289 ACT524289 AMP524289 AWL524289 BGH524289 BQD524289 BZZ524289 CJV524289 CTR524289 DDN524289 DNJ524289 DXF524289 EHB524289 EQX524289 FAT524289 FKP524289 FUL524289 GEH524289 GOD524289 GXZ524289 HHV524289 HRR524289 IBN524289 ILJ524289 IVF524289 JFB524289 JOX524289 JYT524289 KIP524289 KSL524289 LCH524289 LMD524289 LVZ524289 MFV524289 MPR524289 MZN524289 NJJ524289 NTF524289 ODB524289 OMX524289 OWT524289 PGP524289 PQL524289 QAH524289 QKD524289 QTZ524289 RDV524289 RNR524289 RXN524289 SHJ524289 SRF524289 TBB524289 TKX524289 TUT524289 UEP524289 UOL524289 UYH524289 VID524289 VRZ524289 WBV524289 WLR524289 WVN524289 F589825 JB589825 SX589825 ACT589825 AMP589825 AWL589825 BGH589825 BQD589825 BZZ589825 CJV589825 CTR589825 DDN589825 DNJ589825 DXF589825 EHB589825 EQX589825 FAT589825 FKP589825 FUL589825 GEH589825 GOD589825 GXZ589825 HHV589825 HRR589825 IBN589825 ILJ589825 IVF589825 JFB589825 JOX589825 JYT589825 KIP589825 KSL589825 LCH589825 LMD589825 LVZ589825 MFV589825 MPR589825 MZN589825 NJJ589825 NTF589825 ODB589825 OMX589825 OWT589825 PGP589825 PQL589825 QAH589825 QKD589825 QTZ589825 RDV589825 RNR589825 RXN589825 SHJ589825 SRF589825 TBB589825 TKX589825 TUT589825 UEP589825 UOL589825 UYH589825 VID589825 VRZ589825 WBV589825 WLR589825 WVN589825 F655361 JB655361 SX655361 ACT655361 AMP655361 AWL655361 BGH655361 BQD655361 BZZ655361 CJV655361 CTR655361 DDN655361 DNJ655361 DXF655361 EHB655361 EQX655361 FAT655361 FKP655361 FUL655361 GEH655361 GOD655361 GXZ655361 HHV655361 HRR655361 IBN655361 ILJ655361 IVF655361 JFB655361 JOX655361 JYT655361 KIP655361 KSL655361 LCH655361 LMD655361 LVZ655361 MFV655361 MPR655361 MZN655361 NJJ655361 NTF655361 ODB655361 OMX655361 OWT655361 PGP655361 PQL655361 QAH655361 QKD655361 QTZ655361 RDV655361 RNR655361 RXN655361 SHJ655361 SRF655361 TBB655361 TKX655361 TUT655361 UEP655361 UOL655361 UYH655361 VID655361 VRZ655361 WBV655361 WLR655361 WVN655361 F720897 JB720897 SX720897 ACT720897 AMP720897 AWL720897 BGH720897 BQD720897 BZZ720897 CJV720897 CTR720897 DDN720897 DNJ720897 DXF720897 EHB720897 EQX720897 FAT720897 FKP720897 FUL720897 GEH720897 GOD720897 GXZ720897 HHV720897 HRR720897 IBN720897 ILJ720897 IVF720897 JFB720897 JOX720897 JYT720897 KIP720897 KSL720897 LCH720897 LMD720897 LVZ720897 MFV720897 MPR720897 MZN720897 NJJ720897 NTF720897 ODB720897 OMX720897 OWT720897 PGP720897 PQL720897 QAH720897 QKD720897 QTZ720897 RDV720897 RNR720897 RXN720897 SHJ720897 SRF720897 TBB720897 TKX720897 TUT720897 UEP720897 UOL720897 UYH720897 VID720897 VRZ720897 WBV720897 WLR720897 WVN720897 F786433 JB786433 SX786433 ACT786433 AMP786433 AWL786433 BGH786433 BQD786433 BZZ786433 CJV786433 CTR786433 DDN786433 DNJ786433 DXF786433 EHB786433 EQX786433 FAT786433 FKP786433 FUL786433 GEH786433 GOD786433 GXZ786433 HHV786433 HRR786433 IBN786433 ILJ786433 IVF786433 JFB786433 JOX786433 JYT786433 KIP786433 KSL786433 LCH786433 LMD786433 LVZ786433 MFV786433 MPR786433 MZN786433 NJJ786433 NTF786433 ODB786433 OMX786433 OWT786433 PGP786433 PQL786433 QAH786433 QKD786433 QTZ786433 RDV786433 RNR786433 RXN786433 SHJ786433 SRF786433 TBB786433 TKX786433 TUT786433 UEP786433 UOL786433 UYH786433 VID786433 VRZ786433 WBV786433 WLR786433 WVN786433 F851969 JB851969 SX851969 ACT851969 AMP851969 AWL851969 BGH851969 BQD851969 BZZ851969 CJV851969 CTR851969 DDN851969 DNJ851969 DXF851969 EHB851969 EQX851969 FAT851969 FKP851969 FUL851969 GEH851969 GOD851969 GXZ851969 HHV851969 HRR851969 IBN851969 ILJ851969 IVF851969 JFB851969 JOX851969 JYT851969 KIP851969 KSL851969 LCH851969 LMD851969 LVZ851969 MFV851969 MPR851969 MZN851969 NJJ851969 NTF851969 ODB851969 OMX851969 OWT851969 PGP851969 PQL851969 QAH851969 QKD851969 QTZ851969 RDV851969 RNR851969 RXN851969 SHJ851969 SRF851969 TBB851969 TKX851969 TUT851969 UEP851969 UOL851969 UYH851969 VID851969 VRZ851969 WBV851969 WLR851969 WVN851969 F917505 JB917505 SX917505 ACT917505 AMP917505 AWL917505 BGH917505 BQD917505 BZZ917505 CJV917505 CTR917505 DDN917505 DNJ917505 DXF917505 EHB917505 EQX917505 FAT917505 FKP917505 FUL917505 GEH917505 GOD917505 GXZ917505 HHV917505 HRR917505 IBN917505 ILJ917505 IVF917505 JFB917505 JOX917505 JYT917505 KIP917505 KSL917505 LCH917505 LMD917505 LVZ917505 MFV917505 MPR917505 MZN917505 NJJ917505 NTF917505 ODB917505 OMX917505 OWT917505 PGP917505 PQL917505 QAH917505 QKD917505 QTZ917505 RDV917505 RNR917505 RXN917505 SHJ917505 SRF917505 TBB917505 TKX917505 TUT917505 UEP917505 UOL917505 UYH917505 VID917505 VRZ917505 WBV917505 WLR917505 WVN917505 F983041 JB983041 SX983041 ACT983041 AMP983041 AWL983041 BGH983041 BQD983041 BZZ983041 CJV983041 CTR983041 DDN983041 DNJ983041 DXF983041 EHB983041 EQX983041 FAT983041 FKP983041 FUL983041 GEH983041 GOD983041 GXZ983041 HHV983041 HRR983041 IBN983041 ILJ983041 IVF983041 JFB983041 JOX983041 JYT983041 KIP983041 KSL983041 LCH983041 LMD983041 LVZ983041 MFV983041 MPR983041 MZN983041 NJJ983041 NTF983041 ODB983041 OMX983041 OWT983041 PGP983041 PQL983041 QAH983041 QKD983041 QTZ983041 RDV983041 RNR983041 RXN983041 SHJ983041 SRF983041 TBB983041 TKX983041 TUT983041 UEP983041 UOL983041 UYH983041 VID983041 VRZ983041 WBV983041 WLR983041 WVN983041">
      <formula1>"售价,租金"</formula1>
    </dataValidation>
    <dataValidation type="list" allowBlank="1" showInputMessage="1" showErrorMessage="1" sqref="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I22 JE22 TA22 ACW22 AMS22 AWO22 BGK22 BQG22 CAC22 CJY22 CTU22 DDQ22 DNM22 DXI22 EHE22 ERA22 FAW22 FKS22 FUO22 GEK22 GOG22 GYC22 HHY22 HRU22 IBQ22 ILM22 IVI22 JFE22 JPA22 JYW22 KIS22 KSO22 LCK22 LMG22 LWC22 MFY22 MPU22 MZQ22 NJM22 NTI22 ODE22 ONA22 OWW22 PGS22 PQO22 QAK22 QKG22 QUC22 RDY22 RNU22 RXQ22 SHM22 SRI22 TBE22 TLA22 TUW22 UES22 UOO22 UYK22 VIG22 VSC22 WBY22 WLU22 WVQ22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WVQ983062">
      <formula1>基础设施水平</formula1>
    </dataValidation>
    <dataValidation type="list" allowBlank="1" showInputMessage="1" showErrorMessage="1"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E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44 JE65544 TA65544 ACW65544 AMS65544 AWO65544 BGK65544 BQG65544 CAC65544 CJY65544 CTU65544 DDQ65544 DNM65544 DXI65544 EHE65544 ERA65544 FAW65544 FKS65544 FUO65544 GEK65544 GOG65544 GYC65544 HHY65544 HRU65544 IBQ65544 ILM65544 IVI65544 JFE65544 JPA65544 JYW65544 KIS65544 KSO65544 LCK65544 LMG65544 LWC65544 MFY65544 MPU65544 MZQ65544 NJM65544 NTI65544 ODE65544 ONA65544 OWW65544 PGS65544 PQO65544 QAK65544 QKG65544 QUC65544 RDY65544 RNU65544 RXQ65544 SHM65544 SRI65544 TBE65544 TLA65544 TUW65544 UES65544 UOO65544 UYK65544 VIG65544 VSC65544 WBY65544 WLU65544 WVQ65544 I131080 JE131080 TA131080 ACW131080 AMS131080 AWO131080 BGK131080 BQG131080 CAC131080 CJY131080 CTU131080 DDQ131080 DNM131080 DXI131080 EHE131080 ERA131080 FAW131080 FKS131080 FUO131080 GEK131080 GOG131080 GYC131080 HHY131080 HRU131080 IBQ131080 ILM131080 IVI131080 JFE131080 JPA131080 JYW131080 KIS131080 KSO131080 LCK131080 LMG131080 LWC131080 MFY131080 MPU131080 MZQ131080 NJM131080 NTI131080 ODE131080 ONA131080 OWW131080 PGS131080 PQO131080 QAK131080 QKG131080 QUC131080 RDY131080 RNU131080 RXQ131080 SHM131080 SRI131080 TBE131080 TLA131080 TUW131080 UES131080 UOO131080 UYK131080 VIG131080 VSC131080 WBY131080 WLU131080 WVQ131080 I196616 JE196616 TA196616 ACW196616 AMS196616 AWO196616 BGK196616 BQG196616 CAC196616 CJY196616 CTU196616 DDQ196616 DNM196616 DXI196616 EHE196616 ERA196616 FAW196616 FKS196616 FUO196616 GEK196616 GOG196616 GYC196616 HHY196616 HRU196616 IBQ196616 ILM196616 IVI196616 JFE196616 JPA196616 JYW196616 KIS196616 KSO196616 LCK196616 LMG196616 LWC196616 MFY196616 MPU196616 MZQ196616 NJM196616 NTI196616 ODE196616 ONA196616 OWW196616 PGS196616 PQO196616 QAK196616 QKG196616 QUC196616 RDY196616 RNU196616 RXQ196616 SHM196616 SRI196616 TBE196616 TLA196616 TUW196616 UES196616 UOO196616 UYK196616 VIG196616 VSC196616 WBY196616 WLU196616 WVQ196616 I262152 JE262152 TA262152 ACW262152 AMS262152 AWO262152 BGK262152 BQG262152 CAC262152 CJY262152 CTU262152 DDQ262152 DNM262152 DXI262152 EHE262152 ERA262152 FAW262152 FKS262152 FUO262152 GEK262152 GOG262152 GYC262152 HHY262152 HRU262152 IBQ262152 ILM262152 IVI262152 JFE262152 JPA262152 JYW262152 KIS262152 KSO262152 LCK262152 LMG262152 LWC262152 MFY262152 MPU262152 MZQ262152 NJM262152 NTI262152 ODE262152 ONA262152 OWW262152 PGS262152 PQO262152 QAK262152 QKG262152 QUC262152 RDY262152 RNU262152 RXQ262152 SHM262152 SRI262152 TBE262152 TLA262152 TUW262152 UES262152 UOO262152 UYK262152 VIG262152 VSC262152 WBY262152 WLU262152 WVQ262152 I327688 JE327688 TA327688 ACW327688 AMS327688 AWO327688 BGK327688 BQG327688 CAC327688 CJY327688 CTU327688 DDQ327688 DNM327688 DXI327688 EHE327688 ERA327688 FAW327688 FKS327688 FUO327688 GEK327688 GOG327688 GYC327688 HHY327688 HRU327688 IBQ327688 ILM327688 IVI327688 JFE327688 JPA327688 JYW327688 KIS327688 KSO327688 LCK327688 LMG327688 LWC327688 MFY327688 MPU327688 MZQ327688 NJM327688 NTI327688 ODE327688 ONA327688 OWW327688 PGS327688 PQO327688 QAK327688 QKG327688 QUC327688 RDY327688 RNU327688 RXQ327688 SHM327688 SRI327688 TBE327688 TLA327688 TUW327688 UES327688 UOO327688 UYK327688 VIG327688 VSC327688 WBY327688 WLU327688 WVQ327688 I393224 JE393224 TA393224 ACW393224 AMS393224 AWO393224 BGK393224 BQG393224 CAC393224 CJY393224 CTU393224 DDQ393224 DNM393224 DXI393224 EHE393224 ERA393224 FAW393224 FKS393224 FUO393224 GEK393224 GOG393224 GYC393224 HHY393224 HRU393224 IBQ393224 ILM393224 IVI393224 JFE393224 JPA393224 JYW393224 KIS393224 KSO393224 LCK393224 LMG393224 LWC393224 MFY393224 MPU393224 MZQ393224 NJM393224 NTI393224 ODE393224 ONA393224 OWW393224 PGS393224 PQO393224 QAK393224 QKG393224 QUC393224 RDY393224 RNU393224 RXQ393224 SHM393224 SRI393224 TBE393224 TLA393224 TUW393224 UES393224 UOO393224 UYK393224 VIG393224 VSC393224 WBY393224 WLU393224 WVQ393224 I458760 JE458760 TA458760 ACW458760 AMS458760 AWO458760 BGK458760 BQG458760 CAC458760 CJY458760 CTU458760 DDQ458760 DNM458760 DXI458760 EHE458760 ERA458760 FAW458760 FKS458760 FUO458760 GEK458760 GOG458760 GYC458760 HHY458760 HRU458760 IBQ458760 ILM458760 IVI458760 JFE458760 JPA458760 JYW458760 KIS458760 KSO458760 LCK458760 LMG458760 LWC458760 MFY458760 MPU458760 MZQ458760 NJM458760 NTI458760 ODE458760 ONA458760 OWW458760 PGS458760 PQO458760 QAK458760 QKG458760 QUC458760 RDY458760 RNU458760 RXQ458760 SHM458760 SRI458760 TBE458760 TLA458760 TUW458760 UES458760 UOO458760 UYK458760 VIG458760 VSC458760 WBY458760 WLU458760 WVQ458760 I524296 JE524296 TA524296 ACW524296 AMS524296 AWO524296 BGK524296 BQG524296 CAC524296 CJY524296 CTU524296 DDQ524296 DNM524296 DXI524296 EHE524296 ERA524296 FAW524296 FKS524296 FUO524296 GEK524296 GOG524296 GYC524296 HHY524296 HRU524296 IBQ524296 ILM524296 IVI524296 JFE524296 JPA524296 JYW524296 KIS524296 KSO524296 LCK524296 LMG524296 LWC524296 MFY524296 MPU524296 MZQ524296 NJM524296 NTI524296 ODE524296 ONA524296 OWW524296 PGS524296 PQO524296 QAK524296 QKG524296 QUC524296 RDY524296 RNU524296 RXQ524296 SHM524296 SRI524296 TBE524296 TLA524296 TUW524296 UES524296 UOO524296 UYK524296 VIG524296 VSC524296 WBY524296 WLU524296 WVQ524296 I589832 JE589832 TA589832 ACW589832 AMS589832 AWO589832 BGK589832 BQG589832 CAC589832 CJY589832 CTU589832 DDQ589832 DNM589832 DXI589832 EHE589832 ERA589832 FAW589832 FKS589832 FUO589832 GEK589832 GOG589832 GYC589832 HHY589832 HRU589832 IBQ589832 ILM589832 IVI589832 JFE589832 JPA589832 JYW589832 KIS589832 KSO589832 LCK589832 LMG589832 LWC589832 MFY589832 MPU589832 MZQ589832 NJM589832 NTI589832 ODE589832 ONA589832 OWW589832 PGS589832 PQO589832 QAK589832 QKG589832 QUC589832 RDY589832 RNU589832 RXQ589832 SHM589832 SRI589832 TBE589832 TLA589832 TUW589832 UES589832 UOO589832 UYK589832 VIG589832 VSC589832 WBY589832 WLU589832 WVQ589832 I655368 JE655368 TA655368 ACW655368 AMS655368 AWO655368 BGK655368 BQG655368 CAC655368 CJY655368 CTU655368 DDQ655368 DNM655368 DXI655368 EHE655368 ERA655368 FAW655368 FKS655368 FUO655368 GEK655368 GOG655368 GYC655368 HHY655368 HRU655368 IBQ655368 ILM655368 IVI655368 JFE655368 JPA655368 JYW655368 KIS655368 KSO655368 LCK655368 LMG655368 LWC655368 MFY655368 MPU655368 MZQ655368 NJM655368 NTI655368 ODE655368 ONA655368 OWW655368 PGS655368 PQO655368 QAK655368 QKG655368 QUC655368 RDY655368 RNU655368 RXQ655368 SHM655368 SRI655368 TBE655368 TLA655368 TUW655368 UES655368 UOO655368 UYK655368 VIG655368 VSC655368 WBY655368 WLU655368 WVQ655368 I720904 JE720904 TA720904 ACW720904 AMS720904 AWO720904 BGK720904 BQG720904 CAC720904 CJY720904 CTU720904 DDQ720904 DNM720904 DXI720904 EHE720904 ERA720904 FAW720904 FKS720904 FUO720904 GEK720904 GOG720904 GYC720904 HHY720904 HRU720904 IBQ720904 ILM720904 IVI720904 JFE720904 JPA720904 JYW720904 KIS720904 KSO720904 LCK720904 LMG720904 LWC720904 MFY720904 MPU720904 MZQ720904 NJM720904 NTI720904 ODE720904 ONA720904 OWW720904 PGS720904 PQO720904 QAK720904 QKG720904 QUC720904 RDY720904 RNU720904 RXQ720904 SHM720904 SRI720904 TBE720904 TLA720904 TUW720904 UES720904 UOO720904 UYK720904 VIG720904 VSC720904 WBY720904 WLU720904 WVQ720904 I786440 JE786440 TA786440 ACW786440 AMS786440 AWO786440 BGK786440 BQG786440 CAC786440 CJY786440 CTU786440 DDQ786440 DNM786440 DXI786440 EHE786440 ERA786440 FAW786440 FKS786440 FUO786440 GEK786440 GOG786440 GYC786440 HHY786440 HRU786440 IBQ786440 ILM786440 IVI786440 JFE786440 JPA786440 JYW786440 KIS786440 KSO786440 LCK786440 LMG786440 LWC786440 MFY786440 MPU786440 MZQ786440 NJM786440 NTI786440 ODE786440 ONA786440 OWW786440 PGS786440 PQO786440 QAK786440 QKG786440 QUC786440 RDY786440 RNU786440 RXQ786440 SHM786440 SRI786440 TBE786440 TLA786440 TUW786440 UES786440 UOO786440 UYK786440 VIG786440 VSC786440 WBY786440 WLU786440 WVQ786440 I851976 JE851976 TA851976 ACW851976 AMS851976 AWO851976 BGK851976 BQG851976 CAC851976 CJY851976 CTU851976 DDQ851976 DNM851976 DXI851976 EHE851976 ERA851976 FAW851976 FKS851976 FUO851976 GEK851976 GOG851976 GYC851976 HHY851976 HRU851976 IBQ851976 ILM851976 IVI851976 JFE851976 JPA851976 JYW851976 KIS851976 KSO851976 LCK851976 LMG851976 LWC851976 MFY851976 MPU851976 MZQ851976 NJM851976 NTI851976 ODE851976 ONA851976 OWW851976 PGS851976 PQO851976 QAK851976 QKG851976 QUC851976 RDY851976 RNU851976 RXQ851976 SHM851976 SRI851976 TBE851976 TLA851976 TUW851976 UES851976 UOO851976 UYK851976 VIG851976 VSC851976 WBY851976 WLU851976 WVQ851976 I917512 JE917512 TA917512 ACW917512 AMS917512 AWO917512 BGK917512 BQG917512 CAC917512 CJY917512 CTU917512 DDQ917512 DNM917512 DXI917512 EHE917512 ERA917512 FAW917512 FKS917512 FUO917512 GEK917512 GOG917512 GYC917512 HHY917512 HRU917512 IBQ917512 ILM917512 IVI917512 JFE917512 JPA917512 JYW917512 KIS917512 KSO917512 LCK917512 LMG917512 LWC917512 MFY917512 MPU917512 MZQ917512 NJM917512 NTI917512 ODE917512 ONA917512 OWW917512 PGS917512 PQO917512 QAK917512 QKG917512 QUC917512 RDY917512 RNU917512 RXQ917512 SHM917512 SRI917512 TBE917512 TLA917512 TUW917512 UES917512 UOO917512 UYK917512 VIG917512 VSC917512 WBY917512 WLU917512 WVQ917512 I983048 JE983048 TA983048 ACW983048 AMS983048 AWO983048 BGK983048 BQG983048 CAC983048 CJY983048 CTU983048 DDQ983048 DNM983048 DXI983048 EHE983048 ERA983048 FAW983048 FKS983048 FUO983048 GEK983048 GOG983048 GYC983048 HHY983048 HRU983048 IBQ983048 ILM983048 IVI983048 JFE983048 JPA983048 JYW983048 KIS983048 KSO983048 LCK983048 LMG983048 LWC983048 MFY983048 MPU983048 MZQ983048 NJM983048 NTI983048 ODE983048 ONA983048 OWW983048 PGS983048 PQO983048 QAK983048 QKG983048 QUC983048 RDY983048 RNU983048 RXQ983048 SHM983048 SRI983048 TBE983048 TLA983048 TUW983048 UES983048 UOO983048 UYK983048 VIG983048 VSC983048 WBY983048 WLU983048 WVQ983048">
      <formula1>办公交易情况</formula1>
    </dataValidation>
    <dataValidation type="list" allowBlank="1" showInputMessage="1" showErrorMessage="1" sqref="C43 IY43 SU43 ACQ43 AMM43 AWI43 BGE43 BQA43 BZW43 CJS43 CTO43 DDK43 DNG43 DXC43 EGY43 EQU43 FAQ43 FKM43 FUI43 GEE43 GOA43 GXW43 HHS43 HRO43 IBK43 ILG43 IVC43 JEY43 JOU43 JYQ43 KIM43 KSI43 LCE43 LMA43 LVW43 MFS43 MPO43 MZK43 NJG43 NTC43 OCY43 OMU43 OWQ43 PGM43 PQI43 QAE43 QKA43 QTW43 RDS43 RNO43 RXK43 SHG43 SRC43 TAY43 TKU43 TUQ43 UEM43 UOI43 UYE43 VIA43 VRW43 WBS43 WLO43 WVK43 C65579 IY65579 SU65579 ACQ65579 AMM65579 AWI65579 BGE65579 BQA65579 BZW65579 CJS65579 CTO65579 DDK65579 DNG65579 DXC65579 EGY65579 EQU65579 FAQ65579 FKM65579 FUI65579 GEE65579 GOA65579 GXW65579 HHS65579 HRO65579 IBK65579 ILG65579 IVC65579 JEY65579 JOU65579 JYQ65579 KIM65579 KSI65579 LCE65579 LMA65579 LVW65579 MFS65579 MPO65579 MZK65579 NJG65579 NTC65579 OCY65579 OMU65579 OWQ65579 PGM65579 PQI65579 QAE65579 QKA65579 QTW65579 RDS65579 RNO65579 RXK65579 SHG65579 SRC65579 TAY65579 TKU65579 TUQ65579 UEM65579 UOI65579 UYE65579 VIA65579 VRW65579 WBS65579 WLO65579 WVK65579 C131115 IY131115 SU131115 ACQ131115 AMM131115 AWI131115 BGE131115 BQA131115 BZW131115 CJS131115 CTO131115 DDK131115 DNG131115 DXC131115 EGY131115 EQU131115 FAQ131115 FKM131115 FUI131115 GEE131115 GOA131115 GXW131115 HHS131115 HRO131115 IBK131115 ILG131115 IVC131115 JEY131115 JOU131115 JYQ131115 KIM131115 KSI131115 LCE131115 LMA131115 LVW131115 MFS131115 MPO131115 MZK131115 NJG131115 NTC131115 OCY131115 OMU131115 OWQ131115 PGM131115 PQI131115 QAE131115 QKA131115 QTW131115 RDS131115 RNO131115 RXK131115 SHG131115 SRC131115 TAY131115 TKU131115 TUQ131115 UEM131115 UOI131115 UYE131115 VIA131115 VRW131115 WBS131115 WLO131115 WVK131115 C196651 IY196651 SU196651 ACQ196651 AMM196651 AWI196651 BGE196651 BQA196651 BZW196651 CJS196651 CTO196651 DDK196651 DNG196651 DXC196651 EGY196651 EQU196651 FAQ196651 FKM196651 FUI196651 GEE196651 GOA196651 GXW196651 HHS196651 HRO196651 IBK196651 ILG196651 IVC196651 JEY196651 JOU196651 JYQ196651 KIM196651 KSI196651 LCE196651 LMA196651 LVW196651 MFS196651 MPO196651 MZK196651 NJG196651 NTC196651 OCY196651 OMU196651 OWQ196651 PGM196651 PQI196651 QAE196651 QKA196651 QTW196651 RDS196651 RNO196651 RXK196651 SHG196651 SRC196651 TAY196651 TKU196651 TUQ196651 UEM196651 UOI196651 UYE196651 VIA196651 VRW196651 WBS196651 WLO196651 WVK196651 C262187 IY262187 SU262187 ACQ262187 AMM262187 AWI262187 BGE262187 BQA262187 BZW262187 CJS262187 CTO262187 DDK262187 DNG262187 DXC262187 EGY262187 EQU262187 FAQ262187 FKM262187 FUI262187 GEE262187 GOA262187 GXW262187 HHS262187 HRO262187 IBK262187 ILG262187 IVC262187 JEY262187 JOU262187 JYQ262187 KIM262187 KSI262187 LCE262187 LMA262187 LVW262187 MFS262187 MPO262187 MZK262187 NJG262187 NTC262187 OCY262187 OMU262187 OWQ262187 PGM262187 PQI262187 QAE262187 QKA262187 QTW262187 RDS262187 RNO262187 RXK262187 SHG262187 SRC262187 TAY262187 TKU262187 TUQ262187 UEM262187 UOI262187 UYE262187 VIA262187 VRW262187 WBS262187 WLO262187 WVK262187 C327723 IY327723 SU327723 ACQ327723 AMM327723 AWI327723 BGE327723 BQA327723 BZW327723 CJS327723 CTO327723 DDK327723 DNG327723 DXC327723 EGY327723 EQU327723 FAQ327723 FKM327723 FUI327723 GEE327723 GOA327723 GXW327723 HHS327723 HRO327723 IBK327723 ILG327723 IVC327723 JEY327723 JOU327723 JYQ327723 KIM327723 KSI327723 LCE327723 LMA327723 LVW327723 MFS327723 MPO327723 MZK327723 NJG327723 NTC327723 OCY327723 OMU327723 OWQ327723 PGM327723 PQI327723 QAE327723 QKA327723 QTW327723 RDS327723 RNO327723 RXK327723 SHG327723 SRC327723 TAY327723 TKU327723 TUQ327723 UEM327723 UOI327723 UYE327723 VIA327723 VRW327723 WBS327723 WLO327723 WVK327723 C393259 IY393259 SU393259 ACQ393259 AMM393259 AWI393259 BGE393259 BQA393259 BZW393259 CJS393259 CTO393259 DDK393259 DNG393259 DXC393259 EGY393259 EQU393259 FAQ393259 FKM393259 FUI393259 GEE393259 GOA393259 GXW393259 HHS393259 HRO393259 IBK393259 ILG393259 IVC393259 JEY393259 JOU393259 JYQ393259 KIM393259 KSI393259 LCE393259 LMA393259 LVW393259 MFS393259 MPO393259 MZK393259 NJG393259 NTC393259 OCY393259 OMU393259 OWQ393259 PGM393259 PQI393259 QAE393259 QKA393259 QTW393259 RDS393259 RNO393259 RXK393259 SHG393259 SRC393259 TAY393259 TKU393259 TUQ393259 UEM393259 UOI393259 UYE393259 VIA393259 VRW393259 WBS393259 WLO393259 WVK393259 C458795 IY458795 SU458795 ACQ458795 AMM458795 AWI458795 BGE458795 BQA458795 BZW458795 CJS458795 CTO458795 DDK458795 DNG458795 DXC458795 EGY458795 EQU458795 FAQ458795 FKM458795 FUI458795 GEE458795 GOA458795 GXW458795 HHS458795 HRO458795 IBK458795 ILG458795 IVC458795 JEY458795 JOU458795 JYQ458795 KIM458795 KSI458795 LCE458795 LMA458795 LVW458795 MFS458795 MPO458795 MZK458795 NJG458795 NTC458795 OCY458795 OMU458795 OWQ458795 PGM458795 PQI458795 QAE458795 QKA458795 QTW458795 RDS458795 RNO458795 RXK458795 SHG458795 SRC458795 TAY458795 TKU458795 TUQ458795 UEM458795 UOI458795 UYE458795 VIA458795 VRW458795 WBS458795 WLO458795 WVK458795 C524331 IY524331 SU524331 ACQ524331 AMM524331 AWI524331 BGE524331 BQA524331 BZW524331 CJS524331 CTO524331 DDK524331 DNG524331 DXC524331 EGY524331 EQU524331 FAQ524331 FKM524331 FUI524331 GEE524331 GOA524331 GXW524331 HHS524331 HRO524331 IBK524331 ILG524331 IVC524331 JEY524331 JOU524331 JYQ524331 KIM524331 KSI524331 LCE524331 LMA524331 LVW524331 MFS524331 MPO524331 MZK524331 NJG524331 NTC524331 OCY524331 OMU524331 OWQ524331 PGM524331 PQI524331 QAE524331 QKA524331 QTW524331 RDS524331 RNO524331 RXK524331 SHG524331 SRC524331 TAY524331 TKU524331 TUQ524331 UEM524331 UOI524331 UYE524331 VIA524331 VRW524331 WBS524331 WLO524331 WVK524331 C589867 IY589867 SU589867 ACQ589867 AMM589867 AWI589867 BGE589867 BQA589867 BZW589867 CJS589867 CTO589867 DDK589867 DNG589867 DXC589867 EGY589867 EQU589867 FAQ589867 FKM589867 FUI589867 GEE589867 GOA589867 GXW589867 HHS589867 HRO589867 IBK589867 ILG589867 IVC589867 JEY589867 JOU589867 JYQ589867 KIM589867 KSI589867 LCE589867 LMA589867 LVW589867 MFS589867 MPO589867 MZK589867 NJG589867 NTC589867 OCY589867 OMU589867 OWQ589867 PGM589867 PQI589867 QAE589867 QKA589867 QTW589867 RDS589867 RNO589867 RXK589867 SHG589867 SRC589867 TAY589867 TKU589867 TUQ589867 UEM589867 UOI589867 UYE589867 VIA589867 VRW589867 WBS589867 WLO589867 WVK589867 C655403 IY655403 SU655403 ACQ655403 AMM655403 AWI655403 BGE655403 BQA655403 BZW655403 CJS655403 CTO655403 DDK655403 DNG655403 DXC655403 EGY655403 EQU655403 FAQ655403 FKM655403 FUI655403 GEE655403 GOA655403 GXW655403 HHS655403 HRO655403 IBK655403 ILG655403 IVC655403 JEY655403 JOU655403 JYQ655403 KIM655403 KSI655403 LCE655403 LMA655403 LVW655403 MFS655403 MPO655403 MZK655403 NJG655403 NTC655403 OCY655403 OMU655403 OWQ655403 PGM655403 PQI655403 QAE655403 QKA655403 QTW655403 RDS655403 RNO655403 RXK655403 SHG655403 SRC655403 TAY655403 TKU655403 TUQ655403 UEM655403 UOI655403 UYE655403 VIA655403 VRW655403 WBS655403 WLO655403 WVK655403 C720939 IY720939 SU720939 ACQ720939 AMM720939 AWI720939 BGE720939 BQA720939 BZW720939 CJS720939 CTO720939 DDK720939 DNG720939 DXC720939 EGY720939 EQU720939 FAQ720939 FKM720939 FUI720939 GEE720939 GOA720939 GXW720939 HHS720939 HRO720939 IBK720939 ILG720939 IVC720939 JEY720939 JOU720939 JYQ720939 KIM720939 KSI720939 LCE720939 LMA720939 LVW720939 MFS720939 MPO720939 MZK720939 NJG720939 NTC720939 OCY720939 OMU720939 OWQ720939 PGM720939 PQI720939 QAE720939 QKA720939 QTW720939 RDS720939 RNO720939 RXK720939 SHG720939 SRC720939 TAY720939 TKU720939 TUQ720939 UEM720939 UOI720939 UYE720939 VIA720939 VRW720939 WBS720939 WLO720939 WVK720939 C786475 IY786475 SU786475 ACQ786475 AMM786475 AWI786475 BGE786475 BQA786475 BZW786475 CJS786475 CTO786475 DDK786475 DNG786475 DXC786475 EGY786475 EQU786475 FAQ786475 FKM786475 FUI786475 GEE786475 GOA786475 GXW786475 HHS786475 HRO786475 IBK786475 ILG786475 IVC786475 JEY786475 JOU786475 JYQ786475 KIM786475 KSI786475 LCE786475 LMA786475 LVW786475 MFS786475 MPO786475 MZK786475 NJG786475 NTC786475 OCY786475 OMU786475 OWQ786475 PGM786475 PQI786475 QAE786475 QKA786475 QTW786475 RDS786475 RNO786475 RXK786475 SHG786475 SRC786475 TAY786475 TKU786475 TUQ786475 UEM786475 UOI786475 UYE786475 VIA786475 VRW786475 WBS786475 WLO786475 WVK786475 C852011 IY852011 SU852011 ACQ852011 AMM852011 AWI852011 BGE852011 BQA852011 BZW852011 CJS852011 CTO852011 DDK852011 DNG852011 DXC852011 EGY852011 EQU852011 FAQ852011 FKM852011 FUI852011 GEE852011 GOA852011 GXW852011 HHS852011 HRO852011 IBK852011 ILG852011 IVC852011 JEY852011 JOU852011 JYQ852011 KIM852011 KSI852011 LCE852011 LMA852011 LVW852011 MFS852011 MPO852011 MZK852011 NJG852011 NTC852011 OCY852011 OMU852011 OWQ852011 PGM852011 PQI852011 QAE852011 QKA852011 QTW852011 RDS852011 RNO852011 RXK852011 SHG852011 SRC852011 TAY852011 TKU852011 TUQ852011 UEM852011 UOI852011 UYE852011 VIA852011 VRW852011 WBS852011 WLO852011 WVK852011 C917547 IY917547 SU917547 ACQ917547 AMM917547 AWI917547 BGE917547 BQA917547 BZW917547 CJS917547 CTO917547 DDK917547 DNG917547 DXC917547 EGY917547 EQU917547 FAQ917547 FKM917547 FUI917547 GEE917547 GOA917547 GXW917547 HHS917547 HRO917547 IBK917547 ILG917547 IVC917547 JEY917547 JOU917547 JYQ917547 KIM917547 KSI917547 LCE917547 LMA917547 LVW917547 MFS917547 MPO917547 MZK917547 NJG917547 NTC917547 OCY917547 OMU917547 OWQ917547 PGM917547 PQI917547 QAE917547 QKA917547 QTW917547 RDS917547 RNO917547 RXK917547 SHG917547 SRC917547 TAY917547 TKU917547 TUQ917547 UEM917547 UOI917547 UYE917547 VIA917547 VRW917547 WBS917547 WLO917547 WVK917547 C983083 IY983083 SU983083 ACQ983083 AMM983083 AWI983083 BGE983083 BQA983083 BZW983083 CJS983083 CTO983083 DDK983083 DNG983083 DXC983083 EGY983083 EQU983083 FAQ983083 FKM983083 FUI983083 GEE983083 GOA983083 GXW983083 HHS983083 HRO983083 IBK983083 ILG983083 IVC983083 JEY983083 JOU983083 JYQ983083 KIM983083 KSI983083 LCE983083 LMA983083 LVW983083 MFS983083 MPO983083 MZK983083 NJG983083 NTC983083 OCY983083 OMU983083 OWQ983083 PGM983083 PQI983083 QAE983083 QKA983083 QTW983083 RDS983083 RNO983083 RXK983083 SHG983083 SRC983083 TAY983083 TKU983083 TUQ983083 UEM983083 UOI983083 UYE983083 VIA983083 VRW983083 WBS983083 WLO983083 WVK983083 E43 JA43 SW43 ACS43 AMO43 AWK43 BGG43 BQC43 BZY43 CJU43 CTQ43 DDM43 DNI43 DXE43 EHA43 EQW43 FAS43 FKO43 FUK43 GEG43 GOC43 GXY43 HHU43 HRQ43 IBM43 ILI43 IVE43 JFA43 JOW43 JYS43 KIO43 KSK43 LCG43 LMC43 LVY43 MFU43 MPQ43 MZM43 NJI43 NTE43 ODA43 OMW43 OWS43 PGO43 PQK43 QAG43 QKC43 QTY43 RDU43 RNQ43 RXM43 SHI43 SRE43 TBA43 TKW43 TUS43 UEO43 UOK43 UYG43 VIC43 VRY43 WBU43 WLQ43 WVM43 E65579 JA65579 SW65579 ACS65579 AMO65579 AWK65579 BGG65579 BQC65579 BZY65579 CJU65579 CTQ65579 DDM65579 DNI65579 DXE65579 EHA65579 EQW65579 FAS65579 FKO65579 FUK65579 GEG65579 GOC65579 GXY65579 HHU65579 HRQ65579 IBM65579 ILI65579 IVE65579 JFA65579 JOW65579 JYS65579 KIO65579 KSK65579 LCG65579 LMC65579 LVY65579 MFU65579 MPQ65579 MZM65579 NJI65579 NTE65579 ODA65579 OMW65579 OWS65579 PGO65579 PQK65579 QAG65579 QKC65579 QTY65579 RDU65579 RNQ65579 RXM65579 SHI65579 SRE65579 TBA65579 TKW65579 TUS65579 UEO65579 UOK65579 UYG65579 VIC65579 VRY65579 WBU65579 WLQ65579 WVM65579 E131115 JA131115 SW131115 ACS131115 AMO131115 AWK131115 BGG131115 BQC131115 BZY131115 CJU131115 CTQ131115 DDM131115 DNI131115 DXE131115 EHA131115 EQW131115 FAS131115 FKO131115 FUK131115 GEG131115 GOC131115 GXY131115 HHU131115 HRQ131115 IBM131115 ILI131115 IVE131115 JFA131115 JOW131115 JYS131115 KIO131115 KSK131115 LCG131115 LMC131115 LVY131115 MFU131115 MPQ131115 MZM131115 NJI131115 NTE131115 ODA131115 OMW131115 OWS131115 PGO131115 PQK131115 QAG131115 QKC131115 QTY131115 RDU131115 RNQ131115 RXM131115 SHI131115 SRE131115 TBA131115 TKW131115 TUS131115 UEO131115 UOK131115 UYG131115 VIC131115 VRY131115 WBU131115 WLQ131115 WVM131115 E196651 JA196651 SW196651 ACS196651 AMO196651 AWK196651 BGG196651 BQC196651 BZY196651 CJU196651 CTQ196651 DDM196651 DNI196651 DXE196651 EHA196651 EQW196651 FAS196651 FKO196651 FUK196651 GEG196651 GOC196651 GXY196651 HHU196651 HRQ196651 IBM196651 ILI196651 IVE196651 JFA196651 JOW196651 JYS196651 KIO196651 KSK196651 LCG196651 LMC196651 LVY196651 MFU196651 MPQ196651 MZM196651 NJI196651 NTE196651 ODA196651 OMW196651 OWS196651 PGO196651 PQK196651 QAG196651 QKC196651 QTY196651 RDU196651 RNQ196651 RXM196651 SHI196651 SRE196651 TBA196651 TKW196651 TUS196651 UEO196651 UOK196651 UYG196651 VIC196651 VRY196651 WBU196651 WLQ196651 WVM196651 E262187 JA262187 SW262187 ACS262187 AMO262187 AWK262187 BGG262187 BQC262187 BZY262187 CJU262187 CTQ262187 DDM262187 DNI262187 DXE262187 EHA262187 EQW262187 FAS262187 FKO262187 FUK262187 GEG262187 GOC262187 GXY262187 HHU262187 HRQ262187 IBM262187 ILI262187 IVE262187 JFA262187 JOW262187 JYS262187 KIO262187 KSK262187 LCG262187 LMC262187 LVY262187 MFU262187 MPQ262187 MZM262187 NJI262187 NTE262187 ODA262187 OMW262187 OWS262187 PGO262187 PQK262187 QAG262187 QKC262187 QTY262187 RDU262187 RNQ262187 RXM262187 SHI262187 SRE262187 TBA262187 TKW262187 TUS262187 UEO262187 UOK262187 UYG262187 VIC262187 VRY262187 WBU262187 WLQ262187 WVM262187 E327723 JA327723 SW327723 ACS327723 AMO327723 AWK327723 BGG327723 BQC327723 BZY327723 CJU327723 CTQ327723 DDM327723 DNI327723 DXE327723 EHA327723 EQW327723 FAS327723 FKO327723 FUK327723 GEG327723 GOC327723 GXY327723 HHU327723 HRQ327723 IBM327723 ILI327723 IVE327723 JFA327723 JOW327723 JYS327723 KIO327723 KSK327723 LCG327723 LMC327723 LVY327723 MFU327723 MPQ327723 MZM327723 NJI327723 NTE327723 ODA327723 OMW327723 OWS327723 PGO327723 PQK327723 QAG327723 QKC327723 QTY327723 RDU327723 RNQ327723 RXM327723 SHI327723 SRE327723 TBA327723 TKW327723 TUS327723 UEO327723 UOK327723 UYG327723 VIC327723 VRY327723 WBU327723 WLQ327723 WVM327723 E393259 JA393259 SW393259 ACS393259 AMO393259 AWK393259 BGG393259 BQC393259 BZY393259 CJU393259 CTQ393259 DDM393259 DNI393259 DXE393259 EHA393259 EQW393259 FAS393259 FKO393259 FUK393259 GEG393259 GOC393259 GXY393259 HHU393259 HRQ393259 IBM393259 ILI393259 IVE393259 JFA393259 JOW393259 JYS393259 KIO393259 KSK393259 LCG393259 LMC393259 LVY393259 MFU393259 MPQ393259 MZM393259 NJI393259 NTE393259 ODA393259 OMW393259 OWS393259 PGO393259 PQK393259 QAG393259 QKC393259 QTY393259 RDU393259 RNQ393259 RXM393259 SHI393259 SRE393259 TBA393259 TKW393259 TUS393259 UEO393259 UOK393259 UYG393259 VIC393259 VRY393259 WBU393259 WLQ393259 WVM393259 E458795 JA458795 SW458795 ACS458795 AMO458795 AWK458795 BGG458795 BQC458795 BZY458795 CJU458795 CTQ458795 DDM458795 DNI458795 DXE458795 EHA458795 EQW458795 FAS458795 FKO458795 FUK458795 GEG458795 GOC458795 GXY458795 HHU458795 HRQ458795 IBM458795 ILI458795 IVE458795 JFA458795 JOW458795 JYS458795 KIO458795 KSK458795 LCG458795 LMC458795 LVY458795 MFU458795 MPQ458795 MZM458795 NJI458795 NTE458795 ODA458795 OMW458795 OWS458795 PGO458795 PQK458795 QAG458795 QKC458795 QTY458795 RDU458795 RNQ458795 RXM458795 SHI458795 SRE458795 TBA458795 TKW458795 TUS458795 UEO458795 UOK458795 UYG458795 VIC458795 VRY458795 WBU458795 WLQ458795 WVM458795 E524331 JA524331 SW524331 ACS524331 AMO524331 AWK524331 BGG524331 BQC524331 BZY524331 CJU524331 CTQ524331 DDM524331 DNI524331 DXE524331 EHA524331 EQW524331 FAS524331 FKO524331 FUK524331 GEG524331 GOC524331 GXY524331 HHU524331 HRQ524331 IBM524331 ILI524331 IVE524331 JFA524331 JOW524331 JYS524331 KIO524331 KSK524331 LCG524331 LMC524331 LVY524331 MFU524331 MPQ524331 MZM524331 NJI524331 NTE524331 ODA524331 OMW524331 OWS524331 PGO524331 PQK524331 QAG524331 QKC524331 QTY524331 RDU524331 RNQ524331 RXM524331 SHI524331 SRE524331 TBA524331 TKW524331 TUS524331 UEO524331 UOK524331 UYG524331 VIC524331 VRY524331 WBU524331 WLQ524331 WVM524331 E589867 JA589867 SW589867 ACS589867 AMO589867 AWK589867 BGG589867 BQC589867 BZY589867 CJU589867 CTQ589867 DDM589867 DNI589867 DXE589867 EHA589867 EQW589867 FAS589867 FKO589867 FUK589867 GEG589867 GOC589867 GXY589867 HHU589867 HRQ589867 IBM589867 ILI589867 IVE589867 JFA589867 JOW589867 JYS589867 KIO589867 KSK589867 LCG589867 LMC589867 LVY589867 MFU589867 MPQ589867 MZM589867 NJI589867 NTE589867 ODA589867 OMW589867 OWS589867 PGO589867 PQK589867 QAG589867 QKC589867 QTY589867 RDU589867 RNQ589867 RXM589867 SHI589867 SRE589867 TBA589867 TKW589867 TUS589867 UEO589867 UOK589867 UYG589867 VIC589867 VRY589867 WBU589867 WLQ589867 WVM589867 E655403 JA655403 SW655403 ACS655403 AMO655403 AWK655403 BGG655403 BQC655403 BZY655403 CJU655403 CTQ655403 DDM655403 DNI655403 DXE655403 EHA655403 EQW655403 FAS655403 FKO655403 FUK655403 GEG655403 GOC655403 GXY655403 HHU655403 HRQ655403 IBM655403 ILI655403 IVE655403 JFA655403 JOW655403 JYS655403 KIO655403 KSK655403 LCG655403 LMC655403 LVY655403 MFU655403 MPQ655403 MZM655403 NJI655403 NTE655403 ODA655403 OMW655403 OWS655403 PGO655403 PQK655403 QAG655403 QKC655403 QTY655403 RDU655403 RNQ655403 RXM655403 SHI655403 SRE655403 TBA655403 TKW655403 TUS655403 UEO655403 UOK655403 UYG655403 VIC655403 VRY655403 WBU655403 WLQ655403 WVM655403 E720939 JA720939 SW720939 ACS720939 AMO720939 AWK720939 BGG720939 BQC720939 BZY720939 CJU720939 CTQ720939 DDM720939 DNI720939 DXE720939 EHA720939 EQW720939 FAS720939 FKO720939 FUK720939 GEG720939 GOC720939 GXY720939 HHU720939 HRQ720939 IBM720939 ILI720939 IVE720939 JFA720939 JOW720939 JYS720939 KIO720939 KSK720939 LCG720939 LMC720939 LVY720939 MFU720939 MPQ720939 MZM720939 NJI720939 NTE720939 ODA720939 OMW720939 OWS720939 PGO720939 PQK720939 QAG720939 QKC720939 QTY720939 RDU720939 RNQ720939 RXM720939 SHI720939 SRE720939 TBA720939 TKW720939 TUS720939 UEO720939 UOK720939 UYG720939 VIC720939 VRY720939 WBU720939 WLQ720939 WVM720939 E786475 JA786475 SW786475 ACS786475 AMO786475 AWK786475 BGG786475 BQC786475 BZY786475 CJU786475 CTQ786475 DDM786475 DNI786475 DXE786475 EHA786475 EQW786475 FAS786475 FKO786475 FUK786475 GEG786475 GOC786475 GXY786475 HHU786475 HRQ786475 IBM786475 ILI786475 IVE786475 JFA786475 JOW786475 JYS786475 KIO786475 KSK786475 LCG786475 LMC786475 LVY786475 MFU786475 MPQ786475 MZM786475 NJI786475 NTE786475 ODA786475 OMW786475 OWS786475 PGO786475 PQK786475 QAG786475 QKC786475 QTY786475 RDU786475 RNQ786475 RXM786475 SHI786475 SRE786475 TBA786475 TKW786475 TUS786475 UEO786475 UOK786475 UYG786475 VIC786475 VRY786475 WBU786475 WLQ786475 WVM786475 E852011 JA852011 SW852011 ACS852011 AMO852011 AWK852011 BGG852011 BQC852011 BZY852011 CJU852011 CTQ852011 DDM852011 DNI852011 DXE852011 EHA852011 EQW852011 FAS852011 FKO852011 FUK852011 GEG852011 GOC852011 GXY852011 HHU852011 HRQ852011 IBM852011 ILI852011 IVE852011 JFA852011 JOW852011 JYS852011 KIO852011 KSK852011 LCG852011 LMC852011 LVY852011 MFU852011 MPQ852011 MZM852011 NJI852011 NTE852011 ODA852011 OMW852011 OWS852011 PGO852011 PQK852011 QAG852011 QKC852011 QTY852011 RDU852011 RNQ852011 RXM852011 SHI852011 SRE852011 TBA852011 TKW852011 TUS852011 UEO852011 UOK852011 UYG852011 VIC852011 VRY852011 WBU852011 WLQ852011 WVM852011 E917547 JA917547 SW917547 ACS917547 AMO917547 AWK917547 BGG917547 BQC917547 BZY917547 CJU917547 CTQ917547 DDM917547 DNI917547 DXE917547 EHA917547 EQW917547 FAS917547 FKO917547 FUK917547 GEG917547 GOC917547 GXY917547 HHU917547 HRQ917547 IBM917547 ILI917547 IVE917547 JFA917547 JOW917547 JYS917547 KIO917547 KSK917547 LCG917547 LMC917547 LVY917547 MFU917547 MPQ917547 MZM917547 NJI917547 NTE917547 ODA917547 OMW917547 OWS917547 PGO917547 PQK917547 QAG917547 QKC917547 QTY917547 RDU917547 RNQ917547 RXM917547 SHI917547 SRE917547 TBA917547 TKW917547 TUS917547 UEO917547 UOK917547 UYG917547 VIC917547 VRY917547 WBU917547 WLQ917547 WVM917547 E983083 JA983083 SW983083 ACS983083 AMO983083 AWK983083 BGG983083 BQC983083 BZY983083 CJU983083 CTQ983083 DDM983083 DNI983083 DXE983083 EHA983083 EQW983083 FAS983083 FKO983083 FUK983083 GEG983083 GOC983083 GXY983083 HHU983083 HRQ983083 IBM983083 ILI983083 IVE983083 JFA983083 JOW983083 JYS983083 KIO983083 KSK983083 LCG983083 LMC983083 LVY983083 MFU983083 MPQ983083 MZM983083 NJI983083 NTE983083 ODA983083 OMW983083 OWS983083 PGO983083 PQK983083 QAG983083 QKC983083 QTY983083 RDU983083 RNQ983083 RXM983083 SHI983083 SRE983083 TBA983083 TKW983083 TUS983083 UEO983083 UOK983083 UYG983083 VIC983083 VRY983083 WBU983083 WLQ983083 WVM983083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I43 JE43 TA43 ACW43 AMS43 AWO43 BGK43 BQG43 CAC43 CJY43 CTU43 DDQ43 DNM43 DXI43 EHE43 ERA43 FAW43 FKS43 FUO43 GEK43 GOG43 GYC43 HHY43 HRU43 IBQ43 ILM43 IVI43 JFE43 JPA43 JYW43 KIS43 KSO43 LCK43 LMG43 LWC43 MFY43 MPU43 MZQ43 NJM43 NTI43 ODE43 ONA43 OWW43 PGS43 PQO43 QAK43 QKG43 QUC43 RDY43 RNU43 RXQ43 SHM43 SRI43 TBE43 TLA43 TUW43 UES43 UOO43 UYK43 VIG43 VSC43 WBY43 WLU43 WVQ43 I65579 JE65579 TA65579 ACW65579 AMS65579 AWO65579 BGK65579 BQG65579 CAC65579 CJY65579 CTU65579 DDQ65579 DNM65579 DXI65579 EHE65579 ERA65579 FAW65579 FKS65579 FUO65579 GEK65579 GOG65579 GYC65579 HHY65579 HRU65579 IBQ65579 ILM65579 IVI65579 JFE65579 JPA65579 JYW65579 KIS65579 KSO65579 LCK65579 LMG65579 LWC65579 MFY65579 MPU65579 MZQ65579 NJM65579 NTI65579 ODE65579 ONA65579 OWW65579 PGS65579 PQO65579 QAK65579 QKG65579 QUC65579 RDY65579 RNU65579 RXQ65579 SHM65579 SRI65579 TBE65579 TLA65579 TUW65579 UES65579 UOO65579 UYK65579 VIG65579 VSC65579 WBY65579 WLU65579 WVQ65579 I131115 JE131115 TA131115 ACW131115 AMS131115 AWO131115 BGK131115 BQG131115 CAC131115 CJY131115 CTU131115 DDQ131115 DNM131115 DXI131115 EHE131115 ERA131115 FAW131115 FKS131115 FUO131115 GEK131115 GOG131115 GYC131115 HHY131115 HRU131115 IBQ131115 ILM131115 IVI131115 JFE131115 JPA131115 JYW131115 KIS131115 KSO131115 LCK131115 LMG131115 LWC131115 MFY131115 MPU131115 MZQ131115 NJM131115 NTI131115 ODE131115 ONA131115 OWW131115 PGS131115 PQO131115 QAK131115 QKG131115 QUC131115 RDY131115 RNU131115 RXQ131115 SHM131115 SRI131115 TBE131115 TLA131115 TUW131115 UES131115 UOO131115 UYK131115 VIG131115 VSC131115 WBY131115 WLU131115 WVQ131115 I196651 JE196651 TA196651 ACW196651 AMS196651 AWO196651 BGK196651 BQG196651 CAC196651 CJY196651 CTU196651 DDQ196651 DNM196651 DXI196651 EHE196651 ERA196651 FAW196651 FKS196651 FUO196651 GEK196651 GOG196651 GYC196651 HHY196651 HRU196651 IBQ196651 ILM196651 IVI196651 JFE196651 JPA196651 JYW196651 KIS196651 KSO196651 LCK196651 LMG196651 LWC196651 MFY196651 MPU196651 MZQ196651 NJM196651 NTI196651 ODE196651 ONA196651 OWW196651 PGS196651 PQO196651 QAK196651 QKG196651 QUC196651 RDY196651 RNU196651 RXQ196651 SHM196651 SRI196651 TBE196651 TLA196651 TUW196651 UES196651 UOO196651 UYK196651 VIG196651 VSC196651 WBY196651 WLU196651 WVQ196651 I262187 JE262187 TA262187 ACW262187 AMS262187 AWO262187 BGK262187 BQG262187 CAC262187 CJY262187 CTU262187 DDQ262187 DNM262187 DXI262187 EHE262187 ERA262187 FAW262187 FKS262187 FUO262187 GEK262187 GOG262187 GYC262187 HHY262187 HRU262187 IBQ262187 ILM262187 IVI262187 JFE262187 JPA262187 JYW262187 KIS262187 KSO262187 LCK262187 LMG262187 LWC262187 MFY262187 MPU262187 MZQ262187 NJM262187 NTI262187 ODE262187 ONA262187 OWW262187 PGS262187 PQO262187 QAK262187 QKG262187 QUC262187 RDY262187 RNU262187 RXQ262187 SHM262187 SRI262187 TBE262187 TLA262187 TUW262187 UES262187 UOO262187 UYK262187 VIG262187 VSC262187 WBY262187 WLU262187 WVQ262187 I327723 JE327723 TA327723 ACW327723 AMS327723 AWO327723 BGK327723 BQG327723 CAC327723 CJY327723 CTU327723 DDQ327723 DNM327723 DXI327723 EHE327723 ERA327723 FAW327723 FKS327723 FUO327723 GEK327723 GOG327723 GYC327723 HHY327723 HRU327723 IBQ327723 ILM327723 IVI327723 JFE327723 JPA327723 JYW327723 KIS327723 KSO327723 LCK327723 LMG327723 LWC327723 MFY327723 MPU327723 MZQ327723 NJM327723 NTI327723 ODE327723 ONA327723 OWW327723 PGS327723 PQO327723 QAK327723 QKG327723 QUC327723 RDY327723 RNU327723 RXQ327723 SHM327723 SRI327723 TBE327723 TLA327723 TUW327723 UES327723 UOO327723 UYK327723 VIG327723 VSC327723 WBY327723 WLU327723 WVQ327723 I393259 JE393259 TA393259 ACW393259 AMS393259 AWO393259 BGK393259 BQG393259 CAC393259 CJY393259 CTU393259 DDQ393259 DNM393259 DXI393259 EHE393259 ERA393259 FAW393259 FKS393259 FUO393259 GEK393259 GOG393259 GYC393259 HHY393259 HRU393259 IBQ393259 ILM393259 IVI393259 JFE393259 JPA393259 JYW393259 KIS393259 KSO393259 LCK393259 LMG393259 LWC393259 MFY393259 MPU393259 MZQ393259 NJM393259 NTI393259 ODE393259 ONA393259 OWW393259 PGS393259 PQO393259 QAK393259 QKG393259 QUC393259 RDY393259 RNU393259 RXQ393259 SHM393259 SRI393259 TBE393259 TLA393259 TUW393259 UES393259 UOO393259 UYK393259 VIG393259 VSC393259 WBY393259 WLU393259 WVQ393259 I458795 JE458795 TA458795 ACW458795 AMS458795 AWO458795 BGK458795 BQG458795 CAC458795 CJY458795 CTU458795 DDQ458795 DNM458795 DXI458795 EHE458795 ERA458795 FAW458795 FKS458795 FUO458795 GEK458795 GOG458795 GYC458795 HHY458795 HRU458795 IBQ458795 ILM458795 IVI458795 JFE458795 JPA458795 JYW458795 KIS458795 KSO458795 LCK458795 LMG458795 LWC458795 MFY458795 MPU458795 MZQ458795 NJM458795 NTI458795 ODE458795 ONA458795 OWW458795 PGS458795 PQO458795 QAK458795 QKG458795 QUC458795 RDY458795 RNU458795 RXQ458795 SHM458795 SRI458795 TBE458795 TLA458795 TUW458795 UES458795 UOO458795 UYK458795 VIG458795 VSC458795 WBY458795 WLU458795 WVQ458795 I524331 JE524331 TA524331 ACW524331 AMS524331 AWO524331 BGK524331 BQG524331 CAC524331 CJY524331 CTU524331 DDQ524331 DNM524331 DXI524331 EHE524331 ERA524331 FAW524331 FKS524331 FUO524331 GEK524331 GOG524331 GYC524331 HHY524331 HRU524331 IBQ524331 ILM524331 IVI524331 JFE524331 JPA524331 JYW524331 KIS524331 KSO524331 LCK524331 LMG524331 LWC524331 MFY524331 MPU524331 MZQ524331 NJM524331 NTI524331 ODE524331 ONA524331 OWW524331 PGS524331 PQO524331 QAK524331 QKG524331 QUC524331 RDY524331 RNU524331 RXQ524331 SHM524331 SRI524331 TBE524331 TLA524331 TUW524331 UES524331 UOO524331 UYK524331 VIG524331 VSC524331 WBY524331 WLU524331 WVQ524331 I589867 JE589867 TA589867 ACW589867 AMS589867 AWO589867 BGK589867 BQG589867 CAC589867 CJY589867 CTU589867 DDQ589867 DNM589867 DXI589867 EHE589867 ERA589867 FAW589867 FKS589867 FUO589867 GEK589867 GOG589867 GYC589867 HHY589867 HRU589867 IBQ589867 ILM589867 IVI589867 JFE589867 JPA589867 JYW589867 KIS589867 KSO589867 LCK589867 LMG589867 LWC589867 MFY589867 MPU589867 MZQ589867 NJM589867 NTI589867 ODE589867 ONA589867 OWW589867 PGS589867 PQO589867 QAK589867 QKG589867 QUC589867 RDY589867 RNU589867 RXQ589867 SHM589867 SRI589867 TBE589867 TLA589867 TUW589867 UES589867 UOO589867 UYK589867 VIG589867 VSC589867 WBY589867 WLU589867 WVQ589867 I655403 JE655403 TA655403 ACW655403 AMS655403 AWO655403 BGK655403 BQG655403 CAC655403 CJY655403 CTU655403 DDQ655403 DNM655403 DXI655403 EHE655403 ERA655403 FAW655403 FKS655403 FUO655403 GEK655403 GOG655403 GYC655403 HHY655403 HRU655403 IBQ655403 ILM655403 IVI655403 JFE655403 JPA655403 JYW655403 KIS655403 KSO655403 LCK655403 LMG655403 LWC655403 MFY655403 MPU655403 MZQ655403 NJM655403 NTI655403 ODE655403 ONA655403 OWW655403 PGS655403 PQO655403 QAK655403 QKG655403 QUC655403 RDY655403 RNU655403 RXQ655403 SHM655403 SRI655403 TBE655403 TLA655403 TUW655403 UES655403 UOO655403 UYK655403 VIG655403 VSC655403 WBY655403 WLU655403 WVQ655403 I720939 JE720939 TA720939 ACW720939 AMS720939 AWO720939 BGK720939 BQG720939 CAC720939 CJY720939 CTU720939 DDQ720939 DNM720939 DXI720939 EHE720939 ERA720939 FAW720939 FKS720939 FUO720939 GEK720939 GOG720939 GYC720939 HHY720939 HRU720939 IBQ720939 ILM720939 IVI720939 JFE720939 JPA720939 JYW720939 KIS720939 KSO720939 LCK720939 LMG720939 LWC720939 MFY720939 MPU720939 MZQ720939 NJM720939 NTI720939 ODE720939 ONA720939 OWW720939 PGS720939 PQO720939 QAK720939 QKG720939 QUC720939 RDY720939 RNU720939 RXQ720939 SHM720939 SRI720939 TBE720939 TLA720939 TUW720939 UES720939 UOO720939 UYK720939 VIG720939 VSC720939 WBY720939 WLU720939 WVQ720939 I786475 JE786475 TA786475 ACW786475 AMS786475 AWO786475 BGK786475 BQG786475 CAC786475 CJY786475 CTU786475 DDQ786475 DNM786475 DXI786475 EHE786475 ERA786475 FAW786475 FKS786475 FUO786475 GEK786475 GOG786475 GYC786475 HHY786475 HRU786475 IBQ786475 ILM786475 IVI786475 JFE786475 JPA786475 JYW786475 KIS786475 KSO786475 LCK786475 LMG786475 LWC786475 MFY786475 MPU786475 MZQ786475 NJM786475 NTI786475 ODE786475 ONA786475 OWW786475 PGS786475 PQO786475 QAK786475 QKG786475 QUC786475 RDY786475 RNU786475 RXQ786475 SHM786475 SRI786475 TBE786475 TLA786475 TUW786475 UES786475 UOO786475 UYK786475 VIG786475 VSC786475 WBY786475 WLU786475 WVQ786475 I852011 JE852011 TA852011 ACW852011 AMS852011 AWO852011 BGK852011 BQG852011 CAC852011 CJY852011 CTU852011 DDQ852011 DNM852011 DXI852011 EHE852011 ERA852011 FAW852011 FKS852011 FUO852011 GEK852011 GOG852011 GYC852011 HHY852011 HRU852011 IBQ852011 ILM852011 IVI852011 JFE852011 JPA852011 JYW852011 KIS852011 KSO852011 LCK852011 LMG852011 LWC852011 MFY852011 MPU852011 MZQ852011 NJM852011 NTI852011 ODE852011 ONA852011 OWW852011 PGS852011 PQO852011 QAK852011 QKG852011 QUC852011 RDY852011 RNU852011 RXQ852011 SHM852011 SRI852011 TBE852011 TLA852011 TUW852011 UES852011 UOO852011 UYK852011 VIG852011 VSC852011 WBY852011 WLU852011 WVQ852011 I917547 JE917547 TA917547 ACW917547 AMS917547 AWO917547 BGK917547 BQG917547 CAC917547 CJY917547 CTU917547 DDQ917547 DNM917547 DXI917547 EHE917547 ERA917547 FAW917547 FKS917547 FUO917547 GEK917547 GOG917547 GYC917547 HHY917547 HRU917547 IBQ917547 ILM917547 IVI917547 JFE917547 JPA917547 JYW917547 KIS917547 KSO917547 LCK917547 LMG917547 LWC917547 MFY917547 MPU917547 MZQ917547 NJM917547 NTI917547 ODE917547 ONA917547 OWW917547 PGS917547 PQO917547 QAK917547 QKG917547 QUC917547 RDY917547 RNU917547 RXQ917547 SHM917547 SRI917547 TBE917547 TLA917547 TUW917547 UES917547 UOO917547 UYK917547 VIG917547 VSC917547 WBY917547 WLU917547 WVQ917547 I983083 JE983083 TA983083 ACW983083 AMS983083 AWO983083 BGK983083 BQG983083 CAC983083 CJY983083 CTU983083 DDQ983083 DNM983083 DXI983083 EHE983083 ERA983083 FAW983083 FKS983083 FUO983083 GEK983083 GOG983083 GYC983083 HHY983083 HRU983083 IBQ983083 ILM983083 IVI983083 JFE983083 JPA983083 JYW983083 KIS983083 KSO983083 LCK983083 LMG983083 LWC983083 MFY983083 MPU983083 MZQ983083 NJM983083 NTI983083 ODE983083 ONA983083 OWW983083 PGS983083 PQO983083 QAK983083 QKG983083 QUC983083 RDY983083 RNU983083 RXQ983083 SHM983083 SRI983083 TBE983083 TLA983083 TUW983083 UES983083 UOO983083 UYK983083 VIG983083 VSC983083 WBY983083 WLU983083 WVQ983083">
      <formula1>办公内部装修</formula1>
    </dataValidation>
    <dataValidation type="list" allowBlank="1" showInputMessage="1" showErrorMessage="1" sqref="C41 IY41 SU41 ACQ41 AMM41 AWI41 BGE41 BQA41 BZW41 CJS41 CTO41 DDK41 DNG41 DXC41 EGY41 EQU41 FAQ41 FKM41 FUI41 GEE41 GOA41 GXW41 HHS41 HRO41 IBK41 ILG41 IVC41 JEY41 JOU41 JYQ41 KIM41 KSI41 LCE41 LMA41 LVW41 MFS41 MPO41 MZK41 NJG41 NTC41 OCY41 OMU41 OWQ41 PGM41 PQI41 QAE41 QKA41 QTW41 RDS41 RNO41 RXK41 SHG41 SRC41 TAY41 TKU41 TUQ41 UEM41 UOI41 UYE41 VIA41 VRW41 WBS41 WLO41 WVK41 C65577 IY65577 SU65577 ACQ65577 AMM65577 AWI65577 BGE65577 BQA65577 BZW65577 CJS65577 CTO65577 DDK65577 DNG65577 DXC65577 EGY65577 EQU65577 FAQ65577 FKM65577 FUI65577 GEE65577 GOA65577 GXW65577 HHS65577 HRO65577 IBK65577 ILG65577 IVC65577 JEY65577 JOU65577 JYQ65577 KIM65577 KSI65577 LCE65577 LMA65577 LVW65577 MFS65577 MPO65577 MZK65577 NJG65577 NTC65577 OCY65577 OMU65577 OWQ65577 PGM65577 PQI65577 QAE65577 QKA65577 QTW65577 RDS65577 RNO65577 RXK65577 SHG65577 SRC65577 TAY65577 TKU65577 TUQ65577 UEM65577 UOI65577 UYE65577 VIA65577 VRW65577 WBS65577 WLO65577 WVK65577 C131113 IY131113 SU131113 ACQ131113 AMM131113 AWI131113 BGE131113 BQA131113 BZW131113 CJS131113 CTO131113 DDK131113 DNG131113 DXC131113 EGY131113 EQU131113 FAQ131113 FKM131113 FUI131113 GEE131113 GOA131113 GXW131113 HHS131113 HRO131113 IBK131113 ILG131113 IVC131113 JEY131113 JOU131113 JYQ131113 KIM131113 KSI131113 LCE131113 LMA131113 LVW131113 MFS131113 MPO131113 MZK131113 NJG131113 NTC131113 OCY131113 OMU131113 OWQ131113 PGM131113 PQI131113 QAE131113 QKA131113 QTW131113 RDS131113 RNO131113 RXK131113 SHG131113 SRC131113 TAY131113 TKU131113 TUQ131113 UEM131113 UOI131113 UYE131113 VIA131113 VRW131113 WBS131113 WLO131113 WVK131113 C196649 IY196649 SU196649 ACQ196649 AMM196649 AWI196649 BGE196649 BQA196649 BZW196649 CJS196649 CTO196649 DDK196649 DNG196649 DXC196649 EGY196649 EQU196649 FAQ196649 FKM196649 FUI196649 GEE196649 GOA196649 GXW196649 HHS196649 HRO196649 IBK196649 ILG196649 IVC196649 JEY196649 JOU196649 JYQ196649 KIM196649 KSI196649 LCE196649 LMA196649 LVW196649 MFS196649 MPO196649 MZK196649 NJG196649 NTC196649 OCY196649 OMU196649 OWQ196649 PGM196649 PQI196649 QAE196649 QKA196649 QTW196649 RDS196649 RNO196649 RXK196649 SHG196649 SRC196649 TAY196649 TKU196649 TUQ196649 UEM196649 UOI196649 UYE196649 VIA196649 VRW196649 WBS196649 WLO196649 WVK196649 C262185 IY262185 SU262185 ACQ262185 AMM262185 AWI262185 BGE262185 BQA262185 BZW262185 CJS262185 CTO262185 DDK262185 DNG262185 DXC262185 EGY262185 EQU262185 FAQ262185 FKM262185 FUI262185 GEE262185 GOA262185 GXW262185 HHS262185 HRO262185 IBK262185 ILG262185 IVC262185 JEY262185 JOU262185 JYQ262185 KIM262185 KSI262185 LCE262185 LMA262185 LVW262185 MFS262185 MPO262185 MZK262185 NJG262185 NTC262185 OCY262185 OMU262185 OWQ262185 PGM262185 PQI262185 QAE262185 QKA262185 QTW262185 RDS262185 RNO262185 RXK262185 SHG262185 SRC262185 TAY262185 TKU262185 TUQ262185 UEM262185 UOI262185 UYE262185 VIA262185 VRW262185 WBS262185 WLO262185 WVK262185 C327721 IY327721 SU327721 ACQ327721 AMM327721 AWI327721 BGE327721 BQA327721 BZW327721 CJS327721 CTO327721 DDK327721 DNG327721 DXC327721 EGY327721 EQU327721 FAQ327721 FKM327721 FUI327721 GEE327721 GOA327721 GXW327721 HHS327721 HRO327721 IBK327721 ILG327721 IVC327721 JEY327721 JOU327721 JYQ327721 KIM327721 KSI327721 LCE327721 LMA327721 LVW327721 MFS327721 MPO327721 MZK327721 NJG327721 NTC327721 OCY327721 OMU327721 OWQ327721 PGM327721 PQI327721 QAE327721 QKA327721 QTW327721 RDS327721 RNO327721 RXK327721 SHG327721 SRC327721 TAY327721 TKU327721 TUQ327721 UEM327721 UOI327721 UYE327721 VIA327721 VRW327721 WBS327721 WLO327721 WVK327721 C393257 IY393257 SU393257 ACQ393257 AMM393257 AWI393257 BGE393257 BQA393257 BZW393257 CJS393257 CTO393257 DDK393257 DNG393257 DXC393257 EGY393257 EQU393257 FAQ393257 FKM393257 FUI393257 GEE393257 GOA393257 GXW393257 HHS393257 HRO393257 IBK393257 ILG393257 IVC393257 JEY393257 JOU393257 JYQ393257 KIM393257 KSI393257 LCE393257 LMA393257 LVW393257 MFS393257 MPO393257 MZK393257 NJG393257 NTC393257 OCY393257 OMU393257 OWQ393257 PGM393257 PQI393257 QAE393257 QKA393257 QTW393257 RDS393257 RNO393257 RXK393257 SHG393257 SRC393257 TAY393257 TKU393257 TUQ393257 UEM393257 UOI393257 UYE393257 VIA393257 VRW393257 WBS393257 WLO393257 WVK393257 C458793 IY458793 SU458793 ACQ458793 AMM458793 AWI458793 BGE458793 BQA458793 BZW458793 CJS458793 CTO458793 DDK458793 DNG458793 DXC458793 EGY458793 EQU458793 FAQ458793 FKM458793 FUI458793 GEE458793 GOA458793 GXW458793 HHS458793 HRO458793 IBK458793 ILG458793 IVC458793 JEY458793 JOU458793 JYQ458793 KIM458793 KSI458793 LCE458793 LMA458793 LVW458793 MFS458793 MPO458793 MZK458793 NJG458793 NTC458793 OCY458793 OMU458793 OWQ458793 PGM458793 PQI458793 QAE458793 QKA458793 QTW458793 RDS458793 RNO458793 RXK458793 SHG458793 SRC458793 TAY458793 TKU458793 TUQ458793 UEM458793 UOI458793 UYE458793 VIA458793 VRW458793 WBS458793 WLO458793 WVK458793 C524329 IY524329 SU524329 ACQ524329 AMM524329 AWI524329 BGE524329 BQA524329 BZW524329 CJS524329 CTO524329 DDK524329 DNG524329 DXC524329 EGY524329 EQU524329 FAQ524329 FKM524329 FUI524329 GEE524329 GOA524329 GXW524329 HHS524329 HRO524329 IBK524329 ILG524329 IVC524329 JEY524329 JOU524329 JYQ524329 KIM524329 KSI524329 LCE524329 LMA524329 LVW524329 MFS524329 MPO524329 MZK524329 NJG524329 NTC524329 OCY524329 OMU524329 OWQ524329 PGM524329 PQI524329 QAE524329 QKA524329 QTW524329 RDS524329 RNO524329 RXK524329 SHG524329 SRC524329 TAY524329 TKU524329 TUQ524329 UEM524329 UOI524329 UYE524329 VIA524329 VRW524329 WBS524329 WLO524329 WVK524329 C589865 IY589865 SU589865 ACQ589865 AMM589865 AWI589865 BGE589865 BQA589865 BZW589865 CJS589865 CTO589865 DDK589865 DNG589865 DXC589865 EGY589865 EQU589865 FAQ589865 FKM589865 FUI589865 GEE589865 GOA589865 GXW589865 HHS589865 HRO589865 IBK589865 ILG589865 IVC589865 JEY589865 JOU589865 JYQ589865 KIM589865 KSI589865 LCE589865 LMA589865 LVW589865 MFS589865 MPO589865 MZK589865 NJG589865 NTC589865 OCY589865 OMU589865 OWQ589865 PGM589865 PQI589865 QAE589865 QKA589865 QTW589865 RDS589865 RNO589865 RXK589865 SHG589865 SRC589865 TAY589865 TKU589865 TUQ589865 UEM589865 UOI589865 UYE589865 VIA589865 VRW589865 WBS589865 WLO589865 WVK589865 C655401 IY655401 SU655401 ACQ655401 AMM655401 AWI655401 BGE655401 BQA655401 BZW655401 CJS655401 CTO655401 DDK655401 DNG655401 DXC655401 EGY655401 EQU655401 FAQ655401 FKM655401 FUI655401 GEE655401 GOA655401 GXW655401 HHS655401 HRO655401 IBK655401 ILG655401 IVC655401 JEY655401 JOU655401 JYQ655401 KIM655401 KSI655401 LCE655401 LMA655401 LVW655401 MFS655401 MPO655401 MZK655401 NJG655401 NTC655401 OCY655401 OMU655401 OWQ655401 PGM655401 PQI655401 QAE655401 QKA655401 QTW655401 RDS655401 RNO655401 RXK655401 SHG655401 SRC655401 TAY655401 TKU655401 TUQ655401 UEM655401 UOI655401 UYE655401 VIA655401 VRW655401 WBS655401 WLO655401 WVK655401 C720937 IY720937 SU720937 ACQ720937 AMM720937 AWI720937 BGE720937 BQA720937 BZW720937 CJS720937 CTO720937 DDK720937 DNG720937 DXC720937 EGY720937 EQU720937 FAQ720937 FKM720937 FUI720937 GEE720937 GOA720937 GXW720937 HHS720937 HRO720937 IBK720937 ILG720937 IVC720937 JEY720937 JOU720937 JYQ720937 KIM720937 KSI720937 LCE720937 LMA720937 LVW720937 MFS720937 MPO720937 MZK720937 NJG720937 NTC720937 OCY720937 OMU720937 OWQ720937 PGM720937 PQI720937 QAE720937 QKA720937 QTW720937 RDS720937 RNO720937 RXK720937 SHG720937 SRC720937 TAY720937 TKU720937 TUQ720937 UEM720937 UOI720937 UYE720937 VIA720937 VRW720937 WBS720937 WLO720937 WVK720937 C786473 IY786473 SU786473 ACQ786473 AMM786473 AWI786473 BGE786473 BQA786473 BZW786473 CJS786473 CTO786473 DDK786473 DNG786473 DXC786473 EGY786473 EQU786473 FAQ786473 FKM786473 FUI786473 GEE786473 GOA786473 GXW786473 HHS786473 HRO786473 IBK786473 ILG786473 IVC786473 JEY786473 JOU786473 JYQ786473 KIM786473 KSI786473 LCE786473 LMA786473 LVW786473 MFS786473 MPO786473 MZK786473 NJG786473 NTC786473 OCY786473 OMU786473 OWQ786473 PGM786473 PQI786473 QAE786473 QKA786473 QTW786473 RDS786473 RNO786473 RXK786473 SHG786473 SRC786473 TAY786473 TKU786473 TUQ786473 UEM786473 UOI786473 UYE786473 VIA786473 VRW786473 WBS786473 WLO786473 WVK786473 C852009 IY852009 SU852009 ACQ852009 AMM852009 AWI852009 BGE852009 BQA852009 BZW852009 CJS852009 CTO852009 DDK852009 DNG852009 DXC852009 EGY852009 EQU852009 FAQ852009 FKM852009 FUI852009 GEE852009 GOA852009 GXW852009 HHS852009 HRO852009 IBK852009 ILG852009 IVC852009 JEY852009 JOU852009 JYQ852009 KIM852009 KSI852009 LCE852009 LMA852009 LVW852009 MFS852009 MPO852009 MZK852009 NJG852009 NTC852009 OCY852009 OMU852009 OWQ852009 PGM852009 PQI852009 QAE852009 QKA852009 QTW852009 RDS852009 RNO852009 RXK852009 SHG852009 SRC852009 TAY852009 TKU852009 TUQ852009 UEM852009 UOI852009 UYE852009 VIA852009 VRW852009 WBS852009 WLO852009 WVK852009 C917545 IY917545 SU917545 ACQ917545 AMM917545 AWI917545 BGE917545 BQA917545 BZW917545 CJS917545 CTO917545 DDK917545 DNG917545 DXC917545 EGY917545 EQU917545 FAQ917545 FKM917545 FUI917545 GEE917545 GOA917545 GXW917545 HHS917545 HRO917545 IBK917545 ILG917545 IVC917545 JEY917545 JOU917545 JYQ917545 KIM917545 KSI917545 LCE917545 LMA917545 LVW917545 MFS917545 MPO917545 MZK917545 NJG917545 NTC917545 OCY917545 OMU917545 OWQ917545 PGM917545 PQI917545 QAE917545 QKA917545 QTW917545 RDS917545 RNO917545 RXK917545 SHG917545 SRC917545 TAY917545 TKU917545 TUQ917545 UEM917545 UOI917545 UYE917545 VIA917545 VRW917545 WBS917545 WLO917545 WVK917545 C983081 IY983081 SU983081 ACQ983081 AMM983081 AWI983081 BGE983081 BQA983081 BZW983081 CJS983081 CTO983081 DDK983081 DNG983081 DXC983081 EGY983081 EQU983081 FAQ983081 FKM983081 FUI983081 GEE983081 GOA983081 GXW983081 HHS983081 HRO983081 IBK983081 ILG983081 IVC983081 JEY983081 JOU983081 JYQ983081 KIM983081 KSI983081 LCE983081 LMA983081 LVW983081 MFS983081 MPO983081 MZK983081 NJG983081 NTC983081 OCY983081 OMU983081 OWQ983081 PGM983081 PQI983081 QAE983081 QKA983081 QTW983081 RDS983081 RNO983081 RXK983081 SHG983081 SRC983081 TAY983081 TKU983081 TUQ983081 UEM983081 UOI983081 UYE983081 VIA983081 VRW983081 WBS983081 WLO983081 WVK983081 E41 JA41 SW41 ACS41 AMO41 AWK41 BGG41 BQC41 BZY41 CJU41 CTQ41 DDM41 DNI41 DXE41 EHA41 EQW41 FAS41 FKO41 FUK41 GEG41 GOC41 GXY41 HHU41 HRQ41 IBM41 ILI41 IVE41 JFA41 JOW41 JYS41 KIO41 KSK41 LCG41 LMC41 LVY41 MFU41 MPQ41 MZM41 NJI41 NTE41 ODA41 OMW41 OWS41 PGO41 PQK41 QAG41 QKC41 QTY41 RDU41 RNQ41 RXM41 SHI41 SRE41 TBA41 TKW41 TUS41 UEO41 UOK41 UYG41 VIC41 VRY41 WBU41 WLQ41 WVM41 E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E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E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E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E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E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E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E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E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E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E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E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E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E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E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I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I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I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I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I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I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I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I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I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I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I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I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I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I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I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I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formula1>办公层高</formula1>
    </dataValidation>
    <dataValidation type="list" allowBlank="1" showInputMessage="1" showErrorMessage="1" sqref="C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E40 JA40 SW40 ACS40 AMO40 AWK40 BGG40 BQC40 BZY40 CJU40 CTQ40 DDM40 DNI40 DXE40 EHA40 EQW40 FAS40 FKO40 FUK40 GEG40 GOC40 GXY40 HHU40 HRQ40 IBM40 ILI40 IVE40 JFA40 JOW40 JYS40 KIO40 KSK40 LCG40 LMC40 LVY40 MFU40 MPQ40 MZM40 NJI40 NTE40 ODA40 OMW40 OWS40 PGO40 PQK40 QAG40 QKC40 QTY40 RDU40 RNQ40 RXM40 SHI40 SRE40 TBA40 TKW40 TUS40 UEO40 UOK40 UYG40 VIC40 VRY40 WBU40 WLQ40 WVM40 E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E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E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E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E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E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E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E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E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E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E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E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E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E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E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G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ODC983080 OMY983080 OWU983080 PGQ983080 PQM983080 QAI983080 QKE983080 QUA983080 RDW983080 RNS983080 RXO983080 SHK983080 SRG983080 TBC983080 TKY983080 TUU983080 UEQ983080 UOM983080 UYI983080 VIE983080 VSA983080 WBW983080 WLS983080 WVO983080 I40 JE40 TA40 ACW40 AMS40 AWO40 BGK40 BQG40 CAC40 CJY40 CTU40 DDQ40 DNM40 DXI40 EHE40 ERA40 FAW40 FKS40 FUO40 GEK40 GOG40 GYC40 HHY40 HRU40 IBQ40 ILM40 IVI40 JFE40 JPA40 JYW40 KIS40 KSO40 LCK40 LMG40 LWC40 MFY40 MPU40 MZQ40 NJM40 NTI40 ODE40 ONA40 OWW40 PGS40 PQO40 QAK40 QKG40 QUC40 RDY40 RNU40 RXQ40 SHM40 SRI40 TBE40 TLA40 TUW40 UES40 UOO40 UYK40 VIG40 VSC40 WBY40 WLU40 WVQ40 I65576 JE65576 TA65576 ACW65576 AMS65576 AWO65576 BGK65576 BQG65576 CAC65576 CJY65576 CTU65576 DDQ65576 DNM65576 DXI65576 EHE65576 ERA65576 FAW65576 FKS65576 FUO65576 GEK65576 GOG65576 GYC65576 HHY65576 HRU65576 IBQ65576 ILM65576 IVI65576 JFE65576 JPA65576 JYW65576 KIS65576 KSO65576 LCK65576 LMG65576 LWC65576 MFY65576 MPU65576 MZQ65576 NJM65576 NTI65576 ODE65576 ONA65576 OWW65576 PGS65576 PQO65576 QAK65576 QKG65576 QUC65576 RDY65576 RNU65576 RXQ65576 SHM65576 SRI65576 TBE65576 TLA65576 TUW65576 UES65576 UOO65576 UYK65576 VIG65576 VSC65576 WBY65576 WLU65576 WVQ65576 I131112 JE131112 TA131112 ACW131112 AMS131112 AWO131112 BGK131112 BQG131112 CAC131112 CJY131112 CTU131112 DDQ131112 DNM131112 DXI131112 EHE131112 ERA131112 FAW131112 FKS131112 FUO131112 GEK131112 GOG131112 GYC131112 HHY131112 HRU131112 IBQ131112 ILM131112 IVI131112 JFE131112 JPA131112 JYW131112 KIS131112 KSO131112 LCK131112 LMG131112 LWC131112 MFY131112 MPU131112 MZQ131112 NJM131112 NTI131112 ODE131112 ONA131112 OWW131112 PGS131112 PQO131112 QAK131112 QKG131112 QUC131112 RDY131112 RNU131112 RXQ131112 SHM131112 SRI131112 TBE131112 TLA131112 TUW131112 UES131112 UOO131112 UYK131112 VIG131112 VSC131112 WBY131112 WLU131112 WVQ131112 I196648 JE196648 TA196648 ACW196648 AMS196648 AWO196648 BGK196648 BQG196648 CAC196648 CJY196648 CTU196648 DDQ196648 DNM196648 DXI196648 EHE196648 ERA196648 FAW196648 FKS196648 FUO196648 GEK196648 GOG196648 GYC196648 HHY196648 HRU196648 IBQ196648 ILM196648 IVI196648 JFE196648 JPA196648 JYW196648 KIS196648 KSO196648 LCK196648 LMG196648 LWC196648 MFY196648 MPU196648 MZQ196648 NJM196648 NTI196648 ODE196648 ONA196648 OWW196648 PGS196648 PQO196648 QAK196648 QKG196648 QUC196648 RDY196648 RNU196648 RXQ196648 SHM196648 SRI196648 TBE196648 TLA196648 TUW196648 UES196648 UOO196648 UYK196648 VIG196648 VSC196648 WBY196648 WLU196648 WVQ196648 I262184 JE262184 TA262184 ACW262184 AMS262184 AWO262184 BGK262184 BQG262184 CAC262184 CJY262184 CTU262184 DDQ262184 DNM262184 DXI262184 EHE262184 ERA262184 FAW262184 FKS262184 FUO262184 GEK262184 GOG262184 GYC262184 HHY262184 HRU262184 IBQ262184 ILM262184 IVI262184 JFE262184 JPA262184 JYW262184 KIS262184 KSO262184 LCK262184 LMG262184 LWC262184 MFY262184 MPU262184 MZQ262184 NJM262184 NTI262184 ODE262184 ONA262184 OWW262184 PGS262184 PQO262184 QAK262184 QKG262184 QUC262184 RDY262184 RNU262184 RXQ262184 SHM262184 SRI262184 TBE262184 TLA262184 TUW262184 UES262184 UOO262184 UYK262184 VIG262184 VSC262184 WBY262184 WLU262184 WVQ262184 I327720 JE327720 TA327720 ACW327720 AMS327720 AWO327720 BGK327720 BQG327720 CAC327720 CJY327720 CTU327720 DDQ327720 DNM327720 DXI327720 EHE327720 ERA327720 FAW327720 FKS327720 FUO327720 GEK327720 GOG327720 GYC327720 HHY327720 HRU327720 IBQ327720 ILM327720 IVI327720 JFE327720 JPA327720 JYW327720 KIS327720 KSO327720 LCK327720 LMG327720 LWC327720 MFY327720 MPU327720 MZQ327720 NJM327720 NTI327720 ODE327720 ONA327720 OWW327720 PGS327720 PQO327720 QAK327720 QKG327720 QUC327720 RDY327720 RNU327720 RXQ327720 SHM327720 SRI327720 TBE327720 TLA327720 TUW327720 UES327720 UOO327720 UYK327720 VIG327720 VSC327720 WBY327720 WLU327720 WVQ327720 I393256 JE393256 TA393256 ACW393256 AMS393256 AWO393256 BGK393256 BQG393256 CAC393256 CJY393256 CTU393256 DDQ393256 DNM393256 DXI393256 EHE393256 ERA393256 FAW393256 FKS393256 FUO393256 GEK393256 GOG393256 GYC393256 HHY393256 HRU393256 IBQ393256 ILM393256 IVI393256 JFE393256 JPA393256 JYW393256 KIS393256 KSO393256 LCK393256 LMG393256 LWC393256 MFY393256 MPU393256 MZQ393256 NJM393256 NTI393256 ODE393256 ONA393256 OWW393256 PGS393256 PQO393256 QAK393256 QKG393256 QUC393256 RDY393256 RNU393256 RXQ393256 SHM393256 SRI393256 TBE393256 TLA393256 TUW393256 UES393256 UOO393256 UYK393256 VIG393256 VSC393256 WBY393256 WLU393256 WVQ393256 I458792 JE458792 TA458792 ACW458792 AMS458792 AWO458792 BGK458792 BQG458792 CAC458792 CJY458792 CTU458792 DDQ458792 DNM458792 DXI458792 EHE458792 ERA458792 FAW458792 FKS458792 FUO458792 GEK458792 GOG458792 GYC458792 HHY458792 HRU458792 IBQ458792 ILM458792 IVI458792 JFE458792 JPA458792 JYW458792 KIS458792 KSO458792 LCK458792 LMG458792 LWC458792 MFY458792 MPU458792 MZQ458792 NJM458792 NTI458792 ODE458792 ONA458792 OWW458792 PGS458792 PQO458792 QAK458792 QKG458792 QUC458792 RDY458792 RNU458792 RXQ458792 SHM458792 SRI458792 TBE458792 TLA458792 TUW458792 UES458792 UOO458792 UYK458792 VIG458792 VSC458792 WBY458792 WLU458792 WVQ458792 I524328 JE524328 TA524328 ACW524328 AMS524328 AWO524328 BGK524328 BQG524328 CAC524328 CJY524328 CTU524328 DDQ524328 DNM524328 DXI524328 EHE524328 ERA524328 FAW524328 FKS524328 FUO524328 GEK524328 GOG524328 GYC524328 HHY524328 HRU524328 IBQ524328 ILM524328 IVI524328 JFE524328 JPA524328 JYW524328 KIS524328 KSO524328 LCK524328 LMG524328 LWC524328 MFY524328 MPU524328 MZQ524328 NJM524328 NTI524328 ODE524328 ONA524328 OWW524328 PGS524328 PQO524328 QAK524328 QKG524328 QUC524328 RDY524328 RNU524328 RXQ524328 SHM524328 SRI524328 TBE524328 TLA524328 TUW524328 UES524328 UOO524328 UYK524328 VIG524328 VSC524328 WBY524328 WLU524328 WVQ524328 I589864 JE589864 TA589864 ACW589864 AMS589864 AWO589864 BGK589864 BQG589864 CAC589864 CJY589864 CTU589864 DDQ589864 DNM589864 DXI589864 EHE589864 ERA589864 FAW589864 FKS589864 FUO589864 GEK589864 GOG589864 GYC589864 HHY589864 HRU589864 IBQ589864 ILM589864 IVI589864 JFE589864 JPA589864 JYW589864 KIS589864 KSO589864 LCK589864 LMG589864 LWC589864 MFY589864 MPU589864 MZQ589864 NJM589864 NTI589864 ODE589864 ONA589864 OWW589864 PGS589864 PQO589864 QAK589864 QKG589864 QUC589864 RDY589864 RNU589864 RXQ589864 SHM589864 SRI589864 TBE589864 TLA589864 TUW589864 UES589864 UOO589864 UYK589864 VIG589864 VSC589864 WBY589864 WLU589864 WVQ589864 I655400 JE655400 TA655400 ACW655400 AMS655400 AWO655400 BGK655400 BQG655400 CAC655400 CJY655400 CTU655400 DDQ655400 DNM655400 DXI655400 EHE655400 ERA655400 FAW655400 FKS655400 FUO655400 GEK655400 GOG655400 GYC655400 HHY655400 HRU655400 IBQ655400 ILM655400 IVI655400 JFE655400 JPA655400 JYW655400 KIS655400 KSO655400 LCK655400 LMG655400 LWC655400 MFY655400 MPU655400 MZQ655400 NJM655400 NTI655400 ODE655400 ONA655400 OWW655400 PGS655400 PQO655400 QAK655400 QKG655400 QUC655400 RDY655400 RNU655400 RXQ655400 SHM655400 SRI655400 TBE655400 TLA655400 TUW655400 UES655400 UOO655400 UYK655400 VIG655400 VSC655400 WBY655400 WLU655400 WVQ655400 I720936 JE720936 TA720936 ACW720936 AMS720936 AWO720936 BGK720936 BQG720936 CAC720936 CJY720936 CTU720936 DDQ720936 DNM720936 DXI720936 EHE720936 ERA720936 FAW720936 FKS720936 FUO720936 GEK720936 GOG720936 GYC720936 HHY720936 HRU720936 IBQ720936 ILM720936 IVI720936 JFE720936 JPA720936 JYW720936 KIS720936 KSO720936 LCK720936 LMG720936 LWC720936 MFY720936 MPU720936 MZQ720936 NJM720936 NTI720936 ODE720936 ONA720936 OWW720936 PGS720936 PQO720936 QAK720936 QKG720936 QUC720936 RDY720936 RNU720936 RXQ720936 SHM720936 SRI720936 TBE720936 TLA720936 TUW720936 UES720936 UOO720936 UYK720936 VIG720936 VSC720936 WBY720936 WLU720936 WVQ720936 I786472 JE786472 TA786472 ACW786472 AMS786472 AWO786472 BGK786472 BQG786472 CAC786472 CJY786472 CTU786472 DDQ786472 DNM786472 DXI786472 EHE786472 ERA786472 FAW786472 FKS786472 FUO786472 GEK786472 GOG786472 GYC786472 HHY786472 HRU786472 IBQ786472 ILM786472 IVI786472 JFE786472 JPA786472 JYW786472 KIS786472 KSO786472 LCK786472 LMG786472 LWC786472 MFY786472 MPU786472 MZQ786472 NJM786472 NTI786472 ODE786472 ONA786472 OWW786472 PGS786472 PQO786472 QAK786472 QKG786472 QUC786472 RDY786472 RNU786472 RXQ786472 SHM786472 SRI786472 TBE786472 TLA786472 TUW786472 UES786472 UOO786472 UYK786472 VIG786472 VSC786472 WBY786472 WLU786472 WVQ786472 I852008 JE852008 TA852008 ACW852008 AMS852008 AWO852008 BGK852008 BQG852008 CAC852008 CJY852008 CTU852008 DDQ852008 DNM852008 DXI852008 EHE852008 ERA852008 FAW852008 FKS852008 FUO852008 GEK852008 GOG852008 GYC852008 HHY852008 HRU852008 IBQ852008 ILM852008 IVI852008 JFE852008 JPA852008 JYW852008 KIS852008 KSO852008 LCK852008 LMG852008 LWC852008 MFY852008 MPU852008 MZQ852008 NJM852008 NTI852008 ODE852008 ONA852008 OWW852008 PGS852008 PQO852008 QAK852008 QKG852008 QUC852008 RDY852008 RNU852008 RXQ852008 SHM852008 SRI852008 TBE852008 TLA852008 TUW852008 UES852008 UOO852008 UYK852008 VIG852008 VSC852008 WBY852008 WLU852008 WVQ852008 I917544 JE917544 TA917544 ACW917544 AMS917544 AWO917544 BGK917544 BQG917544 CAC917544 CJY917544 CTU917544 DDQ917544 DNM917544 DXI917544 EHE917544 ERA917544 FAW917544 FKS917544 FUO917544 GEK917544 GOG917544 GYC917544 HHY917544 HRU917544 IBQ917544 ILM917544 IVI917544 JFE917544 JPA917544 JYW917544 KIS917544 KSO917544 LCK917544 LMG917544 LWC917544 MFY917544 MPU917544 MZQ917544 NJM917544 NTI917544 ODE917544 ONA917544 OWW917544 PGS917544 PQO917544 QAK917544 QKG917544 QUC917544 RDY917544 RNU917544 RXQ917544 SHM917544 SRI917544 TBE917544 TLA917544 TUW917544 UES917544 UOO917544 UYK917544 VIG917544 VSC917544 WBY917544 WLU917544 WVQ917544 I983080 JE983080 TA983080 ACW983080 AMS983080 AWO983080 BGK983080 BQG983080 CAC983080 CJY983080 CTU983080 DDQ983080 DNM983080 DXI983080 EHE983080 ERA983080 FAW983080 FKS983080 FUO983080 GEK983080 GOG983080 GYC983080 HHY983080 HRU983080 IBQ983080 ILM983080 IVI983080 JFE983080 JPA983080 JYW983080 KIS983080 KSO983080 LCK983080 LMG983080 LWC983080 MFY983080 MPU983080 MZQ983080 NJM983080 NTI983080 ODE983080 ONA983080 OWW983080 PGS983080 PQO983080 QAK983080 QKG983080 QUC983080 RDY983080 RNU983080 RXQ983080 SHM983080 SRI983080 TBE983080 TLA983080 TUW983080 UES983080 UOO983080 UYK983080 VIG983080 VSC983080 WBY983080 WLU983080 WVQ983080">
      <formula1>办公基础设施水平</formula1>
    </dataValidation>
    <dataValidation type="list" allowBlank="1" showInputMessage="1" showErrorMessage="1" sqref="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E3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E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E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E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E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E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E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E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E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E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E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E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E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E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E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E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WVM983079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I39 JE39 TA39 ACW39 AMS39 AWO39 BGK39 BQG39 CAC39 CJY39 CTU39 DDQ39 DNM39 DXI39 EHE39 ERA39 FAW39 FKS39 FUO39 GEK39 GOG39 GYC39 HHY39 HRU39 IBQ39 ILM39 IVI39 JFE39 JPA39 JYW39 KIS39 KSO39 LCK39 LMG39 LWC39 MFY39 MPU39 MZQ39 NJM39 NTI39 ODE39 ONA39 OWW39 PGS39 PQO39 QAK39 QKG39 QUC39 RDY39 RNU39 RXQ39 SHM39 SRI39 TBE39 TLA39 TUW39 UES39 UOO39 UYK39 VIG39 VSC39 WBY39 WLU39 WVQ39 I65575 JE65575 TA65575 ACW65575 AMS65575 AWO65575 BGK65575 BQG65575 CAC65575 CJY65575 CTU65575 DDQ65575 DNM65575 DXI65575 EHE65575 ERA65575 FAW65575 FKS65575 FUO65575 GEK65575 GOG65575 GYC65575 HHY65575 HRU65575 IBQ65575 ILM65575 IVI65575 JFE65575 JPA65575 JYW65575 KIS65575 KSO65575 LCK65575 LMG65575 LWC65575 MFY65575 MPU65575 MZQ65575 NJM65575 NTI65575 ODE65575 ONA65575 OWW65575 PGS65575 PQO65575 QAK65575 QKG65575 QUC65575 RDY65575 RNU65575 RXQ65575 SHM65575 SRI65575 TBE65575 TLA65575 TUW65575 UES65575 UOO65575 UYK65575 VIG65575 VSC65575 WBY65575 WLU65575 WVQ65575 I131111 JE131111 TA131111 ACW131111 AMS131111 AWO131111 BGK131111 BQG131111 CAC131111 CJY131111 CTU131111 DDQ131111 DNM131111 DXI131111 EHE131111 ERA131111 FAW131111 FKS131111 FUO131111 GEK131111 GOG131111 GYC131111 HHY131111 HRU131111 IBQ131111 ILM131111 IVI131111 JFE131111 JPA131111 JYW131111 KIS131111 KSO131111 LCK131111 LMG131111 LWC131111 MFY131111 MPU131111 MZQ131111 NJM131111 NTI131111 ODE131111 ONA131111 OWW131111 PGS131111 PQO131111 QAK131111 QKG131111 QUC131111 RDY131111 RNU131111 RXQ131111 SHM131111 SRI131111 TBE131111 TLA131111 TUW131111 UES131111 UOO131111 UYK131111 VIG131111 VSC131111 WBY131111 WLU131111 WVQ131111 I196647 JE196647 TA196647 ACW196647 AMS196647 AWO196647 BGK196647 BQG196647 CAC196647 CJY196647 CTU196647 DDQ196647 DNM196647 DXI196647 EHE196647 ERA196647 FAW196647 FKS196647 FUO196647 GEK196647 GOG196647 GYC196647 HHY196647 HRU196647 IBQ196647 ILM196647 IVI196647 JFE196647 JPA196647 JYW196647 KIS196647 KSO196647 LCK196647 LMG196647 LWC196647 MFY196647 MPU196647 MZQ196647 NJM196647 NTI196647 ODE196647 ONA196647 OWW196647 PGS196647 PQO196647 QAK196647 QKG196647 QUC196647 RDY196647 RNU196647 RXQ196647 SHM196647 SRI196647 TBE196647 TLA196647 TUW196647 UES196647 UOO196647 UYK196647 VIG196647 VSC196647 WBY196647 WLU196647 WVQ196647 I262183 JE262183 TA262183 ACW262183 AMS262183 AWO262183 BGK262183 BQG262183 CAC262183 CJY262183 CTU262183 DDQ262183 DNM262183 DXI262183 EHE262183 ERA262183 FAW262183 FKS262183 FUO262183 GEK262183 GOG262183 GYC262183 HHY262183 HRU262183 IBQ262183 ILM262183 IVI262183 JFE262183 JPA262183 JYW262183 KIS262183 KSO262183 LCK262183 LMG262183 LWC262183 MFY262183 MPU262183 MZQ262183 NJM262183 NTI262183 ODE262183 ONA262183 OWW262183 PGS262183 PQO262183 QAK262183 QKG262183 QUC262183 RDY262183 RNU262183 RXQ262183 SHM262183 SRI262183 TBE262183 TLA262183 TUW262183 UES262183 UOO262183 UYK262183 VIG262183 VSC262183 WBY262183 WLU262183 WVQ262183 I327719 JE327719 TA327719 ACW327719 AMS327719 AWO327719 BGK327719 BQG327719 CAC327719 CJY327719 CTU327719 DDQ327719 DNM327719 DXI327719 EHE327719 ERA327719 FAW327719 FKS327719 FUO327719 GEK327719 GOG327719 GYC327719 HHY327719 HRU327719 IBQ327719 ILM327719 IVI327719 JFE327719 JPA327719 JYW327719 KIS327719 KSO327719 LCK327719 LMG327719 LWC327719 MFY327719 MPU327719 MZQ327719 NJM327719 NTI327719 ODE327719 ONA327719 OWW327719 PGS327719 PQO327719 QAK327719 QKG327719 QUC327719 RDY327719 RNU327719 RXQ327719 SHM327719 SRI327719 TBE327719 TLA327719 TUW327719 UES327719 UOO327719 UYK327719 VIG327719 VSC327719 WBY327719 WLU327719 WVQ327719 I393255 JE393255 TA393255 ACW393255 AMS393255 AWO393255 BGK393255 BQG393255 CAC393255 CJY393255 CTU393255 DDQ393255 DNM393255 DXI393255 EHE393255 ERA393255 FAW393255 FKS393255 FUO393255 GEK393255 GOG393255 GYC393255 HHY393255 HRU393255 IBQ393255 ILM393255 IVI393255 JFE393255 JPA393255 JYW393255 KIS393255 KSO393255 LCK393255 LMG393255 LWC393255 MFY393255 MPU393255 MZQ393255 NJM393255 NTI393255 ODE393255 ONA393255 OWW393255 PGS393255 PQO393255 QAK393255 QKG393255 QUC393255 RDY393255 RNU393255 RXQ393255 SHM393255 SRI393255 TBE393255 TLA393255 TUW393255 UES393255 UOO393255 UYK393255 VIG393255 VSC393255 WBY393255 WLU393255 WVQ393255 I458791 JE458791 TA458791 ACW458791 AMS458791 AWO458791 BGK458791 BQG458791 CAC458791 CJY458791 CTU458791 DDQ458791 DNM458791 DXI458791 EHE458791 ERA458791 FAW458791 FKS458791 FUO458791 GEK458791 GOG458791 GYC458791 HHY458791 HRU458791 IBQ458791 ILM458791 IVI458791 JFE458791 JPA458791 JYW458791 KIS458791 KSO458791 LCK458791 LMG458791 LWC458791 MFY458791 MPU458791 MZQ458791 NJM458791 NTI458791 ODE458791 ONA458791 OWW458791 PGS458791 PQO458791 QAK458791 QKG458791 QUC458791 RDY458791 RNU458791 RXQ458791 SHM458791 SRI458791 TBE458791 TLA458791 TUW458791 UES458791 UOO458791 UYK458791 VIG458791 VSC458791 WBY458791 WLU458791 WVQ458791 I524327 JE524327 TA524327 ACW524327 AMS524327 AWO524327 BGK524327 BQG524327 CAC524327 CJY524327 CTU524327 DDQ524327 DNM524327 DXI524327 EHE524327 ERA524327 FAW524327 FKS524327 FUO524327 GEK524327 GOG524327 GYC524327 HHY524327 HRU524327 IBQ524327 ILM524327 IVI524327 JFE524327 JPA524327 JYW524327 KIS524327 KSO524327 LCK524327 LMG524327 LWC524327 MFY524327 MPU524327 MZQ524327 NJM524327 NTI524327 ODE524327 ONA524327 OWW524327 PGS524327 PQO524327 QAK524327 QKG524327 QUC524327 RDY524327 RNU524327 RXQ524327 SHM524327 SRI524327 TBE524327 TLA524327 TUW524327 UES524327 UOO524327 UYK524327 VIG524327 VSC524327 WBY524327 WLU524327 WVQ524327 I589863 JE589863 TA589863 ACW589863 AMS589863 AWO589863 BGK589863 BQG589863 CAC589863 CJY589863 CTU589863 DDQ589863 DNM589863 DXI589863 EHE589863 ERA589863 FAW589863 FKS589863 FUO589863 GEK589863 GOG589863 GYC589863 HHY589863 HRU589863 IBQ589863 ILM589863 IVI589863 JFE589863 JPA589863 JYW589863 KIS589863 KSO589863 LCK589863 LMG589863 LWC589863 MFY589863 MPU589863 MZQ589863 NJM589863 NTI589863 ODE589863 ONA589863 OWW589863 PGS589863 PQO589863 QAK589863 QKG589863 QUC589863 RDY589863 RNU589863 RXQ589863 SHM589863 SRI589863 TBE589863 TLA589863 TUW589863 UES589863 UOO589863 UYK589863 VIG589863 VSC589863 WBY589863 WLU589863 WVQ589863 I655399 JE655399 TA655399 ACW655399 AMS655399 AWO655399 BGK655399 BQG655399 CAC655399 CJY655399 CTU655399 DDQ655399 DNM655399 DXI655399 EHE655399 ERA655399 FAW655399 FKS655399 FUO655399 GEK655399 GOG655399 GYC655399 HHY655399 HRU655399 IBQ655399 ILM655399 IVI655399 JFE655399 JPA655399 JYW655399 KIS655399 KSO655399 LCK655399 LMG655399 LWC655399 MFY655399 MPU655399 MZQ655399 NJM655399 NTI655399 ODE655399 ONA655399 OWW655399 PGS655399 PQO655399 QAK655399 QKG655399 QUC655399 RDY655399 RNU655399 RXQ655399 SHM655399 SRI655399 TBE655399 TLA655399 TUW655399 UES655399 UOO655399 UYK655399 VIG655399 VSC655399 WBY655399 WLU655399 WVQ655399 I720935 JE720935 TA720935 ACW720935 AMS720935 AWO720935 BGK720935 BQG720935 CAC720935 CJY720935 CTU720935 DDQ720935 DNM720935 DXI720935 EHE720935 ERA720935 FAW720935 FKS720935 FUO720935 GEK720935 GOG720935 GYC720935 HHY720935 HRU720935 IBQ720935 ILM720935 IVI720935 JFE720935 JPA720935 JYW720935 KIS720935 KSO720935 LCK720935 LMG720935 LWC720935 MFY720935 MPU720935 MZQ720935 NJM720935 NTI720935 ODE720935 ONA720935 OWW720935 PGS720935 PQO720935 QAK720935 QKG720935 QUC720935 RDY720935 RNU720935 RXQ720935 SHM720935 SRI720935 TBE720935 TLA720935 TUW720935 UES720935 UOO720935 UYK720935 VIG720935 VSC720935 WBY720935 WLU720935 WVQ720935 I786471 JE786471 TA786471 ACW786471 AMS786471 AWO786471 BGK786471 BQG786471 CAC786471 CJY786471 CTU786471 DDQ786471 DNM786471 DXI786471 EHE786471 ERA786471 FAW786471 FKS786471 FUO786471 GEK786471 GOG786471 GYC786471 HHY786471 HRU786471 IBQ786471 ILM786471 IVI786471 JFE786471 JPA786471 JYW786471 KIS786471 KSO786471 LCK786471 LMG786471 LWC786471 MFY786471 MPU786471 MZQ786471 NJM786471 NTI786471 ODE786471 ONA786471 OWW786471 PGS786471 PQO786471 QAK786471 QKG786471 QUC786471 RDY786471 RNU786471 RXQ786471 SHM786471 SRI786471 TBE786471 TLA786471 TUW786471 UES786471 UOO786471 UYK786471 VIG786471 VSC786471 WBY786471 WLU786471 WVQ786471 I852007 JE852007 TA852007 ACW852007 AMS852007 AWO852007 BGK852007 BQG852007 CAC852007 CJY852007 CTU852007 DDQ852007 DNM852007 DXI852007 EHE852007 ERA852007 FAW852007 FKS852007 FUO852007 GEK852007 GOG852007 GYC852007 HHY852007 HRU852007 IBQ852007 ILM852007 IVI852007 JFE852007 JPA852007 JYW852007 KIS852007 KSO852007 LCK852007 LMG852007 LWC852007 MFY852007 MPU852007 MZQ852007 NJM852007 NTI852007 ODE852007 ONA852007 OWW852007 PGS852007 PQO852007 QAK852007 QKG852007 QUC852007 RDY852007 RNU852007 RXQ852007 SHM852007 SRI852007 TBE852007 TLA852007 TUW852007 UES852007 UOO852007 UYK852007 VIG852007 VSC852007 WBY852007 WLU852007 WVQ852007 I917543 JE917543 TA917543 ACW917543 AMS917543 AWO917543 BGK917543 BQG917543 CAC917543 CJY917543 CTU917543 DDQ917543 DNM917543 DXI917543 EHE917543 ERA917543 FAW917543 FKS917543 FUO917543 GEK917543 GOG917543 GYC917543 HHY917543 HRU917543 IBQ917543 ILM917543 IVI917543 JFE917543 JPA917543 JYW917543 KIS917543 KSO917543 LCK917543 LMG917543 LWC917543 MFY917543 MPU917543 MZQ917543 NJM917543 NTI917543 ODE917543 ONA917543 OWW917543 PGS917543 PQO917543 QAK917543 QKG917543 QUC917543 RDY917543 RNU917543 RXQ917543 SHM917543 SRI917543 TBE917543 TLA917543 TUW917543 UES917543 UOO917543 UYK917543 VIG917543 VSC917543 WBY917543 WLU917543 WVQ917543 I983079 JE983079 TA983079 ACW983079 AMS983079 AWO983079 BGK983079 BQG983079 CAC983079 CJY983079 CTU983079 DDQ983079 DNM983079 DXI983079 EHE983079 ERA983079 FAW983079 FKS983079 FUO983079 GEK983079 GOG983079 GYC983079 HHY983079 HRU983079 IBQ983079 ILM983079 IVI983079 JFE983079 JPA983079 JYW983079 KIS983079 KSO983079 LCK983079 LMG983079 LWC983079 MFY983079 MPU983079 MZQ983079 NJM983079 NTI983079 ODE983079 ONA983079 OWW983079 PGS983079 PQO983079 QAK983079 QKG983079 QUC983079 RDY983079 RNU983079 RXQ983079 SHM983079 SRI983079 TBE983079 TLA983079 TUW983079 UES983079 UOO983079 UYK983079 VIG983079 VSC983079 WBY983079 WLU983079 WVQ983079">
      <formula1>办公物业管理</formula1>
    </dataValidation>
    <dataValidation type="list" allowBlank="1" showInputMessage="1" showErrorMessage="1" sqref="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E38 JA38 SW38 ACS38 AMO38 AWK38 BGG38 BQC38 BZY38 CJU38 CTQ38 DDM38 DNI38 DXE38 EHA38 EQW38 FAS38 FKO38 FUK38 GEG38 GOC38 GXY38 HHU38 HRQ38 IBM38 ILI38 IVE38 JFA38 JOW38 JYS38 KIO38 KSK38 LCG38 LMC38 LVY38 MFU38 MPQ38 MZM38 NJI38 NTE38 ODA38 OMW38 OWS38 PGO38 PQK38 QAG38 QKC38 QTY38 RDU38 RNQ38 RXM38 SHI38 SRE38 TBA38 TKW38 TUS38 UEO38 UOK38 UYG38 VIC38 VRY38 WBU38 WLQ38 WVM38 E65574 JA65574 SW65574 ACS65574 AMO65574 AWK65574 BGG65574 BQC65574 BZY65574 CJU65574 CTQ65574 DDM65574 DNI65574 DXE65574 EHA65574 EQW65574 FAS65574 FKO65574 FUK65574 GEG65574 GOC65574 GXY65574 HHU65574 HRQ65574 IBM65574 ILI65574 IVE65574 JFA65574 JOW65574 JYS65574 KIO65574 KSK65574 LCG65574 LMC65574 LVY65574 MFU65574 MPQ65574 MZM65574 NJI65574 NTE65574 ODA65574 OMW65574 OWS65574 PGO65574 PQK65574 QAG65574 QKC65574 QTY65574 RDU65574 RNQ65574 RXM65574 SHI65574 SRE65574 TBA65574 TKW65574 TUS65574 UEO65574 UOK65574 UYG65574 VIC65574 VRY65574 WBU65574 WLQ65574 WVM65574 E131110 JA131110 SW131110 ACS131110 AMO131110 AWK131110 BGG131110 BQC131110 BZY131110 CJU131110 CTQ131110 DDM131110 DNI131110 DXE131110 EHA131110 EQW131110 FAS131110 FKO131110 FUK131110 GEG131110 GOC131110 GXY131110 HHU131110 HRQ131110 IBM131110 ILI131110 IVE131110 JFA131110 JOW131110 JYS131110 KIO131110 KSK131110 LCG131110 LMC131110 LVY131110 MFU131110 MPQ131110 MZM131110 NJI131110 NTE131110 ODA131110 OMW131110 OWS131110 PGO131110 PQK131110 QAG131110 QKC131110 QTY131110 RDU131110 RNQ131110 RXM131110 SHI131110 SRE131110 TBA131110 TKW131110 TUS131110 UEO131110 UOK131110 UYG131110 VIC131110 VRY131110 WBU131110 WLQ131110 WVM131110 E196646 JA196646 SW196646 ACS196646 AMO196646 AWK196646 BGG196646 BQC196646 BZY196646 CJU196646 CTQ196646 DDM196646 DNI196646 DXE196646 EHA196646 EQW196646 FAS196646 FKO196646 FUK196646 GEG196646 GOC196646 GXY196646 HHU196646 HRQ196646 IBM196646 ILI196646 IVE196646 JFA196646 JOW196646 JYS196646 KIO196646 KSK196646 LCG196646 LMC196646 LVY196646 MFU196646 MPQ196646 MZM196646 NJI196646 NTE196646 ODA196646 OMW196646 OWS196646 PGO196646 PQK196646 QAG196646 QKC196646 QTY196646 RDU196646 RNQ196646 RXM196646 SHI196646 SRE196646 TBA196646 TKW196646 TUS196646 UEO196646 UOK196646 UYG196646 VIC196646 VRY196646 WBU196646 WLQ196646 WVM196646 E262182 JA262182 SW262182 ACS262182 AMO262182 AWK262182 BGG262182 BQC262182 BZY262182 CJU262182 CTQ262182 DDM262182 DNI262182 DXE262182 EHA262182 EQW262182 FAS262182 FKO262182 FUK262182 GEG262182 GOC262182 GXY262182 HHU262182 HRQ262182 IBM262182 ILI262182 IVE262182 JFA262182 JOW262182 JYS262182 KIO262182 KSK262182 LCG262182 LMC262182 LVY262182 MFU262182 MPQ262182 MZM262182 NJI262182 NTE262182 ODA262182 OMW262182 OWS262182 PGO262182 PQK262182 QAG262182 QKC262182 QTY262182 RDU262182 RNQ262182 RXM262182 SHI262182 SRE262182 TBA262182 TKW262182 TUS262182 UEO262182 UOK262182 UYG262182 VIC262182 VRY262182 WBU262182 WLQ262182 WVM262182 E327718 JA327718 SW327718 ACS327718 AMO327718 AWK327718 BGG327718 BQC327718 BZY327718 CJU327718 CTQ327718 DDM327718 DNI327718 DXE327718 EHA327718 EQW327718 FAS327718 FKO327718 FUK327718 GEG327718 GOC327718 GXY327718 HHU327718 HRQ327718 IBM327718 ILI327718 IVE327718 JFA327718 JOW327718 JYS327718 KIO327718 KSK327718 LCG327718 LMC327718 LVY327718 MFU327718 MPQ327718 MZM327718 NJI327718 NTE327718 ODA327718 OMW327718 OWS327718 PGO327718 PQK327718 QAG327718 QKC327718 QTY327718 RDU327718 RNQ327718 RXM327718 SHI327718 SRE327718 TBA327718 TKW327718 TUS327718 UEO327718 UOK327718 UYG327718 VIC327718 VRY327718 WBU327718 WLQ327718 WVM327718 E393254 JA393254 SW393254 ACS393254 AMO393254 AWK393254 BGG393254 BQC393254 BZY393254 CJU393254 CTQ393254 DDM393254 DNI393254 DXE393254 EHA393254 EQW393254 FAS393254 FKO393254 FUK393254 GEG393254 GOC393254 GXY393254 HHU393254 HRQ393254 IBM393254 ILI393254 IVE393254 JFA393254 JOW393254 JYS393254 KIO393254 KSK393254 LCG393254 LMC393254 LVY393254 MFU393254 MPQ393254 MZM393254 NJI393254 NTE393254 ODA393254 OMW393254 OWS393254 PGO393254 PQK393254 QAG393254 QKC393254 QTY393254 RDU393254 RNQ393254 RXM393254 SHI393254 SRE393254 TBA393254 TKW393254 TUS393254 UEO393254 UOK393254 UYG393254 VIC393254 VRY393254 WBU393254 WLQ393254 WVM393254 E458790 JA458790 SW458790 ACS458790 AMO458790 AWK458790 BGG458790 BQC458790 BZY458790 CJU458790 CTQ458790 DDM458790 DNI458790 DXE458790 EHA458790 EQW458790 FAS458790 FKO458790 FUK458790 GEG458790 GOC458790 GXY458790 HHU458790 HRQ458790 IBM458790 ILI458790 IVE458790 JFA458790 JOW458790 JYS458790 KIO458790 KSK458790 LCG458790 LMC458790 LVY458790 MFU458790 MPQ458790 MZM458790 NJI458790 NTE458790 ODA458790 OMW458790 OWS458790 PGO458790 PQK458790 QAG458790 QKC458790 QTY458790 RDU458790 RNQ458790 RXM458790 SHI458790 SRE458790 TBA458790 TKW458790 TUS458790 UEO458790 UOK458790 UYG458790 VIC458790 VRY458790 WBU458790 WLQ458790 WVM458790 E524326 JA524326 SW524326 ACS524326 AMO524326 AWK524326 BGG524326 BQC524326 BZY524326 CJU524326 CTQ524326 DDM524326 DNI524326 DXE524326 EHA524326 EQW524326 FAS524326 FKO524326 FUK524326 GEG524326 GOC524326 GXY524326 HHU524326 HRQ524326 IBM524326 ILI524326 IVE524326 JFA524326 JOW524326 JYS524326 KIO524326 KSK524326 LCG524326 LMC524326 LVY524326 MFU524326 MPQ524326 MZM524326 NJI524326 NTE524326 ODA524326 OMW524326 OWS524326 PGO524326 PQK524326 QAG524326 QKC524326 QTY524326 RDU524326 RNQ524326 RXM524326 SHI524326 SRE524326 TBA524326 TKW524326 TUS524326 UEO524326 UOK524326 UYG524326 VIC524326 VRY524326 WBU524326 WLQ524326 WVM524326 E589862 JA589862 SW589862 ACS589862 AMO589862 AWK589862 BGG589862 BQC589862 BZY589862 CJU589862 CTQ589862 DDM589862 DNI589862 DXE589862 EHA589862 EQW589862 FAS589862 FKO589862 FUK589862 GEG589862 GOC589862 GXY589862 HHU589862 HRQ589862 IBM589862 ILI589862 IVE589862 JFA589862 JOW589862 JYS589862 KIO589862 KSK589862 LCG589862 LMC589862 LVY589862 MFU589862 MPQ589862 MZM589862 NJI589862 NTE589862 ODA589862 OMW589862 OWS589862 PGO589862 PQK589862 QAG589862 QKC589862 QTY589862 RDU589862 RNQ589862 RXM589862 SHI589862 SRE589862 TBA589862 TKW589862 TUS589862 UEO589862 UOK589862 UYG589862 VIC589862 VRY589862 WBU589862 WLQ589862 WVM589862 E655398 JA655398 SW655398 ACS655398 AMO655398 AWK655398 BGG655398 BQC655398 BZY655398 CJU655398 CTQ655398 DDM655398 DNI655398 DXE655398 EHA655398 EQW655398 FAS655398 FKO655398 FUK655398 GEG655398 GOC655398 GXY655398 HHU655398 HRQ655398 IBM655398 ILI655398 IVE655398 JFA655398 JOW655398 JYS655398 KIO655398 KSK655398 LCG655398 LMC655398 LVY655398 MFU655398 MPQ655398 MZM655398 NJI655398 NTE655398 ODA655398 OMW655398 OWS655398 PGO655398 PQK655398 QAG655398 QKC655398 QTY655398 RDU655398 RNQ655398 RXM655398 SHI655398 SRE655398 TBA655398 TKW655398 TUS655398 UEO655398 UOK655398 UYG655398 VIC655398 VRY655398 WBU655398 WLQ655398 WVM655398 E720934 JA720934 SW720934 ACS720934 AMO720934 AWK720934 BGG720934 BQC720934 BZY720934 CJU720934 CTQ720934 DDM720934 DNI720934 DXE720934 EHA720934 EQW720934 FAS720934 FKO720934 FUK720934 GEG720934 GOC720934 GXY720934 HHU720934 HRQ720934 IBM720934 ILI720934 IVE720934 JFA720934 JOW720934 JYS720934 KIO720934 KSK720934 LCG720934 LMC720934 LVY720934 MFU720934 MPQ720934 MZM720934 NJI720934 NTE720934 ODA720934 OMW720934 OWS720934 PGO720934 PQK720934 QAG720934 QKC720934 QTY720934 RDU720934 RNQ720934 RXM720934 SHI720934 SRE720934 TBA720934 TKW720934 TUS720934 UEO720934 UOK720934 UYG720934 VIC720934 VRY720934 WBU720934 WLQ720934 WVM720934 E786470 JA786470 SW786470 ACS786470 AMO786470 AWK786470 BGG786470 BQC786470 BZY786470 CJU786470 CTQ786470 DDM786470 DNI786470 DXE786470 EHA786470 EQW786470 FAS786470 FKO786470 FUK786470 GEG786470 GOC786470 GXY786470 HHU786470 HRQ786470 IBM786470 ILI786470 IVE786470 JFA786470 JOW786470 JYS786470 KIO786470 KSK786470 LCG786470 LMC786470 LVY786470 MFU786470 MPQ786470 MZM786470 NJI786470 NTE786470 ODA786470 OMW786470 OWS786470 PGO786470 PQK786470 QAG786470 QKC786470 QTY786470 RDU786470 RNQ786470 RXM786470 SHI786470 SRE786470 TBA786470 TKW786470 TUS786470 UEO786470 UOK786470 UYG786470 VIC786470 VRY786470 WBU786470 WLQ786470 WVM786470 E852006 JA852006 SW852006 ACS852006 AMO852006 AWK852006 BGG852006 BQC852006 BZY852006 CJU852006 CTQ852006 DDM852006 DNI852006 DXE852006 EHA852006 EQW852006 FAS852006 FKO852006 FUK852006 GEG852006 GOC852006 GXY852006 HHU852006 HRQ852006 IBM852006 ILI852006 IVE852006 JFA852006 JOW852006 JYS852006 KIO852006 KSK852006 LCG852006 LMC852006 LVY852006 MFU852006 MPQ852006 MZM852006 NJI852006 NTE852006 ODA852006 OMW852006 OWS852006 PGO852006 PQK852006 QAG852006 QKC852006 QTY852006 RDU852006 RNQ852006 RXM852006 SHI852006 SRE852006 TBA852006 TKW852006 TUS852006 UEO852006 UOK852006 UYG852006 VIC852006 VRY852006 WBU852006 WLQ852006 WVM852006 E917542 JA917542 SW917542 ACS917542 AMO917542 AWK917542 BGG917542 BQC917542 BZY917542 CJU917542 CTQ917542 DDM917542 DNI917542 DXE917542 EHA917542 EQW917542 FAS917542 FKO917542 FUK917542 GEG917542 GOC917542 GXY917542 HHU917542 HRQ917542 IBM917542 ILI917542 IVE917542 JFA917542 JOW917542 JYS917542 KIO917542 KSK917542 LCG917542 LMC917542 LVY917542 MFU917542 MPQ917542 MZM917542 NJI917542 NTE917542 ODA917542 OMW917542 OWS917542 PGO917542 PQK917542 QAG917542 QKC917542 QTY917542 RDU917542 RNQ917542 RXM917542 SHI917542 SRE917542 TBA917542 TKW917542 TUS917542 UEO917542 UOK917542 UYG917542 VIC917542 VRY917542 WBU917542 WLQ917542 WVM917542 E983078 JA983078 SW983078 ACS983078 AMO983078 AWK983078 BGG983078 BQC983078 BZY983078 CJU983078 CTQ983078 DDM983078 DNI983078 DXE983078 EHA983078 EQW983078 FAS983078 FKO983078 FUK983078 GEG983078 GOC983078 GXY983078 HHU983078 HRQ983078 IBM983078 ILI983078 IVE983078 JFA983078 JOW983078 JYS983078 KIO983078 KSK983078 LCG983078 LMC983078 LVY983078 MFU983078 MPQ983078 MZM983078 NJI983078 NTE983078 ODA983078 OMW983078 OWS983078 PGO983078 PQK983078 QAG983078 QKC983078 QTY983078 RDU983078 RNQ983078 RXM983078 SHI983078 SRE983078 TBA983078 TKW983078 TUS983078 UEO983078 UOK983078 UYG983078 VIC983078 VRY983078 WBU983078 WLQ983078 WVM983078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I3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UYK983078 VIG983078 VSC983078 WBY983078 WLU983078 WVQ983078">
      <formula1>写字楼等级</formula1>
    </dataValidation>
    <dataValidation type="list" allowBlank="1" showInputMessage="1" showErrorMessage="1" sqref="C36 IY36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C65572 IY65572 SU65572 ACQ65572 AMM65572 AWI65572 BGE65572 BQA65572 BZW65572 CJS65572 CTO65572 DDK65572 DNG65572 DXC65572 EGY65572 EQU65572 FAQ65572 FKM65572 FUI65572 GEE65572 GOA65572 GXW65572 HHS65572 HRO65572 IBK65572 ILG65572 IVC65572 JEY65572 JOU65572 JYQ65572 KIM65572 KSI65572 LCE65572 LMA65572 LVW65572 MFS65572 MPO65572 MZK65572 NJG65572 NTC65572 OCY65572 OMU65572 OWQ65572 PGM65572 PQI65572 QAE65572 QKA65572 QTW65572 RDS65572 RNO65572 RXK65572 SHG65572 SRC65572 TAY65572 TKU65572 TUQ65572 UEM65572 UOI65572 UYE65572 VIA65572 VRW65572 WBS65572 WLO65572 WVK65572 C131108 IY131108 SU131108 ACQ131108 AMM131108 AWI131108 BGE131108 BQA131108 BZW131108 CJS131108 CTO131108 DDK131108 DNG131108 DXC131108 EGY131108 EQU131108 FAQ131108 FKM131108 FUI131108 GEE131108 GOA131108 GXW131108 HHS131108 HRO131108 IBK131108 ILG131108 IVC131108 JEY131108 JOU131108 JYQ131108 KIM131108 KSI131108 LCE131108 LMA131108 LVW131108 MFS131108 MPO131108 MZK131108 NJG131108 NTC131108 OCY131108 OMU131108 OWQ131108 PGM131108 PQI131108 QAE131108 QKA131108 QTW131108 RDS131108 RNO131108 RXK131108 SHG131108 SRC131108 TAY131108 TKU131108 TUQ131108 UEM131108 UOI131108 UYE131108 VIA131108 VRW131108 WBS131108 WLO131108 WVK131108 C196644 IY196644 SU196644 ACQ196644 AMM196644 AWI196644 BGE196644 BQA196644 BZW196644 CJS196644 CTO196644 DDK196644 DNG196644 DXC196644 EGY196644 EQU196644 FAQ196644 FKM196644 FUI196644 GEE196644 GOA196644 GXW196644 HHS196644 HRO196644 IBK196644 ILG196644 IVC196644 JEY196644 JOU196644 JYQ196644 KIM196644 KSI196644 LCE196644 LMA196644 LVW196644 MFS196644 MPO196644 MZK196644 NJG196644 NTC196644 OCY196644 OMU196644 OWQ196644 PGM196644 PQI196644 QAE196644 QKA196644 QTW196644 RDS196644 RNO196644 RXK196644 SHG196644 SRC196644 TAY196644 TKU196644 TUQ196644 UEM196644 UOI196644 UYE196644 VIA196644 VRW196644 WBS196644 WLO196644 WVK196644 C262180 IY262180 SU262180 ACQ262180 AMM262180 AWI262180 BGE262180 BQA262180 BZW262180 CJS262180 CTO262180 DDK262180 DNG262180 DXC262180 EGY262180 EQU262180 FAQ262180 FKM262180 FUI262180 GEE262180 GOA262180 GXW262180 HHS262180 HRO262180 IBK262180 ILG262180 IVC262180 JEY262180 JOU262180 JYQ262180 KIM262180 KSI262180 LCE262180 LMA262180 LVW262180 MFS262180 MPO262180 MZK262180 NJG262180 NTC262180 OCY262180 OMU262180 OWQ262180 PGM262180 PQI262180 QAE262180 QKA262180 QTW262180 RDS262180 RNO262180 RXK262180 SHG262180 SRC262180 TAY262180 TKU262180 TUQ262180 UEM262180 UOI262180 UYE262180 VIA262180 VRW262180 WBS262180 WLO262180 WVK262180 C327716 IY327716 SU327716 ACQ327716 AMM327716 AWI327716 BGE327716 BQA327716 BZW327716 CJS327716 CTO327716 DDK327716 DNG327716 DXC327716 EGY327716 EQU327716 FAQ327716 FKM327716 FUI327716 GEE327716 GOA327716 GXW327716 HHS327716 HRO327716 IBK327716 ILG327716 IVC327716 JEY327716 JOU327716 JYQ327716 KIM327716 KSI327716 LCE327716 LMA327716 LVW327716 MFS327716 MPO327716 MZK327716 NJG327716 NTC327716 OCY327716 OMU327716 OWQ327716 PGM327716 PQI327716 QAE327716 QKA327716 QTW327716 RDS327716 RNO327716 RXK327716 SHG327716 SRC327716 TAY327716 TKU327716 TUQ327716 UEM327716 UOI327716 UYE327716 VIA327716 VRW327716 WBS327716 WLO327716 WVK327716 C393252 IY393252 SU393252 ACQ393252 AMM393252 AWI393252 BGE393252 BQA393252 BZW393252 CJS393252 CTO393252 DDK393252 DNG393252 DXC393252 EGY393252 EQU393252 FAQ393252 FKM393252 FUI393252 GEE393252 GOA393252 GXW393252 HHS393252 HRO393252 IBK393252 ILG393252 IVC393252 JEY393252 JOU393252 JYQ393252 KIM393252 KSI393252 LCE393252 LMA393252 LVW393252 MFS393252 MPO393252 MZK393252 NJG393252 NTC393252 OCY393252 OMU393252 OWQ393252 PGM393252 PQI393252 QAE393252 QKA393252 QTW393252 RDS393252 RNO393252 RXK393252 SHG393252 SRC393252 TAY393252 TKU393252 TUQ393252 UEM393252 UOI393252 UYE393252 VIA393252 VRW393252 WBS393252 WLO393252 WVK393252 C458788 IY458788 SU458788 ACQ458788 AMM458788 AWI458788 BGE458788 BQA458788 BZW458788 CJS458788 CTO458788 DDK458788 DNG458788 DXC458788 EGY458788 EQU458788 FAQ458788 FKM458788 FUI458788 GEE458788 GOA458788 GXW458788 HHS458788 HRO458788 IBK458788 ILG458788 IVC458788 JEY458788 JOU458788 JYQ458788 KIM458788 KSI458788 LCE458788 LMA458788 LVW458788 MFS458788 MPO458788 MZK458788 NJG458788 NTC458788 OCY458788 OMU458788 OWQ458788 PGM458788 PQI458788 QAE458788 QKA458788 QTW458788 RDS458788 RNO458788 RXK458788 SHG458788 SRC458788 TAY458788 TKU458788 TUQ458788 UEM458788 UOI458788 UYE458788 VIA458788 VRW458788 WBS458788 WLO458788 WVK458788 C524324 IY524324 SU524324 ACQ524324 AMM524324 AWI524324 BGE524324 BQA524324 BZW524324 CJS524324 CTO524324 DDK524324 DNG524324 DXC524324 EGY524324 EQU524324 FAQ524324 FKM524324 FUI524324 GEE524324 GOA524324 GXW524324 HHS524324 HRO524324 IBK524324 ILG524324 IVC524324 JEY524324 JOU524324 JYQ524324 KIM524324 KSI524324 LCE524324 LMA524324 LVW524324 MFS524324 MPO524324 MZK524324 NJG524324 NTC524324 OCY524324 OMU524324 OWQ524324 PGM524324 PQI524324 QAE524324 QKA524324 QTW524324 RDS524324 RNO524324 RXK524324 SHG524324 SRC524324 TAY524324 TKU524324 TUQ524324 UEM524324 UOI524324 UYE524324 VIA524324 VRW524324 WBS524324 WLO524324 WVK524324 C589860 IY589860 SU589860 ACQ589860 AMM589860 AWI589860 BGE589860 BQA589860 BZW589860 CJS589860 CTO589860 DDK589860 DNG589860 DXC589860 EGY589860 EQU589860 FAQ589860 FKM589860 FUI589860 GEE589860 GOA589860 GXW589860 HHS589860 HRO589860 IBK589860 ILG589860 IVC589860 JEY589860 JOU589860 JYQ589860 KIM589860 KSI589860 LCE589860 LMA589860 LVW589860 MFS589860 MPO589860 MZK589860 NJG589860 NTC589860 OCY589860 OMU589860 OWQ589860 PGM589860 PQI589860 QAE589860 QKA589860 QTW589860 RDS589860 RNO589860 RXK589860 SHG589860 SRC589860 TAY589860 TKU589860 TUQ589860 UEM589860 UOI589860 UYE589860 VIA589860 VRW589860 WBS589860 WLO589860 WVK589860 C655396 IY655396 SU655396 ACQ655396 AMM655396 AWI655396 BGE655396 BQA655396 BZW655396 CJS655396 CTO655396 DDK655396 DNG655396 DXC655396 EGY655396 EQU655396 FAQ655396 FKM655396 FUI655396 GEE655396 GOA655396 GXW655396 HHS655396 HRO655396 IBK655396 ILG655396 IVC655396 JEY655396 JOU655396 JYQ655396 KIM655396 KSI655396 LCE655396 LMA655396 LVW655396 MFS655396 MPO655396 MZK655396 NJG655396 NTC655396 OCY655396 OMU655396 OWQ655396 PGM655396 PQI655396 QAE655396 QKA655396 QTW655396 RDS655396 RNO655396 RXK655396 SHG655396 SRC655396 TAY655396 TKU655396 TUQ655396 UEM655396 UOI655396 UYE655396 VIA655396 VRW655396 WBS655396 WLO655396 WVK655396 C720932 IY720932 SU720932 ACQ720932 AMM720932 AWI720932 BGE720932 BQA720932 BZW720932 CJS720932 CTO720932 DDK720932 DNG720932 DXC720932 EGY720932 EQU720932 FAQ720932 FKM720932 FUI720932 GEE720932 GOA720932 GXW720932 HHS720932 HRO720932 IBK720932 ILG720932 IVC720932 JEY720932 JOU720932 JYQ720932 KIM720932 KSI720932 LCE720932 LMA720932 LVW720932 MFS720932 MPO720932 MZK720932 NJG720932 NTC720932 OCY720932 OMU720932 OWQ720932 PGM720932 PQI720932 QAE720932 QKA720932 QTW720932 RDS720932 RNO720932 RXK720932 SHG720932 SRC720932 TAY720932 TKU720932 TUQ720932 UEM720932 UOI720932 UYE720932 VIA720932 VRW720932 WBS720932 WLO720932 WVK720932 C786468 IY786468 SU786468 ACQ786468 AMM786468 AWI786468 BGE786468 BQA786468 BZW786468 CJS786468 CTO786468 DDK786468 DNG786468 DXC786468 EGY786468 EQU786468 FAQ786468 FKM786468 FUI786468 GEE786468 GOA786468 GXW786468 HHS786468 HRO786468 IBK786468 ILG786468 IVC786468 JEY786468 JOU786468 JYQ786468 KIM786468 KSI786468 LCE786468 LMA786468 LVW786468 MFS786468 MPO786468 MZK786468 NJG786468 NTC786468 OCY786468 OMU786468 OWQ786468 PGM786468 PQI786468 QAE786468 QKA786468 QTW786468 RDS786468 RNO786468 RXK786468 SHG786468 SRC786468 TAY786468 TKU786468 TUQ786468 UEM786468 UOI786468 UYE786468 VIA786468 VRW786468 WBS786468 WLO786468 WVK786468 C852004 IY852004 SU852004 ACQ852004 AMM852004 AWI852004 BGE852004 BQA852004 BZW852004 CJS852004 CTO852004 DDK852004 DNG852004 DXC852004 EGY852004 EQU852004 FAQ852004 FKM852004 FUI852004 GEE852004 GOA852004 GXW852004 HHS852004 HRO852004 IBK852004 ILG852004 IVC852004 JEY852004 JOU852004 JYQ852004 KIM852004 KSI852004 LCE852004 LMA852004 LVW852004 MFS852004 MPO852004 MZK852004 NJG852004 NTC852004 OCY852004 OMU852004 OWQ852004 PGM852004 PQI852004 QAE852004 QKA852004 QTW852004 RDS852004 RNO852004 RXK852004 SHG852004 SRC852004 TAY852004 TKU852004 TUQ852004 UEM852004 UOI852004 UYE852004 VIA852004 VRW852004 WBS852004 WLO852004 WVK852004 C917540 IY917540 SU917540 ACQ917540 AMM917540 AWI917540 BGE917540 BQA917540 BZW917540 CJS917540 CTO917540 DDK917540 DNG917540 DXC917540 EGY917540 EQU917540 FAQ917540 FKM917540 FUI917540 GEE917540 GOA917540 GXW917540 HHS917540 HRO917540 IBK917540 ILG917540 IVC917540 JEY917540 JOU917540 JYQ917540 KIM917540 KSI917540 LCE917540 LMA917540 LVW917540 MFS917540 MPO917540 MZK917540 NJG917540 NTC917540 OCY917540 OMU917540 OWQ917540 PGM917540 PQI917540 QAE917540 QKA917540 QTW917540 RDS917540 RNO917540 RXK917540 SHG917540 SRC917540 TAY917540 TKU917540 TUQ917540 UEM917540 UOI917540 UYE917540 VIA917540 VRW917540 WBS917540 WLO917540 WVK917540 C983076 IY983076 SU983076 ACQ983076 AMM983076 AWI983076 BGE983076 BQA983076 BZW983076 CJS983076 CTO983076 DDK983076 DNG983076 DXC983076 EGY983076 EQU983076 FAQ983076 FKM983076 FUI983076 GEE983076 GOA983076 GXW983076 HHS983076 HRO983076 IBK983076 ILG983076 IVC983076 JEY983076 JOU983076 JYQ983076 KIM983076 KSI983076 LCE983076 LMA983076 LVW983076 MFS983076 MPO983076 MZK983076 NJG983076 NTC983076 OCY983076 OMU983076 OWQ983076 PGM983076 PQI983076 QAE983076 QKA983076 QTW983076 RDS983076 RNO983076 RXK983076 SHG983076 SRC983076 TAY983076 TKU983076 TUQ983076 UEM983076 UOI983076 UYE983076 VIA983076 VRW983076 WBS983076 WLO983076 WVK983076 E36 JA36 SW36 ACS36 AMO36 AWK36 BGG36 BQC36 BZY36 CJU36 CTQ36 DDM36 DNI36 DXE36 EHA36 EQW36 FAS36 FKO36 FUK36 GEG36 GOC36 GXY36 HHU36 HRQ36 IBM36 ILI36 IVE36 JFA36 JOW36 JYS36 KIO36 KSK36 LCG36 LMC36 LVY36 MFU36 MPQ36 MZM36 NJI36 NTE36 ODA36 OMW36 OWS36 PGO36 PQK36 QAG36 QKC36 QTY36 RDU36 RNQ36 RXM36 SHI36 SRE36 TBA36 TKW36 TUS36 UEO36 UOK36 UYG36 VIC36 VRY36 WBU36 WLQ36 WVM36 E65572 JA65572 SW65572 ACS65572 AMO65572 AWK65572 BGG65572 BQC65572 BZY65572 CJU65572 CTQ65572 DDM65572 DNI65572 DXE65572 EHA65572 EQW65572 FAS65572 FKO65572 FUK65572 GEG65572 GOC65572 GXY65572 HHU65572 HRQ65572 IBM65572 ILI65572 IVE65572 JFA65572 JOW65572 JYS65572 KIO65572 KSK65572 LCG65572 LMC65572 LVY65572 MFU65572 MPQ65572 MZM65572 NJI65572 NTE65572 ODA65572 OMW65572 OWS65572 PGO65572 PQK65572 QAG65572 QKC65572 QTY65572 RDU65572 RNQ65572 RXM65572 SHI65572 SRE65572 TBA65572 TKW65572 TUS65572 UEO65572 UOK65572 UYG65572 VIC65572 VRY65572 WBU65572 WLQ65572 WVM65572 E131108 JA131108 SW131108 ACS131108 AMO131108 AWK131108 BGG131108 BQC131108 BZY131108 CJU131108 CTQ131108 DDM131108 DNI131108 DXE131108 EHA131108 EQW131108 FAS131108 FKO131108 FUK131108 GEG131108 GOC131108 GXY131108 HHU131108 HRQ131108 IBM131108 ILI131108 IVE131108 JFA131108 JOW131108 JYS131108 KIO131108 KSK131108 LCG131108 LMC131108 LVY131108 MFU131108 MPQ131108 MZM131108 NJI131108 NTE131108 ODA131108 OMW131108 OWS131108 PGO131108 PQK131108 QAG131108 QKC131108 QTY131108 RDU131108 RNQ131108 RXM131108 SHI131108 SRE131108 TBA131108 TKW131108 TUS131108 UEO131108 UOK131108 UYG131108 VIC131108 VRY131108 WBU131108 WLQ131108 WVM131108 E196644 JA196644 SW196644 ACS196644 AMO196644 AWK196644 BGG196644 BQC196644 BZY196644 CJU196644 CTQ196644 DDM196644 DNI196644 DXE196644 EHA196644 EQW196644 FAS196644 FKO196644 FUK196644 GEG196644 GOC196644 GXY196644 HHU196644 HRQ196644 IBM196644 ILI196644 IVE196644 JFA196644 JOW196644 JYS196644 KIO196644 KSK196644 LCG196644 LMC196644 LVY196644 MFU196644 MPQ196644 MZM196644 NJI196644 NTE196644 ODA196644 OMW196644 OWS196644 PGO196644 PQK196644 QAG196644 QKC196644 QTY196644 RDU196644 RNQ196644 RXM196644 SHI196644 SRE196644 TBA196644 TKW196644 TUS196644 UEO196644 UOK196644 UYG196644 VIC196644 VRY196644 WBU196644 WLQ196644 WVM196644 E262180 JA262180 SW262180 ACS262180 AMO262180 AWK262180 BGG262180 BQC262180 BZY262180 CJU262180 CTQ262180 DDM262180 DNI262180 DXE262180 EHA262180 EQW262180 FAS262180 FKO262180 FUK262180 GEG262180 GOC262180 GXY262180 HHU262180 HRQ262180 IBM262180 ILI262180 IVE262180 JFA262180 JOW262180 JYS262180 KIO262180 KSK262180 LCG262180 LMC262180 LVY262180 MFU262180 MPQ262180 MZM262180 NJI262180 NTE262180 ODA262180 OMW262180 OWS262180 PGO262180 PQK262180 QAG262180 QKC262180 QTY262180 RDU262180 RNQ262180 RXM262180 SHI262180 SRE262180 TBA262180 TKW262180 TUS262180 UEO262180 UOK262180 UYG262180 VIC262180 VRY262180 WBU262180 WLQ262180 WVM262180 E327716 JA327716 SW327716 ACS327716 AMO327716 AWK327716 BGG327716 BQC327716 BZY327716 CJU327716 CTQ327716 DDM327716 DNI327716 DXE327716 EHA327716 EQW327716 FAS327716 FKO327716 FUK327716 GEG327716 GOC327716 GXY327716 HHU327716 HRQ327716 IBM327716 ILI327716 IVE327716 JFA327716 JOW327716 JYS327716 KIO327716 KSK327716 LCG327716 LMC327716 LVY327716 MFU327716 MPQ327716 MZM327716 NJI327716 NTE327716 ODA327716 OMW327716 OWS327716 PGO327716 PQK327716 QAG327716 QKC327716 QTY327716 RDU327716 RNQ327716 RXM327716 SHI327716 SRE327716 TBA327716 TKW327716 TUS327716 UEO327716 UOK327716 UYG327716 VIC327716 VRY327716 WBU327716 WLQ327716 WVM327716 E393252 JA393252 SW393252 ACS393252 AMO393252 AWK393252 BGG393252 BQC393252 BZY393252 CJU393252 CTQ393252 DDM393252 DNI393252 DXE393252 EHA393252 EQW393252 FAS393252 FKO393252 FUK393252 GEG393252 GOC393252 GXY393252 HHU393252 HRQ393252 IBM393252 ILI393252 IVE393252 JFA393252 JOW393252 JYS393252 KIO393252 KSK393252 LCG393252 LMC393252 LVY393252 MFU393252 MPQ393252 MZM393252 NJI393252 NTE393252 ODA393252 OMW393252 OWS393252 PGO393252 PQK393252 QAG393252 QKC393252 QTY393252 RDU393252 RNQ393252 RXM393252 SHI393252 SRE393252 TBA393252 TKW393252 TUS393252 UEO393252 UOK393252 UYG393252 VIC393252 VRY393252 WBU393252 WLQ393252 WVM393252 E458788 JA458788 SW458788 ACS458788 AMO458788 AWK458788 BGG458788 BQC458788 BZY458788 CJU458788 CTQ458788 DDM458788 DNI458788 DXE458788 EHA458788 EQW458788 FAS458788 FKO458788 FUK458788 GEG458788 GOC458788 GXY458788 HHU458788 HRQ458788 IBM458788 ILI458788 IVE458788 JFA458788 JOW458788 JYS458788 KIO458788 KSK458788 LCG458788 LMC458788 LVY458788 MFU458788 MPQ458788 MZM458788 NJI458788 NTE458788 ODA458788 OMW458788 OWS458788 PGO458788 PQK458788 QAG458788 QKC458788 QTY458788 RDU458788 RNQ458788 RXM458788 SHI458788 SRE458788 TBA458788 TKW458788 TUS458788 UEO458788 UOK458788 UYG458788 VIC458788 VRY458788 WBU458788 WLQ458788 WVM458788 E524324 JA524324 SW524324 ACS524324 AMO524324 AWK524324 BGG524324 BQC524324 BZY524324 CJU524324 CTQ524324 DDM524324 DNI524324 DXE524324 EHA524324 EQW524324 FAS524324 FKO524324 FUK524324 GEG524324 GOC524324 GXY524324 HHU524324 HRQ524324 IBM524324 ILI524324 IVE524324 JFA524324 JOW524324 JYS524324 KIO524324 KSK524324 LCG524324 LMC524324 LVY524324 MFU524324 MPQ524324 MZM524324 NJI524324 NTE524324 ODA524324 OMW524324 OWS524324 PGO524324 PQK524324 QAG524324 QKC524324 QTY524324 RDU524324 RNQ524324 RXM524324 SHI524324 SRE524324 TBA524324 TKW524324 TUS524324 UEO524324 UOK524324 UYG524324 VIC524324 VRY524324 WBU524324 WLQ524324 WVM524324 E589860 JA589860 SW589860 ACS589860 AMO589860 AWK589860 BGG589860 BQC589860 BZY589860 CJU589860 CTQ589860 DDM589860 DNI589860 DXE589860 EHA589860 EQW589860 FAS589860 FKO589860 FUK589860 GEG589860 GOC589860 GXY589860 HHU589860 HRQ589860 IBM589860 ILI589860 IVE589860 JFA589860 JOW589860 JYS589860 KIO589860 KSK589860 LCG589860 LMC589860 LVY589860 MFU589860 MPQ589860 MZM589860 NJI589860 NTE589860 ODA589860 OMW589860 OWS589860 PGO589860 PQK589860 QAG589860 QKC589860 QTY589860 RDU589860 RNQ589860 RXM589860 SHI589860 SRE589860 TBA589860 TKW589860 TUS589860 UEO589860 UOK589860 UYG589860 VIC589860 VRY589860 WBU589860 WLQ589860 WVM589860 E655396 JA655396 SW655396 ACS655396 AMO655396 AWK655396 BGG655396 BQC655396 BZY655396 CJU655396 CTQ655396 DDM655396 DNI655396 DXE655396 EHA655396 EQW655396 FAS655396 FKO655396 FUK655396 GEG655396 GOC655396 GXY655396 HHU655396 HRQ655396 IBM655396 ILI655396 IVE655396 JFA655396 JOW655396 JYS655396 KIO655396 KSK655396 LCG655396 LMC655396 LVY655396 MFU655396 MPQ655396 MZM655396 NJI655396 NTE655396 ODA655396 OMW655396 OWS655396 PGO655396 PQK655396 QAG655396 QKC655396 QTY655396 RDU655396 RNQ655396 RXM655396 SHI655396 SRE655396 TBA655396 TKW655396 TUS655396 UEO655396 UOK655396 UYG655396 VIC655396 VRY655396 WBU655396 WLQ655396 WVM655396 E720932 JA720932 SW720932 ACS720932 AMO720932 AWK720932 BGG720932 BQC720932 BZY720932 CJU720932 CTQ720932 DDM720932 DNI720932 DXE720932 EHA720932 EQW720932 FAS720932 FKO720932 FUK720932 GEG720932 GOC720932 GXY720932 HHU720932 HRQ720932 IBM720932 ILI720932 IVE720932 JFA720932 JOW720932 JYS720932 KIO720932 KSK720932 LCG720932 LMC720932 LVY720932 MFU720932 MPQ720932 MZM720932 NJI720932 NTE720932 ODA720932 OMW720932 OWS720932 PGO720932 PQK720932 QAG720932 QKC720932 QTY720932 RDU720932 RNQ720932 RXM720932 SHI720932 SRE720932 TBA720932 TKW720932 TUS720932 UEO720932 UOK720932 UYG720932 VIC720932 VRY720932 WBU720932 WLQ720932 WVM720932 E786468 JA786468 SW786468 ACS786468 AMO786468 AWK786468 BGG786468 BQC786468 BZY786468 CJU786468 CTQ786468 DDM786468 DNI786468 DXE786468 EHA786468 EQW786468 FAS786468 FKO786468 FUK786468 GEG786468 GOC786468 GXY786468 HHU786468 HRQ786468 IBM786468 ILI786468 IVE786468 JFA786468 JOW786468 JYS786468 KIO786468 KSK786468 LCG786468 LMC786468 LVY786468 MFU786468 MPQ786468 MZM786468 NJI786468 NTE786468 ODA786468 OMW786468 OWS786468 PGO786468 PQK786468 QAG786468 QKC786468 QTY786468 RDU786468 RNQ786468 RXM786468 SHI786468 SRE786468 TBA786468 TKW786468 TUS786468 UEO786468 UOK786468 UYG786468 VIC786468 VRY786468 WBU786468 WLQ786468 WVM786468 E852004 JA852004 SW852004 ACS852004 AMO852004 AWK852004 BGG852004 BQC852004 BZY852004 CJU852004 CTQ852004 DDM852004 DNI852004 DXE852004 EHA852004 EQW852004 FAS852004 FKO852004 FUK852004 GEG852004 GOC852004 GXY852004 HHU852004 HRQ852004 IBM852004 ILI852004 IVE852004 JFA852004 JOW852004 JYS852004 KIO852004 KSK852004 LCG852004 LMC852004 LVY852004 MFU852004 MPQ852004 MZM852004 NJI852004 NTE852004 ODA852004 OMW852004 OWS852004 PGO852004 PQK852004 QAG852004 QKC852004 QTY852004 RDU852004 RNQ852004 RXM852004 SHI852004 SRE852004 TBA852004 TKW852004 TUS852004 UEO852004 UOK852004 UYG852004 VIC852004 VRY852004 WBU852004 WLQ852004 WVM852004 E917540 JA917540 SW917540 ACS917540 AMO917540 AWK917540 BGG917540 BQC917540 BZY917540 CJU917540 CTQ917540 DDM917540 DNI917540 DXE917540 EHA917540 EQW917540 FAS917540 FKO917540 FUK917540 GEG917540 GOC917540 GXY917540 HHU917540 HRQ917540 IBM917540 ILI917540 IVE917540 JFA917540 JOW917540 JYS917540 KIO917540 KSK917540 LCG917540 LMC917540 LVY917540 MFU917540 MPQ917540 MZM917540 NJI917540 NTE917540 ODA917540 OMW917540 OWS917540 PGO917540 PQK917540 QAG917540 QKC917540 QTY917540 RDU917540 RNQ917540 RXM917540 SHI917540 SRE917540 TBA917540 TKW917540 TUS917540 UEO917540 UOK917540 UYG917540 VIC917540 VRY917540 WBU917540 WLQ917540 WVM917540 E983076 JA983076 SW983076 ACS983076 AMO983076 AWK983076 BGG983076 BQC983076 BZY983076 CJU983076 CTQ983076 DDM983076 DNI983076 DXE983076 EHA983076 EQW983076 FAS983076 FKO983076 FUK983076 GEG983076 GOC983076 GXY983076 HHU983076 HRQ983076 IBM983076 ILI983076 IVE983076 JFA983076 JOW983076 JYS983076 KIO983076 KSK983076 LCG983076 LMC983076 LVY983076 MFU983076 MPQ983076 MZM983076 NJI983076 NTE983076 ODA983076 OMW983076 OWS983076 PGO983076 PQK983076 QAG983076 QKC983076 QTY983076 RDU983076 RNQ983076 RXM983076 SHI983076 SRE983076 TBA983076 TKW983076 TUS983076 UEO983076 UOK983076 UYG983076 VIC983076 VRY983076 WBU983076 WLQ983076 WVM983076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2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8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4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0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6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2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8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4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0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6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2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8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4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0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6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I36 JE36 TA36 ACW36 AMS36 AWO36 BGK36 BQG36 CAC36 CJY36 CTU36 DDQ36 DNM36 DXI36 EHE36 ERA36 FAW36 FKS36 FUO36 GEK36 GOG36 GYC36 HHY36 HRU36 IBQ36 ILM36 IVI36 JFE36 JPA36 JYW36 KIS36 KSO36 LCK36 LMG36 LWC36 MFY36 MPU36 MZQ36 NJM36 NTI36 ODE36 ONA36 OWW36 PGS36 PQO36 QAK36 QKG36 QUC36 RDY36 RNU36 RXQ36 SHM36 SRI36 TBE36 TLA36 TUW36 UES36 UOO36 UYK36 VIG36 VSC36 WBY36 WLU36 WVQ36 I65572 JE65572 TA65572 ACW65572 AMS65572 AWO65572 BGK65572 BQG65572 CAC65572 CJY65572 CTU65572 DDQ65572 DNM65572 DXI65572 EHE65572 ERA65572 FAW65572 FKS65572 FUO65572 GEK65572 GOG65572 GYC65572 HHY65572 HRU65572 IBQ65572 ILM65572 IVI65572 JFE65572 JPA65572 JYW65572 KIS65572 KSO65572 LCK65572 LMG65572 LWC65572 MFY65572 MPU65572 MZQ65572 NJM65572 NTI65572 ODE65572 ONA65572 OWW65572 PGS65572 PQO65572 QAK65572 QKG65572 QUC65572 RDY65572 RNU65572 RXQ65572 SHM65572 SRI65572 TBE65572 TLA65572 TUW65572 UES65572 UOO65572 UYK65572 VIG65572 VSC65572 WBY65572 WLU65572 WVQ65572 I131108 JE131108 TA131108 ACW131108 AMS131108 AWO131108 BGK131108 BQG131108 CAC131108 CJY131108 CTU131108 DDQ131108 DNM131108 DXI131108 EHE131108 ERA131108 FAW131108 FKS131108 FUO131108 GEK131108 GOG131108 GYC131108 HHY131108 HRU131108 IBQ131108 ILM131108 IVI131108 JFE131108 JPA131108 JYW131108 KIS131108 KSO131108 LCK131108 LMG131108 LWC131108 MFY131108 MPU131108 MZQ131108 NJM131108 NTI131108 ODE131108 ONA131108 OWW131108 PGS131108 PQO131108 QAK131108 QKG131108 QUC131108 RDY131108 RNU131108 RXQ131108 SHM131108 SRI131108 TBE131108 TLA131108 TUW131108 UES131108 UOO131108 UYK131108 VIG131108 VSC131108 WBY131108 WLU131108 WVQ131108 I196644 JE196644 TA196644 ACW196644 AMS196644 AWO196644 BGK196644 BQG196644 CAC196644 CJY196644 CTU196644 DDQ196644 DNM196644 DXI196644 EHE196644 ERA196644 FAW196644 FKS196644 FUO196644 GEK196644 GOG196644 GYC196644 HHY196644 HRU196644 IBQ196644 ILM196644 IVI196644 JFE196644 JPA196644 JYW196644 KIS196644 KSO196644 LCK196644 LMG196644 LWC196644 MFY196644 MPU196644 MZQ196644 NJM196644 NTI196644 ODE196644 ONA196644 OWW196644 PGS196644 PQO196644 QAK196644 QKG196644 QUC196644 RDY196644 RNU196644 RXQ196644 SHM196644 SRI196644 TBE196644 TLA196644 TUW196644 UES196644 UOO196644 UYK196644 VIG196644 VSC196644 WBY196644 WLU196644 WVQ196644 I262180 JE262180 TA262180 ACW262180 AMS262180 AWO262180 BGK262180 BQG262180 CAC262180 CJY262180 CTU262180 DDQ262180 DNM262180 DXI262180 EHE262180 ERA262180 FAW262180 FKS262180 FUO262180 GEK262180 GOG262180 GYC262180 HHY262180 HRU262180 IBQ262180 ILM262180 IVI262180 JFE262180 JPA262180 JYW262180 KIS262180 KSO262180 LCK262180 LMG262180 LWC262180 MFY262180 MPU262180 MZQ262180 NJM262180 NTI262180 ODE262180 ONA262180 OWW262180 PGS262180 PQO262180 QAK262180 QKG262180 QUC262180 RDY262180 RNU262180 RXQ262180 SHM262180 SRI262180 TBE262180 TLA262180 TUW262180 UES262180 UOO262180 UYK262180 VIG262180 VSC262180 WBY262180 WLU262180 WVQ262180 I327716 JE327716 TA327716 ACW327716 AMS327716 AWO327716 BGK327716 BQG327716 CAC327716 CJY327716 CTU327716 DDQ327716 DNM327716 DXI327716 EHE327716 ERA327716 FAW327716 FKS327716 FUO327716 GEK327716 GOG327716 GYC327716 HHY327716 HRU327716 IBQ327716 ILM327716 IVI327716 JFE327716 JPA327716 JYW327716 KIS327716 KSO327716 LCK327716 LMG327716 LWC327716 MFY327716 MPU327716 MZQ327716 NJM327716 NTI327716 ODE327716 ONA327716 OWW327716 PGS327716 PQO327716 QAK327716 QKG327716 QUC327716 RDY327716 RNU327716 RXQ327716 SHM327716 SRI327716 TBE327716 TLA327716 TUW327716 UES327716 UOO327716 UYK327716 VIG327716 VSC327716 WBY327716 WLU327716 WVQ327716 I393252 JE393252 TA393252 ACW393252 AMS393252 AWO393252 BGK393252 BQG393252 CAC393252 CJY393252 CTU393252 DDQ393252 DNM393252 DXI393252 EHE393252 ERA393252 FAW393252 FKS393252 FUO393252 GEK393252 GOG393252 GYC393252 HHY393252 HRU393252 IBQ393252 ILM393252 IVI393252 JFE393252 JPA393252 JYW393252 KIS393252 KSO393252 LCK393252 LMG393252 LWC393252 MFY393252 MPU393252 MZQ393252 NJM393252 NTI393252 ODE393252 ONA393252 OWW393252 PGS393252 PQO393252 QAK393252 QKG393252 QUC393252 RDY393252 RNU393252 RXQ393252 SHM393252 SRI393252 TBE393252 TLA393252 TUW393252 UES393252 UOO393252 UYK393252 VIG393252 VSC393252 WBY393252 WLU393252 WVQ393252 I458788 JE458788 TA458788 ACW458788 AMS458788 AWO458788 BGK458788 BQG458788 CAC458788 CJY458788 CTU458788 DDQ458788 DNM458788 DXI458788 EHE458788 ERA458788 FAW458788 FKS458788 FUO458788 GEK458788 GOG458788 GYC458788 HHY458788 HRU458788 IBQ458788 ILM458788 IVI458788 JFE458788 JPA458788 JYW458788 KIS458788 KSO458788 LCK458788 LMG458788 LWC458788 MFY458788 MPU458788 MZQ458788 NJM458788 NTI458788 ODE458788 ONA458788 OWW458788 PGS458788 PQO458788 QAK458788 QKG458788 QUC458788 RDY458788 RNU458788 RXQ458788 SHM458788 SRI458788 TBE458788 TLA458788 TUW458788 UES458788 UOO458788 UYK458788 VIG458788 VSC458788 WBY458788 WLU458788 WVQ458788 I524324 JE524324 TA524324 ACW524324 AMS524324 AWO524324 BGK524324 BQG524324 CAC524324 CJY524324 CTU524324 DDQ524324 DNM524324 DXI524324 EHE524324 ERA524324 FAW524324 FKS524324 FUO524324 GEK524324 GOG524324 GYC524324 HHY524324 HRU524324 IBQ524324 ILM524324 IVI524324 JFE524324 JPA524324 JYW524324 KIS524324 KSO524324 LCK524324 LMG524324 LWC524324 MFY524324 MPU524324 MZQ524324 NJM524324 NTI524324 ODE524324 ONA524324 OWW524324 PGS524324 PQO524324 QAK524324 QKG524324 QUC524324 RDY524324 RNU524324 RXQ524324 SHM524324 SRI524324 TBE524324 TLA524324 TUW524324 UES524324 UOO524324 UYK524324 VIG524324 VSC524324 WBY524324 WLU524324 WVQ524324 I589860 JE589860 TA589860 ACW589860 AMS589860 AWO589860 BGK589860 BQG589860 CAC589860 CJY589860 CTU589860 DDQ589860 DNM589860 DXI589860 EHE589860 ERA589860 FAW589860 FKS589860 FUO589860 GEK589860 GOG589860 GYC589860 HHY589860 HRU589860 IBQ589860 ILM589860 IVI589860 JFE589860 JPA589860 JYW589860 KIS589860 KSO589860 LCK589860 LMG589860 LWC589860 MFY589860 MPU589860 MZQ589860 NJM589860 NTI589860 ODE589860 ONA589860 OWW589860 PGS589860 PQO589860 QAK589860 QKG589860 QUC589860 RDY589860 RNU589860 RXQ589860 SHM589860 SRI589860 TBE589860 TLA589860 TUW589860 UES589860 UOO589860 UYK589860 VIG589860 VSC589860 WBY589860 WLU589860 WVQ589860 I655396 JE655396 TA655396 ACW655396 AMS655396 AWO655396 BGK655396 BQG655396 CAC655396 CJY655396 CTU655396 DDQ655396 DNM655396 DXI655396 EHE655396 ERA655396 FAW655396 FKS655396 FUO655396 GEK655396 GOG655396 GYC655396 HHY655396 HRU655396 IBQ655396 ILM655396 IVI655396 JFE655396 JPA655396 JYW655396 KIS655396 KSO655396 LCK655396 LMG655396 LWC655396 MFY655396 MPU655396 MZQ655396 NJM655396 NTI655396 ODE655396 ONA655396 OWW655396 PGS655396 PQO655396 QAK655396 QKG655396 QUC655396 RDY655396 RNU655396 RXQ655396 SHM655396 SRI655396 TBE655396 TLA655396 TUW655396 UES655396 UOO655396 UYK655396 VIG655396 VSC655396 WBY655396 WLU655396 WVQ655396 I720932 JE720932 TA720932 ACW720932 AMS720932 AWO720932 BGK720932 BQG720932 CAC720932 CJY720932 CTU720932 DDQ720932 DNM720932 DXI720932 EHE720932 ERA720932 FAW720932 FKS720932 FUO720932 GEK720932 GOG720932 GYC720932 HHY720932 HRU720932 IBQ720932 ILM720932 IVI720932 JFE720932 JPA720932 JYW720932 KIS720932 KSO720932 LCK720932 LMG720932 LWC720932 MFY720932 MPU720932 MZQ720932 NJM720932 NTI720932 ODE720932 ONA720932 OWW720932 PGS720932 PQO720932 QAK720932 QKG720932 QUC720932 RDY720932 RNU720932 RXQ720932 SHM720932 SRI720932 TBE720932 TLA720932 TUW720932 UES720932 UOO720932 UYK720932 VIG720932 VSC720932 WBY720932 WLU720932 WVQ720932 I786468 JE786468 TA786468 ACW786468 AMS786468 AWO786468 BGK786468 BQG786468 CAC786468 CJY786468 CTU786468 DDQ786468 DNM786468 DXI786468 EHE786468 ERA786468 FAW786468 FKS786468 FUO786468 GEK786468 GOG786468 GYC786468 HHY786468 HRU786468 IBQ786468 ILM786468 IVI786468 JFE786468 JPA786468 JYW786468 KIS786468 KSO786468 LCK786468 LMG786468 LWC786468 MFY786468 MPU786468 MZQ786468 NJM786468 NTI786468 ODE786468 ONA786468 OWW786468 PGS786468 PQO786468 QAK786468 QKG786468 QUC786468 RDY786468 RNU786468 RXQ786468 SHM786468 SRI786468 TBE786468 TLA786468 TUW786468 UES786468 UOO786468 UYK786468 VIG786468 VSC786468 WBY786468 WLU786468 WVQ786468 I852004 JE852004 TA852004 ACW852004 AMS852004 AWO852004 BGK852004 BQG852004 CAC852004 CJY852004 CTU852004 DDQ852004 DNM852004 DXI852004 EHE852004 ERA852004 FAW852004 FKS852004 FUO852004 GEK852004 GOG852004 GYC852004 HHY852004 HRU852004 IBQ852004 ILM852004 IVI852004 JFE852004 JPA852004 JYW852004 KIS852004 KSO852004 LCK852004 LMG852004 LWC852004 MFY852004 MPU852004 MZQ852004 NJM852004 NTI852004 ODE852004 ONA852004 OWW852004 PGS852004 PQO852004 QAK852004 QKG852004 QUC852004 RDY852004 RNU852004 RXQ852004 SHM852004 SRI852004 TBE852004 TLA852004 TUW852004 UES852004 UOO852004 UYK852004 VIG852004 VSC852004 WBY852004 WLU852004 WVQ852004 I917540 JE917540 TA917540 ACW917540 AMS917540 AWO917540 BGK917540 BQG917540 CAC917540 CJY917540 CTU917540 DDQ917540 DNM917540 DXI917540 EHE917540 ERA917540 FAW917540 FKS917540 FUO917540 GEK917540 GOG917540 GYC917540 HHY917540 HRU917540 IBQ917540 ILM917540 IVI917540 JFE917540 JPA917540 JYW917540 KIS917540 KSO917540 LCK917540 LMG917540 LWC917540 MFY917540 MPU917540 MZQ917540 NJM917540 NTI917540 ODE917540 ONA917540 OWW917540 PGS917540 PQO917540 QAK917540 QKG917540 QUC917540 RDY917540 RNU917540 RXQ917540 SHM917540 SRI917540 TBE917540 TLA917540 TUW917540 UES917540 UOO917540 UYK917540 VIG917540 VSC917540 WBY917540 WLU917540 WVQ917540 I983076 JE983076 TA983076 ACW983076 AMS983076 AWO983076 BGK983076 BQG983076 CAC983076 CJY983076 CTU983076 DDQ983076 DNM983076 DXI983076 EHE983076 ERA983076 FAW983076 FKS983076 FUO983076 GEK983076 GOG983076 GYC983076 HHY983076 HRU983076 IBQ983076 ILM983076 IVI983076 JFE983076 JPA983076 JYW983076 KIS983076 KSO983076 LCK983076 LMG983076 LWC983076 MFY983076 MPU983076 MZQ983076 NJM983076 NTI983076 ODE983076 ONA983076 OWW983076 PGS983076 PQO983076 QAK983076 QKG983076 QUC983076 RDY983076 RNU983076 RXQ983076 SHM983076 SRI983076 TBE983076 TLA983076 TUW983076 UES983076 UOO983076 UYK983076 VIG983076 VSC983076 WBY983076 WLU983076 WVQ983076">
      <formula1>办公公共部分装修</formula1>
    </dataValidation>
    <dataValidation type="list" allowBlank="1" showInputMessage="1" showErrorMessage="1" sqref="C33 IY33 SU33 ACQ33 AMM33 AWI33 BGE33 BQA33 BZW33 CJS33 CTO33 DDK33 DNG33 DXC33 EGY33 EQU33 FAQ33 FKM33 FUI33 GEE33 GOA33 GXW33 HHS33 HRO33 IBK33 ILG33 IVC33 JEY33 JOU33 JYQ33 KIM33 KSI33 LCE33 LMA33 LVW33 MFS33 MPO33 MZK33 NJG33 NTC33 OCY33 OMU33 OWQ33 PGM33 PQI33 QAE33 QKA33 QTW33 RDS33 RNO33 RXK33 SHG33 SRC33 TAY33 TKU33 TUQ33 UEM33 UOI33 UYE33 VIA33 VRW33 WBS33 WLO33 WVK33 C65569 IY65569 SU65569 ACQ65569 AMM65569 AWI65569 BGE65569 BQA65569 BZW65569 CJS65569 CTO65569 DDK65569 DNG65569 DXC65569 EGY65569 EQU65569 FAQ65569 FKM65569 FUI65569 GEE65569 GOA65569 GXW65569 HHS65569 HRO65569 IBK65569 ILG65569 IVC65569 JEY65569 JOU65569 JYQ65569 KIM65569 KSI65569 LCE65569 LMA65569 LVW65569 MFS65569 MPO65569 MZK65569 NJG65569 NTC65569 OCY65569 OMU65569 OWQ65569 PGM65569 PQI65569 QAE65569 QKA65569 QTW65569 RDS65569 RNO65569 RXK65569 SHG65569 SRC65569 TAY65569 TKU65569 TUQ65569 UEM65569 UOI65569 UYE65569 VIA65569 VRW65569 WBS65569 WLO65569 WVK65569 C131105 IY131105 SU131105 ACQ131105 AMM131105 AWI131105 BGE131105 BQA131105 BZW131105 CJS131105 CTO131105 DDK131105 DNG131105 DXC131105 EGY131105 EQU131105 FAQ131105 FKM131105 FUI131105 GEE131105 GOA131105 GXW131105 HHS131105 HRO131105 IBK131105 ILG131105 IVC131105 JEY131105 JOU131105 JYQ131105 KIM131105 KSI131105 LCE131105 LMA131105 LVW131105 MFS131105 MPO131105 MZK131105 NJG131105 NTC131105 OCY131105 OMU131105 OWQ131105 PGM131105 PQI131105 QAE131105 QKA131105 QTW131105 RDS131105 RNO131105 RXK131105 SHG131105 SRC131105 TAY131105 TKU131105 TUQ131105 UEM131105 UOI131105 UYE131105 VIA131105 VRW131105 WBS131105 WLO131105 WVK131105 C196641 IY196641 SU196641 ACQ196641 AMM196641 AWI196641 BGE196641 BQA196641 BZW196641 CJS196641 CTO196641 DDK196641 DNG196641 DXC196641 EGY196641 EQU196641 FAQ196641 FKM196641 FUI196641 GEE196641 GOA196641 GXW196641 HHS196641 HRO196641 IBK196641 ILG196641 IVC196641 JEY196641 JOU196641 JYQ196641 KIM196641 KSI196641 LCE196641 LMA196641 LVW196641 MFS196641 MPO196641 MZK196641 NJG196641 NTC196641 OCY196641 OMU196641 OWQ196641 PGM196641 PQI196641 QAE196641 QKA196641 QTW196641 RDS196641 RNO196641 RXK196641 SHG196641 SRC196641 TAY196641 TKU196641 TUQ196641 UEM196641 UOI196641 UYE196641 VIA196641 VRW196641 WBS196641 WLO196641 WVK196641 C262177 IY262177 SU262177 ACQ262177 AMM262177 AWI262177 BGE262177 BQA262177 BZW262177 CJS262177 CTO262177 DDK262177 DNG262177 DXC262177 EGY262177 EQU262177 FAQ262177 FKM262177 FUI262177 GEE262177 GOA262177 GXW262177 HHS262177 HRO262177 IBK262177 ILG262177 IVC262177 JEY262177 JOU262177 JYQ262177 KIM262177 KSI262177 LCE262177 LMA262177 LVW262177 MFS262177 MPO262177 MZK262177 NJG262177 NTC262177 OCY262177 OMU262177 OWQ262177 PGM262177 PQI262177 QAE262177 QKA262177 QTW262177 RDS262177 RNO262177 RXK262177 SHG262177 SRC262177 TAY262177 TKU262177 TUQ262177 UEM262177 UOI262177 UYE262177 VIA262177 VRW262177 WBS262177 WLO262177 WVK262177 C327713 IY327713 SU327713 ACQ327713 AMM327713 AWI327713 BGE327713 BQA327713 BZW327713 CJS327713 CTO327713 DDK327713 DNG327713 DXC327713 EGY327713 EQU327713 FAQ327713 FKM327713 FUI327713 GEE327713 GOA327713 GXW327713 HHS327713 HRO327713 IBK327713 ILG327713 IVC327713 JEY327713 JOU327713 JYQ327713 KIM327713 KSI327713 LCE327713 LMA327713 LVW327713 MFS327713 MPO327713 MZK327713 NJG327713 NTC327713 OCY327713 OMU327713 OWQ327713 PGM327713 PQI327713 QAE327713 QKA327713 QTW327713 RDS327713 RNO327713 RXK327713 SHG327713 SRC327713 TAY327713 TKU327713 TUQ327713 UEM327713 UOI327713 UYE327713 VIA327713 VRW327713 WBS327713 WLO327713 WVK327713 C393249 IY393249 SU393249 ACQ393249 AMM393249 AWI393249 BGE393249 BQA393249 BZW393249 CJS393249 CTO393249 DDK393249 DNG393249 DXC393249 EGY393249 EQU393249 FAQ393249 FKM393249 FUI393249 GEE393249 GOA393249 GXW393249 HHS393249 HRO393249 IBK393249 ILG393249 IVC393249 JEY393249 JOU393249 JYQ393249 KIM393249 KSI393249 LCE393249 LMA393249 LVW393249 MFS393249 MPO393249 MZK393249 NJG393249 NTC393249 OCY393249 OMU393249 OWQ393249 PGM393249 PQI393249 QAE393249 QKA393249 QTW393249 RDS393249 RNO393249 RXK393249 SHG393249 SRC393249 TAY393249 TKU393249 TUQ393249 UEM393249 UOI393249 UYE393249 VIA393249 VRW393249 WBS393249 WLO393249 WVK393249 C458785 IY458785 SU458785 ACQ458785 AMM458785 AWI458785 BGE458785 BQA458785 BZW458785 CJS458785 CTO458785 DDK458785 DNG458785 DXC458785 EGY458785 EQU458785 FAQ458785 FKM458785 FUI458785 GEE458785 GOA458785 GXW458785 HHS458785 HRO458785 IBK458785 ILG458785 IVC458785 JEY458785 JOU458785 JYQ458785 KIM458785 KSI458785 LCE458785 LMA458785 LVW458785 MFS458785 MPO458785 MZK458785 NJG458785 NTC458785 OCY458785 OMU458785 OWQ458785 PGM458785 PQI458785 QAE458785 QKA458785 QTW458785 RDS458785 RNO458785 RXK458785 SHG458785 SRC458785 TAY458785 TKU458785 TUQ458785 UEM458785 UOI458785 UYE458785 VIA458785 VRW458785 WBS458785 WLO458785 WVK458785 C524321 IY524321 SU524321 ACQ524321 AMM524321 AWI524321 BGE524321 BQA524321 BZW524321 CJS524321 CTO524321 DDK524321 DNG524321 DXC524321 EGY524321 EQU524321 FAQ524321 FKM524321 FUI524321 GEE524321 GOA524321 GXW524321 HHS524321 HRO524321 IBK524321 ILG524321 IVC524321 JEY524321 JOU524321 JYQ524321 KIM524321 KSI524321 LCE524321 LMA524321 LVW524321 MFS524321 MPO524321 MZK524321 NJG524321 NTC524321 OCY524321 OMU524321 OWQ524321 PGM524321 PQI524321 QAE524321 QKA524321 QTW524321 RDS524321 RNO524321 RXK524321 SHG524321 SRC524321 TAY524321 TKU524321 TUQ524321 UEM524321 UOI524321 UYE524321 VIA524321 VRW524321 WBS524321 WLO524321 WVK524321 C589857 IY589857 SU589857 ACQ589857 AMM589857 AWI589857 BGE589857 BQA589857 BZW589857 CJS589857 CTO589857 DDK589857 DNG589857 DXC589857 EGY589857 EQU589857 FAQ589857 FKM589857 FUI589857 GEE589857 GOA589857 GXW589857 HHS589857 HRO589857 IBK589857 ILG589857 IVC589857 JEY589857 JOU589857 JYQ589857 KIM589857 KSI589857 LCE589857 LMA589857 LVW589857 MFS589857 MPO589857 MZK589857 NJG589857 NTC589857 OCY589857 OMU589857 OWQ589857 PGM589857 PQI589857 QAE589857 QKA589857 QTW589857 RDS589857 RNO589857 RXK589857 SHG589857 SRC589857 TAY589857 TKU589857 TUQ589857 UEM589857 UOI589857 UYE589857 VIA589857 VRW589857 WBS589857 WLO589857 WVK589857 C655393 IY655393 SU655393 ACQ655393 AMM655393 AWI655393 BGE655393 BQA655393 BZW655393 CJS655393 CTO655393 DDK655393 DNG655393 DXC655393 EGY655393 EQU655393 FAQ655393 FKM655393 FUI655393 GEE655393 GOA655393 GXW655393 HHS655393 HRO655393 IBK655393 ILG655393 IVC655393 JEY655393 JOU655393 JYQ655393 KIM655393 KSI655393 LCE655393 LMA655393 LVW655393 MFS655393 MPO655393 MZK655393 NJG655393 NTC655393 OCY655393 OMU655393 OWQ655393 PGM655393 PQI655393 QAE655393 QKA655393 QTW655393 RDS655393 RNO655393 RXK655393 SHG655393 SRC655393 TAY655393 TKU655393 TUQ655393 UEM655393 UOI655393 UYE655393 VIA655393 VRW655393 WBS655393 WLO655393 WVK655393 C720929 IY720929 SU720929 ACQ720929 AMM720929 AWI720929 BGE720929 BQA720929 BZW720929 CJS720929 CTO720929 DDK720929 DNG720929 DXC720929 EGY720929 EQU720929 FAQ720929 FKM720929 FUI720929 GEE720929 GOA720929 GXW720929 HHS720929 HRO720929 IBK720929 ILG720929 IVC720929 JEY720929 JOU720929 JYQ720929 KIM720929 KSI720929 LCE720929 LMA720929 LVW720929 MFS720929 MPO720929 MZK720929 NJG720929 NTC720929 OCY720929 OMU720929 OWQ720929 PGM720929 PQI720929 QAE720929 QKA720929 QTW720929 RDS720929 RNO720929 RXK720929 SHG720929 SRC720929 TAY720929 TKU720929 TUQ720929 UEM720929 UOI720929 UYE720929 VIA720929 VRW720929 WBS720929 WLO720929 WVK720929 C786465 IY786465 SU786465 ACQ786465 AMM786465 AWI786465 BGE786465 BQA786465 BZW786465 CJS786465 CTO786465 DDK786465 DNG786465 DXC786465 EGY786465 EQU786465 FAQ786465 FKM786465 FUI786465 GEE786465 GOA786465 GXW786465 HHS786465 HRO786465 IBK786465 ILG786465 IVC786465 JEY786465 JOU786465 JYQ786465 KIM786465 KSI786465 LCE786465 LMA786465 LVW786465 MFS786465 MPO786465 MZK786465 NJG786465 NTC786465 OCY786465 OMU786465 OWQ786465 PGM786465 PQI786465 QAE786465 QKA786465 QTW786465 RDS786465 RNO786465 RXK786465 SHG786465 SRC786465 TAY786465 TKU786465 TUQ786465 UEM786465 UOI786465 UYE786465 VIA786465 VRW786465 WBS786465 WLO786465 WVK786465 C852001 IY852001 SU852001 ACQ852001 AMM852001 AWI852001 BGE852001 BQA852001 BZW852001 CJS852001 CTO852001 DDK852001 DNG852001 DXC852001 EGY852001 EQU852001 FAQ852001 FKM852001 FUI852001 GEE852001 GOA852001 GXW852001 HHS852001 HRO852001 IBK852001 ILG852001 IVC852001 JEY852001 JOU852001 JYQ852001 KIM852001 KSI852001 LCE852001 LMA852001 LVW852001 MFS852001 MPO852001 MZK852001 NJG852001 NTC852001 OCY852001 OMU852001 OWQ852001 PGM852001 PQI852001 QAE852001 QKA852001 QTW852001 RDS852001 RNO852001 RXK852001 SHG852001 SRC852001 TAY852001 TKU852001 TUQ852001 UEM852001 UOI852001 UYE852001 VIA852001 VRW852001 WBS852001 WLO852001 WVK852001 C917537 IY917537 SU917537 ACQ917537 AMM917537 AWI917537 BGE917537 BQA917537 BZW917537 CJS917537 CTO917537 DDK917537 DNG917537 DXC917537 EGY917537 EQU917537 FAQ917537 FKM917537 FUI917537 GEE917537 GOA917537 GXW917537 HHS917537 HRO917537 IBK917537 ILG917537 IVC917537 JEY917537 JOU917537 JYQ917537 KIM917537 KSI917537 LCE917537 LMA917537 LVW917537 MFS917537 MPO917537 MZK917537 NJG917537 NTC917537 OCY917537 OMU917537 OWQ917537 PGM917537 PQI917537 QAE917537 QKA917537 QTW917537 RDS917537 RNO917537 RXK917537 SHG917537 SRC917537 TAY917537 TKU917537 TUQ917537 UEM917537 UOI917537 UYE917537 VIA917537 VRW917537 WBS917537 WLO917537 WVK917537 C983073 IY983073 SU983073 ACQ983073 AMM983073 AWI983073 BGE983073 BQA983073 BZW983073 CJS983073 CTO983073 DDK983073 DNG983073 DXC983073 EGY983073 EQU983073 FAQ983073 FKM983073 FUI983073 GEE983073 GOA983073 GXW983073 HHS983073 HRO983073 IBK983073 ILG983073 IVC983073 JEY983073 JOU983073 JYQ983073 KIM983073 KSI983073 LCE983073 LMA983073 LVW983073 MFS983073 MPO983073 MZK983073 NJG983073 NTC983073 OCY983073 OMU983073 OWQ983073 PGM983073 PQI983073 QAE983073 QKA983073 QTW983073 RDS983073 RNO983073 RXK983073 SHG983073 SRC983073 TAY983073 TKU983073 TUQ983073 UEM983073 UOI983073 UYE983073 VIA983073 VRW983073 WBS983073 WLO983073 WVK983073 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 JC33 SY33 ACU33 AMQ33 AWM33 BGI33 BQE33 CAA33 CJW33 CTS33 DDO33 DNK33 DXG33 EHC33 EQY33 FAU33 FKQ33 FUM33 GEI33 GOE33 GYA33 HHW33 HRS33 IBO33 ILK33 IVG33 JFC33 JOY33 JYU33 KIQ33 KSM33 LCI33 LME33 LWA33 MFW33 MPS33 MZO33 NJK33 NTG33 ODC33 OMY33 OWU33 PGQ33 PQM33 QAI33 QKE33 QUA33 RDW33 RNS33 RXO33 SHK33 SRG33 TBC33 TKY33 TUU33 UEQ33 UOM33 UYI33 VIE33 VSA33 WBW33 WLS33 WVO33 G65569 JC65569 SY65569 ACU65569 AMQ65569 AWM65569 BGI65569 BQE65569 CAA65569 CJW65569 CTS65569 DDO65569 DNK65569 DXG65569 EHC65569 EQY65569 FAU65569 FKQ65569 FUM65569 GEI65569 GOE65569 GYA65569 HHW65569 HRS65569 IBO65569 ILK65569 IVG65569 JFC65569 JOY65569 JYU65569 KIQ65569 KSM65569 LCI65569 LME65569 LWA65569 MFW65569 MPS65569 MZO65569 NJK65569 NTG65569 ODC65569 OMY65569 OWU65569 PGQ65569 PQM65569 QAI65569 QKE65569 QUA65569 RDW65569 RNS65569 RXO65569 SHK65569 SRG65569 TBC65569 TKY65569 TUU65569 UEQ65569 UOM65569 UYI65569 VIE65569 VSA65569 WBW65569 WLS65569 WVO65569 G131105 JC131105 SY131105 ACU131105 AMQ131105 AWM131105 BGI131105 BQE131105 CAA131105 CJW131105 CTS131105 DDO131105 DNK131105 DXG131105 EHC131105 EQY131105 FAU131105 FKQ131105 FUM131105 GEI131105 GOE131105 GYA131105 HHW131105 HRS131105 IBO131105 ILK131105 IVG131105 JFC131105 JOY131105 JYU131105 KIQ131105 KSM131105 LCI131105 LME131105 LWA131105 MFW131105 MPS131105 MZO131105 NJK131105 NTG131105 ODC131105 OMY131105 OWU131105 PGQ131105 PQM131105 QAI131105 QKE131105 QUA131105 RDW131105 RNS131105 RXO131105 SHK131105 SRG131105 TBC131105 TKY131105 TUU131105 UEQ131105 UOM131105 UYI131105 VIE131105 VSA131105 WBW131105 WLS131105 WVO131105 G196641 JC196641 SY196641 ACU196641 AMQ196641 AWM196641 BGI196641 BQE196641 CAA196641 CJW196641 CTS196641 DDO196641 DNK196641 DXG196641 EHC196641 EQY196641 FAU196641 FKQ196641 FUM196641 GEI196641 GOE196641 GYA196641 HHW196641 HRS196641 IBO196641 ILK196641 IVG196641 JFC196641 JOY196641 JYU196641 KIQ196641 KSM196641 LCI196641 LME196641 LWA196641 MFW196641 MPS196641 MZO196641 NJK196641 NTG196641 ODC196641 OMY196641 OWU196641 PGQ196641 PQM196641 QAI196641 QKE196641 QUA196641 RDW196641 RNS196641 RXO196641 SHK196641 SRG196641 TBC196641 TKY196641 TUU196641 UEQ196641 UOM196641 UYI196641 VIE196641 VSA196641 WBW196641 WLS196641 WVO196641 G262177 JC262177 SY262177 ACU262177 AMQ262177 AWM262177 BGI262177 BQE262177 CAA262177 CJW262177 CTS262177 DDO262177 DNK262177 DXG262177 EHC262177 EQY262177 FAU262177 FKQ262177 FUM262177 GEI262177 GOE262177 GYA262177 HHW262177 HRS262177 IBO262177 ILK262177 IVG262177 JFC262177 JOY262177 JYU262177 KIQ262177 KSM262177 LCI262177 LME262177 LWA262177 MFW262177 MPS262177 MZO262177 NJK262177 NTG262177 ODC262177 OMY262177 OWU262177 PGQ262177 PQM262177 QAI262177 QKE262177 QUA262177 RDW262177 RNS262177 RXO262177 SHK262177 SRG262177 TBC262177 TKY262177 TUU262177 UEQ262177 UOM262177 UYI262177 VIE262177 VSA262177 WBW262177 WLS262177 WVO262177 G327713 JC327713 SY327713 ACU327713 AMQ327713 AWM327713 BGI327713 BQE327713 CAA327713 CJW327713 CTS327713 DDO327713 DNK327713 DXG327713 EHC327713 EQY327713 FAU327713 FKQ327713 FUM327713 GEI327713 GOE327713 GYA327713 HHW327713 HRS327713 IBO327713 ILK327713 IVG327713 JFC327713 JOY327713 JYU327713 KIQ327713 KSM327713 LCI327713 LME327713 LWA327713 MFW327713 MPS327713 MZO327713 NJK327713 NTG327713 ODC327713 OMY327713 OWU327713 PGQ327713 PQM327713 QAI327713 QKE327713 QUA327713 RDW327713 RNS327713 RXO327713 SHK327713 SRG327713 TBC327713 TKY327713 TUU327713 UEQ327713 UOM327713 UYI327713 VIE327713 VSA327713 WBW327713 WLS327713 WVO327713 G393249 JC393249 SY393249 ACU393249 AMQ393249 AWM393249 BGI393249 BQE393249 CAA393249 CJW393249 CTS393249 DDO393249 DNK393249 DXG393249 EHC393249 EQY393249 FAU393249 FKQ393249 FUM393249 GEI393249 GOE393249 GYA393249 HHW393249 HRS393249 IBO393249 ILK393249 IVG393249 JFC393249 JOY393249 JYU393249 KIQ393249 KSM393249 LCI393249 LME393249 LWA393249 MFW393249 MPS393249 MZO393249 NJK393249 NTG393249 ODC393249 OMY393249 OWU393249 PGQ393249 PQM393249 QAI393249 QKE393249 QUA393249 RDW393249 RNS393249 RXO393249 SHK393249 SRG393249 TBC393249 TKY393249 TUU393249 UEQ393249 UOM393249 UYI393249 VIE393249 VSA393249 WBW393249 WLS393249 WVO393249 G458785 JC458785 SY458785 ACU458785 AMQ458785 AWM458785 BGI458785 BQE458785 CAA458785 CJW458785 CTS458785 DDO458785 DNK458785 DXG458785 EHC458785 EQY458785 FAU458785 FKQ458785 FUM458785 GEI458785 GOE458785 GYA458785 HHW458785 HRS458785 IBO458785 ILK458785 IVG458785 JFC458785 JOY458785 JYU458785 KIQ458785 KSM458785 LCI458785 LME458785 LWA458785 MFW458785 MPS458785 MZO458785 NJK458785 NTG458785 ODC458785 OMY458785 OWU458785 PGQ458785 PQM458785 QAI458785 QKE458785 QUA458785 RDW458785 RNS458785 RXO458785 SHK458785 SRG458785 TBC458785 TKY458785 TUU458785 UEQ458785 UOM458785 UYI458785 VIE458785 VSA458785 WBW458785 WLS458785 WVO458785 G524321 JC524321 SY524321 ACU524321 AMQ524321 AWM524321 BGI524321 BQE524321 CAA524321 CJW524321 CTS524321 DDO524321 DNK524321 DXG524321 EHC524321 EQY524321 FAU524321 FKQ524321 FUM524321 GEI524321 GOE524321 GYA524321 HHW524321 HRS524321 IBO524321 ILK524321 IVG524321 JFC524321 JOY524321 JYU524321 KIQ524321 KSM524321 LCI524321 LME524321 LWA524321 MFW524321 MPS524321 MZO524321 NJK524321 NTG524321 ODC524321 OMY524321 OWU524321 PGQ524321 PQM524321 QAI524321 QKE524321 QUA524321 RDW524321 RNS524321 RXO524321 SHK524321 SRG524321 TBC524321 TKY524321 TUU524321 UEQ524321 UOM524321 UYI524321 VIE524321 VSA524321 WBW524321 WLS524321 WVO524321 G589857 JC589857 SY589857 ACU589857 AMQ589857 AWM589857 BGI589857 BQE589857 CAA589857 CJW589857 CTS589857 DDO589857 DNK589857 DXG589857 EHC589857 EQY589857 FAU589857 FKQ589857 FUM589857 GEI589857 GOE589857 GYA589857 HHW589857 HRS589857 IBO589857 ILK589857 IVG589857 JFC589857 JOY589857 JYU589857 KIQ589857 KSM589857 LCI589857 LME589857 LWA589857 MFW589857 MPS589857 MZO589857 NJK589857 NTG589857 ODC589857 OMY589857 OWU589857 PGQ589857 PQM589857 QAI589857 QKE589857 QUA589857 RDW589857 RNS589857 RXO589857 SHK589857 SRG589857 TBC589857 TKY589857 TUU589857 UEQ589857 UOM589857 UYI589857 VIE589857 VSA589857 WBW589857 WLS589857 WVO589857 G655393 JC655393 SY655393 ACU655393 AMQ655393 AWM655393 BGI655393 BQE655393 CAA655393 CJW655393 CTS655393 DDO655393 DNK655393 DXG655393 EHC655393 EQY655393 FAU655393 FKQ655393 FUM655393 GEI655393 GOE655393 GYA655393 HHW655393 HRS655393 IBO655393 ILK655393 IVG655393 JFC655393 JOY655393 JYU655393 KIQ655393 KSM655393 LCI655393 LME655393 LWA655393 MFW655393 MPS655393 MZO655393 NJK655393 NTG655393 ODC655393 OMY655393 OWU655393 PGQ655393 PQM655393 QAI655393 QKE655393 QUA655393 RDW655393 RNS655393 RXO655393 SHK655393 SRG655393 TBC655393 TKY655393 TUU655393 UEQ655393 UOM655393 UYI655393 VIE655393 VSA655393 WBW655393 WLS655393 WVO655393 G720929 JC720929 SY720929 ACU720929 AMQ720929 AWM720929 BGI720929 BQE720929 CAA720929 CJW720929 CTS720929 DDO720929 DNK720929 DXG720929 EHC720929 EQY720929 FAU720929 FKQ720929 FUM720929 GEI720929 GOE720929 GYA720929 HHW720929 HRS720929 IBO720929 ILK720929 IVG720929 JFC720929 JOY720929 JYU720929 KIQ720929 KSM720929 LCI720929 LME720929 LWA720929 MFW720929 MPS720929 MZO720929 NJK720929 NTG720929 ODC720929 OMY720929 OWU720929 PGQ720929 PQM720929 QAI720929 QKE720929 QUA720929 RDW720929 RNS720929 RXO720929 SHK720929 SRG720929 TBC720929 TKY720929 TUU720929 UEQ720929 UOM720929 UYI720929 VIE720929 VSA720929 WBW720929 WLS720929 WVO720929 G786465 JC786465 SY786465 ACU786465 AMQ786465 AWM786465 BGI786465 BQE786465 CAA786465 CJW786465 CTS786465 DDO786465 DNK786465 DXG786465 EHC786465 EQY786465 FAU786465 FKQ786465 FUM786465 GEI786465 GOE786465 GYA786465 HHW786465 HRS786465 IBO786465 ILK786465 IVG786465 JFC786465 JOY786465 JYU786465 KIQ786465 KSM786465 LCI786465 LME786465 LWA786465 MFW786465 MPS786465 MZO786465 NJK786465 NTG786465 ODC786465 OMY786465 OWU786465 PGQ786465 PQM786465 QAI786465 QKE786465 QUA786465 RDW786465 RNS786465 RXO786465 SHK786465 SRG786465 TBC786465 TKY786465 TUU786465 UEQ786465 UOM786465 UYI786465 VIE786465 VSA786465 WBW786465 WLS786465 WVO786465 G852001 JC852001 SY852001 ACU852001 AMQ852001 AWM852001 BGI852001 BQE852001 CAA852001 CJW852001 CTS852001 DDO852001 DNK852001 DXG852001 EHC852001 EQY852001 FAU852001 FKQ852001 FUM852001 GEI852001 GOE852001 GYA852001 HHW852001 HRS852001 IBO852001 ILK852001 IVG852001 JFC852001 JOY852001 JYU852001 KIQ852001 KSM852001 LCI852001 LME852001 LWA852001 MFW852001 MPS852001 MZO852001 NJK852001 NTG852001 ODC852001 OMY852001 OWU852001 PGQ852001 PQM852001 QAI852001 QKE852001 QUA852001 RDW852001 RNS852001 RXO852001 SHK852001 SRG852001 TBC852001 TKY852001 TUU852001 UEQ852001 UOM852001 UYI852001 VIE852001 VSA852001 WBW852001 WLS852001 WVO852001 G917537 JC917537 SY917537 ACU917537 AMQ917537 AWM917537 BGI917537 BQE917537 CAA917537 CJW917537 CTS917537 DDO917537 DNK917537 DXG917537 EHC917537 EQY917537 FAU917537 FKQ917537 FUM917537 GEI917537 GOE917537 GYA917537 HHW917537 HRS917537 IBO917537 ILK917537 IVG917537 JFC917537 JOY917537 JYU917537 KIQ917537 KSM917537 LCI917537 LME917537 LWA917537 MFW917537 MPS917537 MZO917537 NJK917537 NTG917537 ODC917537 OMY917537 OWU917537 PGQ917537 PQM917537 QAI917537 QKE917537 QUA917537 RDW917537 RNS917537 RXO917537 SHK917537 SRG917537 TBC917537 TKY917537 TUU917537 UEQ917537 UOM917537 UYI917537 VIE917537 VSA917537 WBW917537 WLS917537 WVO917537 G983073 JC983073 SY983073 ACU983073 AMQ983073 AWM983073 BGI983073 BQE983073 CAA983073 CJW983073 CTS983073 DDO983073 DNK983073 DXG983073 EHC983073 EQY983073 FAU983073 FKQ983073 FUM983073 GEI983073 GOE983073 GYA983073 HHW983073 HRS983073 IBO983073 ILK983073 IVG983073 JFC983073 JOY983073 JYU983073 KIQ983073 KSM983073 LCI983073 LME983073 LWA983073 MFW983073 MPS983073 MZO983073 NJK983073 NTG983073 ODC983073 OMY983073 OWU983073 PGQ983073 PQM983073 QAI983073 QKE983073 QUA983073 RDW983073 RNS983073 RXO983073 SHK983073 SRG983073 TBC983073 TKY983073 TUU983073 UEQ983073 UOM983073 UYI983073 VIE983073 VSA983073 WBW983073 WLS983073 WVO983073 I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I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I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I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I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I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I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I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I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I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I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I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I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I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I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I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formula1>办公建筑类型</formula1>
    </dataValidation>
    <dataValidation type="list" allowBlank="1" showInputMessage="1" showErrorMessage="1" sqref="C27 IY27 SU27 ACQ27 AMM27 AWI27 BGE27 BQA27 BZW27 CJS27 CTO27 DDK27 DNG27 DXC27 EGY27 EQU27 FAQ27 FKM27 FUI27 GEE27 GOA27 GXW27 HHS27 HRO27 IBK27 ILG27 IVC27 JEY27 JOU27 JYQ27 KIM27 KSI27 LCE27 LMA27 LVW27 MFS27 MPO27 MZK27 NJG27 NTC27 OCY27 OMU27 OWQ27 PGM27 PQI27 QAE27 QKA27 QTW27 RDS27 RNO27 RXK27 SHG27 SRC27 TAY27 TKU27 TUQ27 UEM27 UOI27 UYE27 VIA27 VRW27 WBS27 WLO27 WVK27 C65563 IY65563 SU65563 ACQ65563 AMM65563 AWI65563 BGE65563 BQA65563 BZW65563 CJS65563 CTO65563 DDK65563 DNG65563 DXC65563 EGY65563 EQU65563 FAQ65563 FKM65563 FUI65563 GEE65563 GOA65563 GXW65563 HHS65563 HRO65563 IBK65563 ILG65563 IVC65563 JEY65563 JOU65563 JYQ65563 KIM65563 KSI65563 LCE65563 LMA65563 LVW65563 MFS65563 MPO65563 MZK65563 NJG65563 NTC65563 OCY65563 OMU65563 OWQ65563 PGM65563 PQI65563 QAE65563 QKA65563 QTW65563 RDS65563 RNO65563 RXK65563 SHG65563 SRC65563 TAY65563 TKU65563 TUQ65563 UEM65563 UOI65563 UYE65563 VIA65563 VRW65563 WBS65563 WLO65563 WVK65563 C131099 IY131099 SU131099 ACQ131099 AMM131099 AWI131099 BGE131099 BQA131099 BZW131099 CJS131099 CTO131099 DDK131099 DNG131099 DXC131099 EGY131099 EQU131099 FAQ131099 FKM131099 FUI131099 GEE131099 GOA131099 GXW131099 HHS131099 HRO131099 IBK131099 ILG131099 IVC131099 JEY131099 JOU131099 JYQ131099 KIM131099 KSI131099 LCE131099 LMA131099 LVW131099 MFS131099 MPO131099 MZK131099 NJG131099 NTC131099 OCY131099 OMU131099 OWQ131099 PGM131099 PQI131099 QAE131099 QKA131099 QTW131099 RDS131099 RNO131099 RXK131099 SHG131099 SRC131099 TAY131099 TKU131099 TUQ131099 UEM131099 UOI131099 UYE131099 VIA131099 VRW131099 WBS131099 WLO131099 WVK131099 C196635 IY196635 SU196635 ACQ196635 AMM196635 AWI196635 BGE196635 BQA196635 BZW196635 CJS196635 CTO196635 DDK196635 DNG196635 DXC196635 EGY196635 EQU196635 FAQ196635 FKM196635 FUI196635 GEE196635 GOA196635 GXW196635 HHS196635 HRO196635 IBK196635 ILG196635 IVC196635 JEY196635 JOU196635 JYQ196635 KIM196635 KSI196635 LCE196635 LMA196635 LVW196635 MFS196635 MPO196635 MZK196635 NJG196635 NTC196635 OCY196635 OMU196635 OWQ196635 PGM196635 PQI196635 QAE196635 QKA196635 QTW196635 RDS196635 RNO196635 RXK196635 SHG196635 SRC196635 TAY196635 TKU196635 TUQ196635 UEM196635 UOI196635 UYE196635 VIA196635 VRW196635 WBS196635 WLO196635 WVK196635 C262171 IY262171 SU262171 ACQ262171 AMM262171 AWI262171 BGE262171 BQA262171 BZW262171 CJS262171 CTO262171 DDK262171 DNG262171 DXC262171 EGY262171 EQU262171 FAQ262171 FKM262171 FUI262171 GEE262171 GOA262171 GXW262171 HHS262171 HRO262171 IBK262171 ILG262171 IVC262171 JEY262171 JOU262171 JYQ262171 KIM262171 KSI262171 LCE262171 LMA262171 LVW262171 MFS262171 MPO262171 MZK262171 NJG262171 NTC262171 OCY262171 OMU262171 OWQ262171 PGM262171 PQI262171 QAE262171 QKA262171 QTW262171 RDS262171 RNO262171 RXK262171 SHG262171 SRC262171 TAY262171 TKU262171 TUQ262171 UEM262171 UOI262171 UYE262171 VIA262171 VRW262171 WBS262171 WLO262171 WVK262171 C327707 IY327707 SU327707 ACQ327707 AMM327707 AWI327707 BGE327707 BQA327707 BZW327707 CJS327707 CTO327707 DDK327707 DNG327707 DXC327707 EGY327707 EQU327707 FAQ327707 FKM327707 FUI327707 GEE327707 GOA327707 GXW327707 HHS327707 HRO327707 IBK327707 ILG327707 IVC327707 JEY327707 JOU327707 JYQ327707 KIM327707 KSI327707 LCE327707 LMA327707 LVW327707 MFS327707 MPO327707 MZK327707 NJG327707 NTC327707 OCY327707 OMU327707 OWQ327707 PGM327707 PQI327707 QAE327707 QKA327707 QTW327707 RDS327707 RNO327707 RXK327707 SHG327707 SRC327707 TAY327707 TKU327707 TUQ327707 UEM327707 UOI327707 UYE327707 VIA327707 VRW327707 WBS327707 WLO327707 WVK327707 C393243 IY393243 SU393243 ACQ393243 AMM393243 AWI393243 BGE393243 BQA393243 BZW393243 CJS393243 CTO393243 DDK393243 DNG393243 DXC393243 EGY393243 EQU393243 FAQ393243 FKM393243 FUI393243 GEE393243 GOA393243 GXW393243 HHS393243 HRO393243 IBK393243 ILG393243 IVC393243 JEY393243 JOU393243 JYQ393243 KIM393243 KSI393243 LCE393243 LMA393243 LVW393243 MFS393243 MPO393243 MZK393243 NJG393243 NTC393243 OCY393243 OMU393243 OWQ393243 PGM393243 PQI393243 QAE393243 QKA393243 QTW393243 RDS393243 RNO393243 RXK393243 SHG393243 SRC393243 TAY393243 TKU393243 TUQ393243 UEM393243 UOI393243 UYE393243 VIA393243 VRW393243 WBS393243 WLO393243 WVK393243 C458779 IY458779 SU458779 ACQ458779 AMM458779 AWI458779 BGE458779 BQA458779 BZW458779 CJS458779 CTO458779 DDK458779 DNG458779 DXC458779 EGY458779 EQU458779 FAQ458779 FKM458779 FUI458779 GEE458779 GOA458779 GXW458779 HHS458779 HRO458779 IBK458779 ILG458779 IVC458779 JEY458779 JOU458779 JYQ458779 KIM458779 KSI458779 LCE458779 LMA458779 LVW458779 MFS458779 MPO458779 MZK458779 NJG458779 NTC458779 OCY458779 OMU458779 OWQ458779 PGM458779 PQI458779 QAE458779 QKA458779 QTW458779 RDS458779 RNO458779 RXK458779 SHG458779 SRC458779 TAY458779 TKU458779 TUQ458779 UEM458779 UOI458779 UYE458779 VIA458779 VRW458779 WBS458779 WLO458779 WVK458779 C524315 IY524315 SU524315 ACQ524315 AMM524315 AWI524315 BGE524315 BQA524315 BZW524315 CJS524315 CTO524315 DDK524315 DNG524315 DXC524315 EGY524315 EQU524315 FAQ524315 FKM524315 FUI524315 GEE524315 GOA524315 GXW524315 HHS524315 HRO524315 IBK524315 ILG524315 IVC524315 JEY524315 JOU524315 JYQ524315 KIM524315 KSI524315 LCE524315 LMA524315 LVW524315 MFS524315 MPO524315 MZK524315 NJG524315 NTC524315 OCY524315 OMU524315 OWQ524315 PGM524315 PQI524315 QAE524315 QKA524315 QTW524315 RDS524315 RNO524315 RXK524315 SHG524315 SRC524315 TAY524315 TKU524315 TUQ524315 UEM524315 UOI524315 UYE524315 VIA524315 VRW524315 WBS524315 WLO524315 WVK524315 C589851 IY589851 SU589851 ACQ589851 AMM589851 AWI589851 BGE589851 BQA589851 BZW589851 CJS589851 CTO589851 DDK589851 DNG589851 DXC589851 EGY589851 EQU589851 FAQ589851 FKM589851 FUI589851 GEE589851 GOA589851 GXW589851 HHS589851 HRO589851 IBK589851 ILG589851 IVC589851 JEY589851 JOU589851 JYQ589851 KIM589851 KSI589851 LCE589851 LMA589851 LVW589851 MFS589851 MPO589851 MZK589851 NJG589851 NTC589851 OCY589851 OMU589851 OWQ589851 PGM589851 PQI589851 QAE589851 QKA589851 QTW589851 RDS589851 RNO589851 RXK589851 SHG589851 SRC589851 TAY589851 TKU589851 TUQ589851 UEM589851 UOI589851 UYE589851 VIA589851 VRW589851 WBS589851 WLO589851 WVK589851 C655387 IY655387 SU655387 ACQ655387 AMM655387 AWI655387 BGE655387 BQA655387 BZW655387 CJS655387 CTO655387 DDK655387 DNG655387 DXC655387 EGY655387 EQU655387 FAQ655387 FKM655387 FUI655387 GEE655387 GOA655387 GXW655387 HHS655387 HRO655387 IBK655387 ILG655387 IVC655387 JEY655387 JOU655387 JYQ655387 KIM655387 KSI655387 LCE655387 LMA655387 LVW655387 MFS655387 MPO655387 MZK655387 NJG655387 NTC655387 OCY655387 OMU655387 OWQ655387 PGM655387 PQI655387 QAE655387 QKA655387 QTW655387 RDS655387 RNO655387 RXK655387 SHG655387 SRC655387 TAY655387 TKU655387 TUQ655387 UEM655387 UOI655387 UYE655387 VIA655387 VRW655387 WBS655387 WLO655387 WVK655387 C720923 IY720923 SU720923 ACQ720923 AMM720923 AWI720923 BGE720923 BQA720923 BZW720923 CJS720923 CTO720923 DDK720923 DNG720923 DXC720923 EGY720923 EQU720923 FAQ720923 FKM720923 FUI720923 GEE720923 GOA720923 GXW720923 HHS720923 HRO720923 IBK720923 ILG720923 IVC720923 JEY720923 JOU720923 JYQ720923 KIM720923 KSI720923 LCE720923 LMA720923 LVW720923 MFS720923 MPO720923 MZK720923 NJG720923 NTC720923 OCY720923 OMU720923 OWQ720923 PGM720923 PQI720923 QAE720923 QKA720923 QTW720923 RDS720923 RNO720923 RXK720923 SHG720923 SRC720923 TAY720923 TKU720923 TUQ720923 UEM720923 UOI720923 UYE720923 VIA720923 VRW720923 WBS720923 WLO720923 WVK720923 C786459 IY786459 SU786459 ACQ786459 AMM786459 AWI786459 BGE786459 BQA786459 BZW786459 CJS786459 CTO786459 DDK786459 DNG786459 DXC786459 EGY786459 EQU786459 FAQ786459 FKM786459 FUI786459 GEE786459 GOA786459 GXW786459 HHS786459 HRO786459 IBK786459 ILG786459 IVC786459 JEY786459 JOU786459 JYQ786459 KIM786459 KSI786459 LCE786459 LMA786459 LVW786459 MFS786459 MPO786459 MZK786459 NJG786459 NTC786459 OCY786459 OMU786459 OWQ786459 PGM786459 PQI786459 QAE786459 QKA786459 QTW786459 RDS786459 RNO786459 RXK786459 SHG786459 SRC786459 TAY786459 TKU786459 TUQ786459 UEM786459 UOI786459 UYE786459 VIA786459 VRW786459 WBS786459 WLO786459 WVK786459 C851995 IY851995 SU851995 ACQ851995 AMM851995 AWI851995 BGE851995 BQA851995 BZW851995 CJS851995 CTO851995 DDK851995 DNG851995 DXC851995 EGY851995 EQU851995 FAQ851995 FKM851995 FUI851995 GEE851995 GOA851995 GXW851995 HHS851995 HRO851995 IBK851995 ILG851995 IVC851995 JEY851995 JOU851995 JYQ851995 KIM851995 KSI851995 LCE851995 LMA851995 LVW851995 MFS851995 MPO851995 MZK851995 NJG851995 NTC851995 OCY851995 OMU851995 OWQ851995 PGM851995 PQI851995 QAE851995 QKA851995 QTW851995 RDS851995 RNO851995 RXK851995 SHG851995 SRC851995 TAY851995 TKU851995 TUQ851995 UEM851995 UOI851995 UYE851995 VIA851995 VRW851995 WBS851995 WLO851995 WVK851995 C917531 IY917531 SU917531 ACQ917531 AMM917531 AWI917531 BGE917531 BQA917531 BZW917531 CJS917531 CTO917531 DDK917531 DNG917531 DXC917531 EGY917531 EQU917531 FAQ917531 FKM917531 FUI917531 GEE917531 GOA917531 GXW917531 HHS917531 HRO917531 IBK917531 ILG917531 IVC917531 JEY917531 JOU917531 JYQ917531 KIM917531 KSI917531 LCE917531 LMA917531 LVW917531 MFS917531 MPO917531 MZK917531 NJG917531 NTC917531 OCY917531 OMU917531 OWQ917531 PGM917531 PQI917531 QAE917531 QKA917531 QTW917531 RDS917531 RNO917531 RXK917531 SHG917531 SRC917531 TAY917531 TKU917531 TUQ917531 UEM917531 UOI917531 UYE917531 VIA917531 VRW917531 WBS917531 WLO917531 WVK917531 C983067 IY983067 SU983067 ACQ983067 AMM983067 AWI983067 BGE983067 BQA983067 BZW983067 CJS983067 CTO983067 DDK983067 DNG983067 DXC983067 EGY983067 EQU983067 FAQ983067 FKM983067 FUI983067 GEE983067 GOA983067 GXW983067 HHS983067 HRO983067 IBK983067 ILG983067 IVC983067 JEY983067 JOU983067 JYQ983067 KIM983067 KSI983067 LCE983067 LMA983067 LVW983067 MFS983067 MPO983067 MZK983067 NJG983067 NTC983067 OCY983067 OMU983067 OWQ983067 PGM983067 PQI983067 QAE983067 QKA983067 QTW983067 RDS983067 RNO983067 RXK983067 SHG983067 SRC983067 TAY983067 TKU983067 TUQ983067 UEM983067 UOI983067 UYE983067 VIA983067 VRW983067 WBS983067 WLO983067 WVK983067 E27 JA27 SW27 ACS27 AMO27 AWK27 BGG27 BQC27 BZY27 CJU27 CTQ27 DDM27 DNI27 DXE27 EHA27 EQW27 FAS27 FKO27 FUK27 GEG27 GOC27 GXY27 HHU27 HRQ27 IBM27 ILI27 IVE27 JFA27 JOW27 JYS27 KIO27 KSK27 LCG27 LMC27 LVY27 MFU27 MPQ27 MZM27 NJI27 NTE27 ODA27 OMW27 OWS27 PGO27 PQK27 QAG27 QKC27 QTY27 RDU27 RNQ27 RXM27 SHI27 SRE27 TBA27 TKW27 TUS27 UEO27 UOK27 UYG27 VIC27 VRY27 WBU27 WLQ27 WVM27 E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E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E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E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E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E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E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E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E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E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E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E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E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E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E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WVM983067 G27 JC27 SY27 ACU27 AMQ27 AWM27 BGI27 BQE27 CAA27 CJW27 CTS27 DDO27 DNK27 DXG27 EHC27 EQY27 FAU27 FKQ27 FUM27 GEI27 GOE27 GYA27 HHW27 HRS27 IBO27 ILK27 IVG27 JFC27 JOY27 JYU27 KIQ27 KSM27 LCI27 LME27 LWA27 MFW27 MPS27 MZO27 NJK27 NTG27 ODC27 OMY27 OWU27 PGQ27 PQM27 QAI27 QKE27 QUA27 RDW27 RNS27 RXO27 SHK27 SRG27 TBC27 TKY27 TUU27 UEQ27 UOM27 UYI27 VIE27 VSA27 WBW27 WLS27 WVO27 G65563 JC65563 SY65563 ACU65563 AMQ65563 AWM65563 BGI65563 BQE65563 CAA65563 CJW65563 CTS65563 DDO65563 DNK65563 DXG65563 EHC65563 EQY65563 FAU65563 FKQ65563 FUM65563 GEI65563 GOE65563 GYA65563 HHW65563 HRS65563 IBO65563 ILK65563 IVG65563 JFC65563 JOY65563 JYU65563 KIQ65563 KSM65563 LCI65563 LME65563 LWA65563 MFW65563 MPS65563 MZO65563 NJK65563 NTG65563 ODC65563 OMY65563 OWU65563 PGQ65563 PQM65563 QAI65563 QKE65563 QUA65563 RDW65563 RNS65563 RXO65563 SHK65563 SRG65563 TBC65563 TKY65563 TUU65563 UEQ65563 UOM65563 UYI65563 VIE65563 VSA65563 WBW65563 WLS65563 WVO65563 G131099 JC131099 SY131099 ACU131099 AMQ131099 AWM131099 BGI131099 BQE131099 CAA131099 CJW131099 CTS131099 DDO131099 DNK131099 DXG131099 EHC131099 EQY131099 FAU131099 FKQ131099 FUM131099 GEI131099 GOE131099 GYA131099 HHW131099 HRS131099 IBO131099 ILK131099 IVG131099 JFC131099 JOY131099 JYU131099 KIQ131099 KSM131099 LCI131099 LME131099 LWA131099 MFW131099 MPS131099 MZO131099 NJK131099 NTG131099 ODC131099 OMY131099 OWU131099 PGQ131099 PQM131099 QAI131099 QKE131099 QUA131099 RDW131099 RNS131099 RXO131099 SHK131099 SRG131099 TBC131099 TKY131099 TUU131099 UEQ131099 UOM131099 UYI131099 VIE131099 VSA131099 WBW131099 WLS131099 WVO131099 G196635 JC196635 SY196635 ACU196635 AMQ196635 AWM196635 BGI196635 BQE196635 CAA196635 CJW196635 CTS196635 DDO196635 DNK196635 DXG196635 EHC196635 EQY196635 FAU196635 FKQ196635 FUM196635 GEI196635 GOE196635 GYA196635 HHW196635 HRS196635 IBO196635 ILK196635 IVG196635 JFC196635 JOY196635 JYU196635 KIQ196635 KSM196635 LCI196635 LME196635 LWA196635 MFW196635 MPS196635 MZO196635 NJK196635 NTG196635 ODC196635 OMY196635 OWU196635 PGQ196635 PQM196635 QAI196635 QKE196635 QUA196635 RDW196635 RNS196635 RXO196635 SHK196635 SRG196635 TBC196635 TKY196635 TUU196635 UEQ196635 UOM196635 UYI196635 VIE196635 VSA196635 WBW196635 WLS196635 WVO196635 G262171 JC262171 SY262171 ACU262171 AMQ262171 AWM262171 BGI262171 BQE262171 CAA262171 CJW262171 CTS262171 DDO262171 DNK262171 DXG262171 EHC262171 EQY262171 FAU262171 FKQ262171 FUM262171 GEI262171 GOE262171 GYA262171 HHW262171 HRS262171 IBO262171 ILK262171 IVG262171 JFC262171 JOY262171 JYU262171 KIQ262171 KSM262171 LCI262171 LME262171 LWA262171 MFW262171 MPS262171 MZO262171 NJK262171 NTG262171 ODC262171 OMY262171 OWU262171 PGQ262171 PQM262171 QAI262171 QKE262171 QUA262171 RDW262171 RNS262171 RXO262171 SHK262171 SRG262171 TBC262171 TKY262171 TUU262171 UEQ262171 UOM262171 UYI262171 VIE262171 VSA262171 WBW262171 WLS262171 WVO262171 G327707 JC327707 SY327707 ACU327707 AMQ327707 AWM327707 BGI327707 BQE327707 CAA327707 CJW327707 CTS327707 DDO327707 DNK327707 DXG327707 EHC327707 EQY327707 FAU327707 FKQ327707 FUM327707 GEI327707 GOE327707 GYA327707 HHW327707 HRS327707 IBO327707 ILK327707 IVG327707 JFC327707 JOY327707 JYU327707 KIQ327707 KSM327707 LCI327707 LME327707 LWA327707 MFW327707 MPS327707 MZO327707 NJK327707 NTG327707 ODC327707 OMY327707 OWU327707 PGQ327707 PQM327707 QAI327707 QKE327707 QUA327707 RDW327707 RNS327707 RXO327707 SHK327707 SRG327707 TBC327707 TKY327707 TUU327707 UEQ327707 UOM327707 UYI327707 VIE327707 VSA327707 WBW327707 WLS327707 WVO327707 G393243 JC393243 SY393243 ACU393243 AMQ393243 AWM393243 BGI393243 BQE393243 CAA393243 CJW393243 CTS393243 DDO393243 DNK393243 DXG393243 EHC393243 EQY393243 FAU393243 FKQ393243 FUM393243 GEI393243 GOE393243 GYA393243 HHW393243 HRS393243 IBO393243 ILK393243 IVG393243 JFC393243 JOY393243 JYU393243 KIQ393243 KSM393243 LCI393243 LME393243 LWA393243 MFW393243 MPS393243 MZO393243 NJK393243 NTG393243 ODC393243 OMY393243 OWU393243 PGQ393243 PQM393243 QAI393243 QKE393243 QUA393243 RDW393243 RNS393243 RXO393243 SHK393243 SRG393243 TBC393243 TKY393243 TUU393243 UEQ393243 UOM393243 UYI393243 VIE393243 VSA393243 WBW393243 WLS393243 WVO393243 G458779 JC458779 SY458779 ACU458779 AMQ458779 AWM458779 BGI458779 BQE458779 CAA458779 CJW458779 CTS458779 DDO458779 DNK458779 DXG458779 EHC458779 EQY458779 FAU458779 FKQ458779 FUM458779 GEI458779 GOE458779 GYA458779 HHW458779 HRS458779 IBO458779 ILK458779 IVG458779 JFC458779 JOY458779 JYU458779 KIQ458779 KSM458779 LCI458779 LME458779 LWA458779 MFW458779 MPS458779 MZO458779 NJK458779 NTG458779 ODC458779 OMY458779 OWU458779 PGQ458779 PQM458779 QAI458779 QKE458779 QUA458779 RDW458779 RNS458779 RXO458779 SHK458779 SRG458779 TBC458779 TKY458779 TUU458779 UEQ458779 UOM458779 UYI458779 VIE458779 VSA458779 WBW458779 WLS458779 WVO458779 G524315 JC524315 SY524315 ACU524315 AMQ524315 AWM524315 BGI524315 BQE524315 CAA524315 CJW524315 CTS524315 DDO524315 DNK524315 DXG524315 EHC524315 EQY524315 FAU524315 FKQ524315 FUM524315 GEI524315 GOE524315 GYA524315 HHW524315 HRS524315 IBO524315 ILK524315 IVG524315 JFC524315 JOY524315 JYU524315 KIQ524315 KSM524315 LCI524315 LME524315 LWA524315 MFW524315 MPS524315 MZO524315 NJK524315 NTG524315 ODC524315 OMY524315 OWU524315 PGQ524315 PQM524315 QAI524315 QKE524315 QUA524315 RDW524315 RNS524315 RXO524315 SHK524315 SRG524315 TBC524315 TKY524315 TUU524315 UEQ524315 UOM524315 UYI524315 VIE524315 VSA524315 WBW524315 WLS524315 WVO524315 G589851 JC589851 SY589851 ACU589851 AMQ589851 AWM589851 BGI589851 BQE589851 CAA589851 CJW589851 CTS589851 DDO589851 DNK589851 DXG589851 EHC589851 EQY589851 FAU589851 FKQ589851 FUM589851 GEI589851 GOE589851 GYA589851 HHW589851 HRS589851 IBO589851 ILK589851 IVG589851 JFC589851 JOY589851 JYU589851 KIQ589851 KSM589851 LCI589851 LME589851 LWA589851 MFW589851 MPS589851 MZO589851 NJK589851 NTG589851 ODC589851 OMY589851 OWU589851 PGQ589851 PQM589851 QAI589851 QKE589851 QUA589851 RDW589851 RNS589851 RXO589851 SHK589851 SRG589851 TBC589851 TKY589851 TUU589851 UEQ589851 UOM589851 UYI589851 VIE589851 VSA589851 WBW589851 WLS589851 WVO589851 G655387 JC655387 SY655387 ACU655387 AMQ655387 AWM655387 BGI655387 BQE655387 CAA655387 CJW655387 CTS655387 DDO655387 DNK655387 DXG655387 EHC655387 EQY655387 FAU655387 FKQ655387 FUM655387 GEI655387 GOE655387 GYA655387 HHW655387 HRS655387 IBO655387 ILK655387 IVG655387 JFC655387 JOY655387 JYU655387 KIQ655387 KSM655387 LCI655387 LME655387 LWA655387 MFW655387 MPS655387 MZO655387 NJK655387 NTG655387 ODC655387 OMY655387 OWU655387 PGQ655387 PQM655387 QAI655387 QKE655387 QUA655387 RDW655387 RNS655387 RXO655387 SHK655387 SRG655387 TBC655387 TKY655387 TUU655387 UEQ655387 UOM655387 UYI655387 VIE655387 VSA655387 WBW655387 WLS655387 WVO655387 G720923 JC720923 SY720923 ACU720923 AMQ720923 AWM720923 BGI720923 BQE720923 CAA720923 CJW720923 CTS720923 DDO720923 DNK720923 DXG720923 EHC720923 EQY720923 FAU720923 FKQ720923 FUM720923 GEI720923 GOE720923 GYA720923 HHW720923 HRS720923 IBO720923 ILK720923 IVG720923 JFC720923 JOY720923 JYU720923 KIQ720923 KSM720923 LCI720923 LME720923 LWA720923 MFW720923 MPS720923 MZO720923 NJK720923 NTG720923 ODC720923 OMY720923 OWU720923 PGQ720923 PQM720923 QAI720923 QKE720923 QUA720923 RDW720923 RNS720923 RXO720923 SHK720923 SRG720923 TBC720923 TKY720923 TUU720923 UEQ720923 UOM720923 UYI720923 VIE720923 VSA720923 WBW720923 WLS720923 WVO720923 G786459 JC786459 SY786459 ACU786459 AMQ786459 AWM786459 BGI786459 BQE786459 CAA786459 CJW786459 CTS786459 DDO786459 DNK786459 DXG786459 EHC786459 EQY786459 FAU786459 FKQ786459 FUM786459 GEI786459 GOE786459 GYA786459 HHW786459 HRS786459 IBO786459 ILK786459 IVG786459 JFC786459 JOY786459 JYU786459 KIQ786459 KSM786459 LCI786459 LME786459 LWA786459 MFW786459 MPS786459 MZO786459 NJK786459 NTG786459 ODC786459 OMY786459 OWU786459 PGQ786459 PQM786459 QAI786459 QKE786459 QUA786459 RDW786459 RNS786459 RXO786459 SHK786459 SRG786459 TBC786459 TKY786459 TUU786459 UEQ786459 UOM786459 UYI786459 VIE786459 VSA786459 WBW786459 WLS786459 WVO786459 G851995 JC851995 SY851995 ACU851995 AMQ851995 AWM851995 BGI851995 BQE851995 CAA851995 CJW851995 CTS851995 DDO851995 DNK851995 DXG851995 EHC851995 EQY851995 FAU851995 FKQ851995 FUM851995 GEI851995 GOE851995 GYA851995 HHW851995 HRS851995 IBO851995 ILK851995 IVG851995 JFC851995 JOY851995 JYU851995 KIQ851995 KSM851995 LCI851995 LME851995 LWA851995 MFW851995 MPS851995 MZO851995 NJK851995 NTG851995 ODC851995 OMY851995 OWU851995 PGQ851995 PQM851995 QAI851995 QKE851995 QUA851995 RDW851995 RNS851995 RXO851995 SHK851995 SRG851995 TBC851995 TKY851995 TUU851995 UEQ851995 UOM851995 UYI851995 VIE851995 VSA851995 WBW851995 WLS851995 WVO851995 G917531 JC917531 SY917531 ACU917531 AMQ917531 AWM917531 BGI917531 BQE917531 CAA917531 CJW917531 CTS917531 DDO917531 DNK917531 DXG917531 EHC917531 EQY917531 FAU917531 FKQ917531 FUM917531 GEI917531 GOE917531 GYA917531 HHW917531 HRS917531 IBO917531 ILK917531 IVG917531 JFC917531 JOY917531 JYU917531 KIQ917531 KSM917531 LCI917531 LME917531 LWA917531 MFW917531 MPS917531 MZO917531 NJK917531 NTG917531 ODC917531 OMY917531 OWU917531 PGQ917531 PQM917531 QAI917531 QKE917531 QUA917531 RDW917531 RNS917531 RXO917531 SHK917531 SRG917531 TBC917531 TKY917531 TUU917531 UEQ917531 UOM917531 UYI917531 VIE917531 VSA917531 WBW917531 WLS917531 WVO917531 G983067 JC983067 SY983067 ACU983067 AMQ983067 AWM983067 BGI983067 BQE983067 CAA983067 CJW983067 CTS983067 DDO983067 DNK983067 DXG983067 EHC983067 EQY983067 FAU983067 FKQ983067 FUM983067 GEI983067 GOE983067 GYA983067 HHW983067 HRS983067 IBO983067 ILK983067 IVG983067 JFC983067 JOY983067 JYU983067 KIQ983067 KSM983067 LCI983067 LME983067 LWA983067 MFW983067 MPS983067 MZO983067 NJK983067 NTG983067 ODC983067 OMY983067 OWU983067 PGQ983067 PQM983067 QAI983067 QKE983067 QUA983067 RDW983067 RNS983067 RXO983067 SHK983067 SRG983067 TBC983067 TKY983067 TUU983067 UEQ983067 UOM983067 UYI983067 VIE983067 VSA983067 WBW983067 WLS983067 WVO983067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formula1>办公楼层</formula1>
    </dataValidation>
    <dataValidation type="list" allowBlank="1" showInputMessage="1" showErrorMessage="1" sqref="C28 IY28 SU28 ACQ28 AMM28 AWI28 BGE28 BQA28 BZW28 CJS28 CTO28 DDK28 DNG28 DXC28 EGY28 EQU28 FAQ28 FKM28 FUI28 GEE28 GOA28 GXW28 HHS28 HRO28 IBK28 ILG28 IVC28 JEY28 JOU28 JYQ28 KIM28 KSI28 LCE28 LMA28 LVW28 MFS28 MPO28 MZK28 NJG28 NTC28 OCY28 OMU28 OWQ28 PGM28 PQI28 QAE28 QKA28 QTW28 RDS28 RNO28 RXK28 SHG28 SRC28 TAY28 TKU28 TUQ28 UEM28 UOI28 UYE28 VIA28 VRW28 WBS28 WLO28 WVK28 C65564 IY65564 SU65564 ACQ65564 AMM65564 AWI65564 BGE65564 BQA65564 BZW65564 CJS65564 CTO65564 DDK65564 DNG65564 DXC65564 EGY65564 EQU65564 FAQ65564 FKM65564 FUI65564 GEE65564 GOA65564 GXW65564 HHS65564 HRO65564 IBK65564 ILG65564 IVC65564 JEY65564 JOU65564 JYQ65564 KIM65564 KSI65564 LCE65564 LMA65564 LVW65564 MFS65564 MPO65564 MZK65564 NJG65564 NTC65564 OCY65564 OMU65564 OWQ65564 PGM65564 PQI65564 QAE65564 QKA65564 QTW65564 RDS65564 RNO65564 RXK65564 SHG65564 SRC65564 TAY65564 TKU65564 TUQ65564 UEM65564 UOI65564 UYE65564 VIA65564 VRW65564 WBS65564 WLO65564 WVK65564 C131100 IY131100 SU131100 ACQ131100 AMM131100 AWI131100 BGE131100 BQA131100 BZW131100 CJS131100 CTO131100 DDK131100 DNG131100 DXC131100 EGY131100 EQU131100 FAQ131100 FKM131100 FUI131100 GEE131100 GOA131100 GXW131100 HHS131100 HRO131100 IBK131100 ILG131100 IVC131100 JEY131100 JOU131100 JYQ131100 KIM131100 KSI131100 LCE131100 LMA131100 LVW131100 MFS131100 MPO131100 MZK131100 NJG131100 NTC131100 OCY131100 OMU131100 OWQ131100 PGM131100 PQI131100 QAE131100 QKA131100 QTW131100 RDS131100 RNO131100 RXK131100 SHG131100 SRC131100 TAY131100 TKU131100 TUQ131100 UEM131100 UOI131100 UYE131100 VIA131100 VRW131100 WBS131100 WLO131100 WVK131100 C196636 IY196636 SU196636 ACQ196636 AMM196636 AWI196636 BGE196636 BQA196636 BZW196636 CJS196636 CTO196636 DDK196636 DNG196636 DXC196636 EGY196636 EQU196636 FAQ196636 FKM196636 FUI196636 GEE196636 GOA196636 GXW196636 HHS196636 HRO196636 IBK196636 ILG196636 IVC196636 JEY196636 JOU196636 JYQ196636 KIM196636 KSI196636 LCE196636 LMA196636 LVW196636 MFS196636 MPO196636 MZK196636 NJG196636 NTC196636 OCY196636 OMU196636 OWQ196636 PGM196636 PQI196636 QAE196636 QKA196636 QTW196636 RDS196636 RNO196636 RXK196636 SHG196636 SRC196636 TAY196636 TKU196636 TUQ196636 UEM196636 UOI196636 UYE196636 VIA196636 VRW196636 WBS196636 WLO196636 WVK196636 C262172 IY262172 SU262172 ACQ262172 AMM262172 AWI262172 BGE262172 BQA262172 BZW262172 CJS262172 CTO262172 DDK262172 DNG262172 DXC262172 EGY262172 EQU262172 FAQ262172 FKM262172 FUI262172 GEE262172 GOA262172 GXW262172 HHS262172 HRO262172 IBK262172 ILG262172 IVC262172 JEY262172 JOU262172 JYQ262172 KIM262172 KSI262172 LCE262172 LMA262172 LVW262172 MFS262172 MPO262172 MZK262172 NJG262172 NTC262172 OCY262172 OMU262172 OWQ262172 PGM262172 PQI262172 QAE262172 QKA262172 QTW262172 RDS262172 RNO262172 RXK262172 SHG262172 SRC262172 TAY262172 TKU262172 TUQ262172 UEM262172 UOI262172 UYE262172 VIA262172 VRW262172 WBS262172 WLO262172 WVK262172 C327708 IY327708 SU327708 ACQ327708 AMM327708 AWI327708 BGE327708 BQA327708 BZW327708 CJS327708 CTO327708 DDK327708 DNG327708 DXC327708 EGY327708 EQU327708 FAQ327708 FKM327708 FUI327708 GEE327708 GOA327708 GXW327708 HHS327708 HRO327708 IBK327708 ILG327708 IVC327708 JEY327708 JOU327708 JYQ327708 KIM327708 KSI327708 LCE327708 LMA327708 LVW327708 MFS327708 MPO327708 MZK327708 NJG327708 NTC327708 OCY327708 OMU327708 OWQ327708 PGM327708 PQI327708 QAE327708 QKA327708 QTW327708 RDS327708 RNO327708 RXK327708 SHG327708 SRC327708 TAY327708 TKU327708 TUQ327708 UEM327708 UOI327708 UYE327708 VIA327708 VRW327708 WBS327708 WLO327708 WVK327708 C393244 IY393244 SU393244 ACQ393244 AMM393244 AWI393244 BGE393244 BQA393244 BZW393244 CJS393244 CTO393244 DDK393244 DNG393244 DXC393244 EGY393244 EQU393244 FAQ393244 FKM393244 FUI393244 GEE393244 GOA393244 GXW393244 HHS393244 HRO393244 IBK393244 ILG393244 IVC393244 JEY393244 JOU393244 JYQ393244 KIM393244 KSI393244 LCE393244 LMA393244 LVW393244 MFS393244 MPO393244 MZK393244 NJG393244 NTC393244 OCY393244 OMU393244 OWQ393244 PGM393244 PQI393244 QAE393244 QKA393244 QTW393244 RDS393244 RNO393244 RXK393244 SHG393244 SRC393244 TAY393244 TKU393244 TUQ393244 UEM393244 UOI393244 UYE393244 VIA393244 VRW393244 WBS393244 WLO393244 WVK393244 C458780 IY458780 SU458780 ACQ458780 AMM458780 AWI458780 BGE458780 BQA458780 BZW458780 CJS458780 CTO458780 DDK458780 DNG458780 DXC458780 EGY458780 EQU458780 FAQ458780 FKM458780 FUI458780 GEE458780 GOA458780 GXW458780 HHS458780 HRO458780 IBK458780 ILG458780 IVC458780 JEY458780 JOU458780 JYQ458780 KIM458780 KSI458780 LCE458780 LMA458780 LVW458780 MFS458780 MPO458780 MZK458780 NJG458780 NTC458780 OCY458780 OMU458780 OWQ458780 PGM458780 PQI458780 QAE458780 QKA458780 QTW458780 RDS458780 RNO458780 RXK458780 SHG458780 SRC458780 TAY458780 TKU458780 TUQ458780 UEM458780 UOI458780 UYE458780 VIA458780 VRW458780 WBS458780 WLO458780 WVK458780 C524316 IY524316 SU524316 ACQ524316 AMM524316 AWI524316 BGE524316 BQA524316 BZW524316 CJS524316 CTO524316 DDK524316 DNG524316 DXC524316 EGY524316 EQU524316 FAQ524316 FKM524316 FUI524316 GEE524316 GOA524316 GXW524316 HHS524316 HRO524316 IBK524316 ILG524316 IVC524316 JEY524316 JOU524316 JYQ524316 KIM524316 KSI524316 LCE524316 LMA524316 LVW524316 MFS524316 MPO524316 MZK524316 NJG524316 NTC524316 OCY524316 OMU524316 OWQ524316 PGM524316 PQI524316 QAE524316 QKA524316 QTW524316 RDS524316 RNO524316 RXK524316 SHG524316 SRC524316 TAY524316 TKU524316 TUQ524316 UEM524316 UOI524316 UYE524316 VIA524316 VRW524316 WBS524316 WLO524316 WVK524316 C589852 IY589852 SU589852 ACQ589852 AMM589852 AWI589852 BGE589852 BQA589852 BZW589852 CJS589852 CTO589852 DDK589852 DNG589852 DXC589852 EGY589852 EQU589852 FAQ589852 FKM589852 FUI589852 GEE589852 GOA589852 GXW589852 HHS589852 HRO589852 IBK589852 ILG589852 IVC589852 JEY589852 JOU589852 JYQ589852 KIM589852 KSI589852 LCE589852 LMA589852 LVW589852 MFS589852 MPO589852 MZK589852 NJG589852 NTC589852 OCY589852 OMU589852 OWQ589852 PGM589852 PQI589852 QAE589852 QKA589852 QTW589852 RDS589852 RNO589852 RXK589852 SHG589852 SRC589852 TAY589852 TKU589852 TUQ589852 UEM589852 UOI589852 UYE589852 VIA589852 VRW589852 WBS589852 WLO589852 WVK589852 C655388 IY655388 SU655388 ACQ655388 AMM655388 AWI655388 BGE655388 BQA655388 BZW655388 CJS655388 CTO655388 DDK655388 DNG655388 DXC655388 EGY655388 EQU655388 FAQ655388 FKM655388 FUI655388 GEE655388 GOA655388 GXW655388 HHS655388 HRO655388 IBK655388 ILG655388 IVC655388 JEY655388 JOU655388 JYQ655388 KIM655388 KSI655388 LCE655388 LMA655388 LVW655388 MFS655388 MPO655388 MZK655388 NJG655388 NTC655388 OCY655388 OMU655388 OWQ655388 PGM655388 PQI655388 QAE655388 QKA655388 QTW655388 RDS655388 RNO655388 RXK655388 SHG655388 SRC655388 TAY655388 TKU655388 TUQ655388 UEM655388 UOI655388 UYE655388 VIA655388 VRW655388 WBS655388 WLO655388 WVK655388 C720924 IY720924 SU720924 ACQ720924 AMM720924 AWI720924 BGE720924 BQA720924 BZW720924 CJS720924 CTO720924 DDK720924 DNG720924 DXC720924 EGY720924 EQU720924 FAQ720924 FKM720924 FUI720924 GEE720924 GOA720924 GXW720924 HHS720924 HRO720924 IBK720924 ILG720924 IVC720924 JEY720924 JOU720924 JYQ720924 KIM720924 KSI720924 LCE720924 LMA720924 LVW720924 MFS720924 MPO720924 MZK720924 NJG720924 NTC720924 OCY720924 OMU720924 OWQ720924 PGM720924 PQI720924 QAE720924 QKA720924 QTW720924 RDS720924 RNO720924 RXK720924 SHG720924 SRC720924 TAY720924 TKU720924 TUQ720924 UEM720924 UOI720924 UYE720924 VIA720924 VRW720924 WBS720924 WLO720924 WVK720924 C786460 IY786460 SU786460 ACQ786460 AMM786460 AWI786460 BGE786460 BQA786460 BZW786460 CJS786460 CTO786460 DDK786460 DNG786460 DXC786460 EGY786460 EQU786460 FAQ786460 FKM786460 FUI786460 GEE786460 GOA786460 GXW786460 HHS786460 HRO786460 IBK786460 ILG786460 IVC786460 JEY786460 JOU786460 JYQ786460 KIM786460 KSI786460 LCE786460 LMA786460 LVW786460 MFS786460 MPO786460 MZK786460 NJG786460 NTC786460 OCY786460 OMU786460 OWQ786460 PGM786460 PQI786460 QAE786460 QKA786460 QTW786460 RDS786460 RNO786460 RXK786460 SHG786460 SRC786460 TAY786460 TKU786460 TUQ786460 UEM786460 UOI786460 UYE786460 VIA786460 VRW786460 WBS786460 WLO786460 WVK786460 C851996 IY851996 SU851996 ACQ851996 AMM851996 AWI851996 BGE851996 BQA851996 BZW851996 CJS851996 CTO851996 DDK851996 DNG851996 DXC851996 EGY851996 EQU851996 FAQ851996 FKM851996 FUI851996 GEE851996 GOA851996 GXW851996 HHS851996 HRO851996 IBK851996 ILG851996 IVC851996 JEY851996 JOU851996 JYQ851996 KIM851996 KSI851996 LCE851996 LMA851996 LVW851996 MFS851996 MPO851996 MZK851996 NJG851996 NTC851996 OCY851996 OMU851996 OWQ851996 PGM851996 PQI851996 QAE851996 QKA851996 QTW851996 RDS851996 RNO851996 RXK851996 SHG851996 SRC851996 TAY851996 TKU851996 TUQ851996 UEM851996 UOI851996 UYE851996 VIA851996 VRW851996 WBS851996 WLO851996 WVK851996 C917532 IY917532 SU917532 ACQ917532 AMM917532 AWI917532 BGE917532 BQA917532 BZW917532 CJS917532 CTO917532 DDK917532 DNG917532 DXC917532 EGY917532 EQU917532 FAQ917532 FKM917532 FUI917532 GEE917532 GOA917532 GXW917532 HHS917532 HRO917532 IBK917532 ILG917532 IVC917532 JEY917532 JOU917532 JYQ917532 KIM917532 KSI917532 LCE917532 LMA917532 LVW917532 MFS917532 MPO917532 MZK917532 NJG917532 NTC917532 OCY917532 OMU917532 OWQ917532 PGM917532 PQI917532 QAE917532 QKA917532 QTW917532 RDS917532 RNO917532 RXK917532 SHG917532 SRC917532 TAY917532 TKU917532 TUQ917532 UEM917532 UOI917532 UYE917532 VIA917532 VRW917532 WBS917532 WLO917532 WVK917532 C983068 IY983068 SU983068 ACQ983068 AMM983068 AWI983068 BGE983068 BQA983068 BZW983068 CJS983068 CTO983068 DDK983068 DNG983068 DXC983068 EGY983068 EQU983068 FAQ983068 FKM983068 FUI983068 GEE983068 GOA983068 GXW983068 HHS983068 HRO983068 IBK983068 ILG983068 IVC983068 JEY983068 JOU983068 JYQ983068 KIM983068 KSI983068 LCE983068 LMA983068 LVW983068 MFS983068 MPO983068 MZK983068 NJG983068 NTC983068 OCY983068 OMU983068 OWQ983068 PGM983068 PQI983068 QAE983068 QKA983068 QTW983068 RDS983068 RNO983068 RXK983068 SHG983068 SRC983068 TAY983068 TKU983068 TUQ983068 UEM983068 UOI983068 UYE983068 VIA983068 VRW983068 WBS983068 WLO983068 WVK983068 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formula1>办公朝向</formula1>
    </dataValidation>
    <dataValidation type="list" allowBlank="1" showInputMessage="1" showErrorMessage="1" sqref="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I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I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I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I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I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I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I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I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I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I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I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I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I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I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WVQ983066">
      <formula1>办公道路级别</formula1>
    </dataValidation>
    <dataValidation type="list" allowBlank="1" showInputMessage="1" showErrorMessage="1"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E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E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E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E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E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E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E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E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E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E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E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E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E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E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WVM983056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I16 JE16 TA16 ACW16 AMS16 AWO16 BGK16 BQG16 CAC16 CJY16 CTU16 DDQ16 DNM16 DXI16 EHE16 ERA16 FAW16 FKS16 FUO16 GEK16 GOG16 GYC16 HHY16 HRU16 IBQ16 ILM16 IVI16 JFE16 JPA16 JYW16 KIS16 KSO16 LCK16 LMG16 LWC16 MFY16 MPU16 MZQ16 NJM16 NTI16 ODE16 ONA16 OWW16 PGS16 PQO16 QAK16 QKG16 QUC16 RDY16 RNU16 RXQ16 SHM16 SRI16 TBE16 TLA16 TUW16 UES16 UOO16 UYK16 VIG16 VSC16 WBY16 WLU16 WVQ16 I65552 JE65552 TA65552 ACW65552 AMS65552 AWO65552 BGK65552 BQG65552 CAC65552 CJY65552 CTU65552 DDQ65552 DNM65552 DXI65552 EHE65552 ERA65552 FAW65552 FKS65552 FUO65552 GEK65552 GOG65552 GYC65552 HHY65552 HRU65552 IBQ65552 ILM65552 IVI65552 JFE65552 JPA65552 JYW65552 KIS65552 KSO65552 LCK65552 LMG65552 LWC65552 MFY65552 MPU65552 MZQ65552 NJM65552 NTI65552 ODE65552 ONA65552 OWW65552 PGS65552 PQO65552 QAK65552 QKG65552 QUC65552 RDY65552 RNU65552 RXQ65552 SHM65552 SRI65552 TBE65552 TLA65552 TUW65552 UES65552 UOO65552 UYK65552 VIG65552 VSC65552 WBY65552 WLU65552 WVQ65552 I131088 JE131088 TA131088 ACW131088 AMS131088 AWO131088 BGK131088 BQG131088 CAC131088 CJY131088 CTU131088 DDQ131088 DNM131088 DXI131088 EHE131088 ERA131088 FAW131088 FKS131088 FUO131088 GEK131088 GOG131088 GYC131088 HHY131088 HRU131088 IBQ131088 ILM131088 IVI131088 JFE131088 JPA131088 JYW131088 KIS131088 KSO131088 LCK131088 LMG131088 LWC131088 MFY131088 MPU131088 MZQ131088 NJM131088 NTI131088 ODE131088 ONA131088 OWW131088 PGS131088 PQO131088 QAK131088 QKG131088 QUC131088 RDY131088 RNU131088 RXQ131088 SHM131088 SRI131088 TBE131088 TLA131088 TUW131088 UES131088 UOO131088 UYK131088 VIG131088 VSC131088 WBY131088 WLU131088 WVQ131088 I196624 JE196624 TA196624 ACW196624 AMS196624 AWO196624 BGK196624 BQG196624 CAC196624 CJY196624 CTU196624 DDQ196624 DNM196624 DXI196624 EHE196624 ERA196624 FAW196624 FKS196624 FUO196624 GEK196624 GOG196624 GYC196624 HHY196624 HRU196624 IBQ196624 ILM196624 IVI196624 JFE196624 JPA196624 JYW196624 KIS196624 KSO196624 LCK196624 LMG196624 LWC196624 MFY196624 MPU196624 MZQ196624 NJM196624 NTI196624 ODE196624 ONA196624 OWW196624 PGS196624 PQO196624 QAK196624 QKG196624 QUC196624 RDY196624 RNU196624 RXQ196624 SHM196624 SRI196624 TBE196624 TLA196624 TUW196624 UES196624 UOO196624 UYK196624 VIG196624 VSC196624 WBY196624 WLU196624 WVQ196624 I262160 JE262160 TA262160 ACW262160 AMS262160 AWO262160 BGK262160 BQG262160 CAC262160 CJY262160 CTU262160 DDQ262160 DNM262160 DXI262160 EHE262160 ERA262160 FAW262160 FKS262160 FUO262160 GEK262160 GOG262160 GYC262160 HHY262160 HRU262160 IBQ262160 ILM262160 IVI262160 JFE262160 JPA262160 JYW262160 KIS262160 KSO262160 LCK262160 LMG262160 LWC262160 MFY262160 MPU262160 MZQ262160 NJM262160 NTI262160 ODE262160 ONA262160 OWW262160 PGS262160 PQO262160 QAK262160 QKG262160 QUC262160 RDY262160 RNU262160 RXQ262160 SHM262160 SRI262160 TBE262160 TLA262160 TUW262160 UES262160 UOO262160 UYK262160 VIG262160 VSC262160 WBY262160 WLU262160 WVQ262160 I327696 JE327696 TA327696 ACW327696 AMS327696 AWO327696 BGK327696 BQG327696 CAC327696 CJY327696 CTU327696 DDQ327696 DNM327696 DXI327696 EHE327696 ERA327696 FAW327696 FKS327696 FUO327696 GEK327696 GOG327696 GYC327696 HHY327696 HRU327696 IBQ327696 ILM327696 IVI327696 JFE327696 JPA327696 JYW327696 KIS327696 KSO327696 LCK327696 LMG327696 LWC327696 MFY327696 MPU327696 MZQ327696 NJM327696 NTI327696 ODE327696 ONA327696 OWW327696 PGS327696 PQO327696 QAK327696 QKG327696 QUC327696 RDY327696 RNU327696 RXQ327696 SHM327696 SRI327696 TBE327696 TLA327696 TUW327696 UES327696 UOO327696 UYK327696 VIG327696 VSC327696 WBY327696 WLU327696 WVQ327696 I393232 JE393232 TA393232 ACW393232 AMS393232 AWO393232 BGK393232 BQG393232 CAC393232 CJY393232 CTU393232 DDQ393232 DNM393232 DXI393232 EHE393232 ERA393232 FAW393232 FKS393232 FUO393232 GEK393232 GOG393232 GYC393232 HHY393232 HRU393232 IBQ393232 ILM393232 IVI393232 JFE393232 JPA393232 JYW393232 KIS393232 KSO393232 LCK393232 LMG393232 LWC393232 MFY393232 MPU393232 MZQ393232 NJM393232 NTI393232 ODE393232 ONA393232 OWW393232 PGS393232 PQO393232 QAK393232 QKG393232 QUC393232 RDY393232 RNU393232 RXQ393232 SHM393232 SRI393232 TBE393232 TLA393232 TUW393232 UES393232 UOO393232 UYK393232 VIG393232 VSC393232 WBY393232 WLU393232 WVQ393232 I458768 JE458768 TA458768 ACW458768 AMS458768 AWO458768 BGK458768 BQG458768 CAC458768 CJY458768 CTU458768 DDQ458768 DNM458768 DXI458768 EHE458768 ERA458768 FAW458768 FKS458768 FUO458768 GEK458768 GOG458768 GYC458768 HHY458768 HRU458768 IBQ458768 ILM458768 IVI458768 JFE458768 JPA458768 JYW458768 KIS458768 KSO458768 LCK458768 LMG458768 LWC458768 MFY458768 MPU458768 MZQ458768 NJM458768 NTI458768 ODE458768 ONA458768 OWW458768 PGS458768 PQO458768 QAK458768 QKG458768 QUC458768 RDY458768 RNU458768 RXQ458768 SHM458768 SRI458768 TBE458768 TLA458768 TUW458768 UES458768 UOO458768 UYK458768 VIG458768 VSC458768 WBY458768 WLU458768 WVQ458768 I524304 JE524304 TA524304 ACW524304 AMS524304 AWO524304 BGK524304 BQG524304 CAC524304 CJY524304 CTU524304 DDQ524304 DNM524304 DXI524304 EHE524304 ERA524304 FAW524304 FKS524304 FUO524304 GEK524304 GOG524304 GYC524304 HHY524304 HRU524304 IBQ524304 ILM524304 IVI524304 JFE524304 JPA524304 JYW524304 KIS524304 KSO524304 LCK524304 LMG524304 LWC524304 MFY524304 MPU524304 MZQ524304 NJM524304 NTI524304 ODE524304 ONA524304 OWW524304 PGS524304 PQO524304 QAK524304 QKG524304 QUC524304 RDY524304 RNU524304 RXQ524304 SHM524304 SRI524304 TBE524304 TLA524304 TUW524304 UES524304 UOO524304 UYK524304 VIG524304 VSC524304 WBY524304 WLU524304 WVQ524304 I589840 JE589840 TA589840 ACW589840 AMS589840 AWO589840 BGK589840 BQG589840 CAC589840 CJY589840 CTU589840 DDQ589840 DNM589840 DXI589840 EHE589840 ERA589840 FAW589840 FKS589840 FUO589840 GEK589840 GOG589840 GYC589840 HHY589840 HRU589840 IBQ589840 ILM589840 IVI589840 JFE589840 JPA589840 JYW589840 KIS589840 KSO589840 LCK589840 LMG589840 LWC589840 MFY589840 MPU589840 MZQ589840 NJM589840 NTI589840 ODE589840 ONA589840 OWW589840 PGS589840 PQO589840 QAK589840 QKG589840 QUC589840 RDY589840 RNU589840 RXQ589840 SHM589840 SRI589840 TBE589840 TLA589840 TUW589840 UES589840 UOO589840 UYK589840 VIG589840 VSC589840 WBY589840 WLU589840 WVQ589840 I655376 JE655376 TA655376 ACW655376 AMS655376 AWO655376 BGK655376 BQG655376 CAC655376 CJY655376 CTU655376 DDQ655376 DNM655376 DXI655376 EHE655376 ERA655376 FAW655376 FKS655376 FUO655376 GEK655376 GOG655376 GYC655376 HHY655376 HRU655376 IBQ655376 ILM655376 IVI655376 JFE655376 JPA655376 JYW655376 KIS655376 KSO655376 LCK655376 LMG655376 LWC655376 MFY655376 MPU655376 MZQ655376 NJM655376 NTI655376 ODE655376 ONA655376 OWW655376 PGS655376 PQO655376 QAK655376 QKG655376 QUC655376 RDY655376 RNU655376 RXQ655376 SHM655376 SRI655376 TBE655376 TLA655376 TUW655376 UES655376 UOO655376 UYK655376 VIG655376 VSC655376 WBY655376 WLU655376 WVQ655376 I720912 JE720912 TA720912 ACW720912 AMS720912 AWO720912 BGK720912 BQG720912 CAC720912 CJY720912 CTU720912 DDQ720912 DNM720912 DXI720912 EHE720912 ERA720912 FAW720912 FKS720912 FUO720912 GEK720912 GOG720912 GYC720912 HHY720912 HRU720912 IBQ720912 ILM720912 IVI720912 JFE720912 JPA720912 JYW720912 KIS720912 KSO720912 LCK720912 LMG720912 LWC720912 MFY720912 MPU720912 MZQ720912 NJM720912 NTI720912 ODE720912 ONA720912 OWW720912 PGS720912 PQO720912 QAK720912 QKG720912 QUC720912 RDY720912 RNU720912 RXQ720912 SHM720912 SRI720912 TBE720912 TLA720912 TUW720912 UES720912 UOO720912 UYK720912 VIG720912 VSC720912 WBY720912 WLU720912 WVQ720912 I786448 JE786448 TA786448 ACW786448 AMS786448 AWO786448 BGK786448 BQG786448 CAC786448 CJY786448 CTU786448 DDQ786448 DNM786448 DXI786448 EHE786448 ERA786448 FAW786448 FKS786448 FUO786448 GEK786448 GOG786448 GYC786448 HHY786448 HRU786448 IBQ786448 ILM786448 IVI786448 JFE786448 JPA786448 JYW786448 KIS786448 KSO786448 LCK786448 LMG786448 LWC786448 MFY786448 MPU786448 MZQ786448 NJM786448 NTI786448 ODE786448 ONA786448 OWW786448 PGS786448 PQO786448 QAK786448 QKG786448 QUC786448 RDY786448 RNU786448 RXQ786448 SHM786448 SRI786448 TBE786448 TLA786448 TUW786448 UES786448 UOO786448 UYK786448 VIG786448 VSC786448 WBY786448 WLU786448 WVQ786448 I851984 JE851984 TA851984 ACW851984 AMS851984 AWO851984 BGK851984 BQG851984 CAC851984 CJY851984 CTU851984 DDQ851984 DNM851984 DXI851984 EHE851984 ERA851984 FAW851984 FKS851984 FUO851984 GEK851984 GOG851984 GYC851984 HHY851984 HRU851984 IBQ851984 ILM851984 IVI851984 JFE851984 JPA851984 JYW851984 KIS851984 KSO851984 LCK851984 LMG851984 LWC851984 MFY851984 MPU851984 MZQ851984 NJM851984 NTI851984 ODE851984 ONA851984 OWW851984 PGS851984 PQO851984 QAK851984 QKG851984 QUC851984 RDY851984 RNU851984 RXQ851984 SHM851984 SRI851984 TBE851984 TLA851984 TUW851984 UES851984 UOO851984 UYK851984 VIG851984 VSC851984 WBY851984 WLU851984 WVQ851984 I917520 JE917520 TA917520 ACW917520 AMS917520 AWO917520 BGK917520 BQG917520 CAC917520 CJY917520 CTU917520 DDQ917520 DNM917520 DXI917520 EHE917520 ERA917520 FAW917520 FKS917520 FUO917520 GEK917520 GOG917520 GYC917520 HHY917520 HRU917520 IBQ917520 ILM917520 IVI917520 JFE917520 JPA917520 JYW917520 KIS917520 KSO917520 LCK917520 LMG917520 LWC917520 MFY917520 MPU917520 MZQ917520 NJM917520 NTI917520 ODE917520 ONA917520 OWW917520 PGS917520 PQO917520 QAK917520 QKG917520 QUC917520 RDY917520 RNU917520 RXQ917520 SHM917520 SRI917520 TBE917520 TLA917520 TUW917520 UES917520 UOO917520 UYK917520 VIG917520 VSC917520 WBY917520 WLU917520 WVQ917520 I983056 JE983056 TA983056 ACW983056 AMS983056 AWO983056 BGK983056 BQG983056 CAC983056 CJY983056 CTU983056 DDQ983056 DNM983056 DXI983056 EHE983056 ERA983056 FAW983056 FKS983056 FUO983056 GEK983056 GOG983056 GYC983056 HHY983056 HRU983056 IBQ983056 ILM983056 IVI983056 JFE983056 JPA983056 JYW983056 KIS983056 KSO983056 LCK983056 LMG983056 LWC983056 MFY983056 MPU983056 MZQ983056 NJM983056 NTI983056 ODE983056 ONA983056 OWW983056 PGS983056 PQO983056 QAK983056 QKG983056 QUC983056 RDY983056 RNU983056 RXQ983056 SHM983056 SRI983056 TBE983056 TLA983056 TUW983056 UES983056 UOO983056 UYK983056 VIG983056 VSC983056 WBY983056 WLU983056 WVQ983056">
      <formula1>办公集聚程度</formula1>
    </dataValidation>
    <dataValidation type="list" allowBlank="1" showInputMessage="1" showErrorMessage="1" sqref="E9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G9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G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G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G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G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G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G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G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G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G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G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G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G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G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G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G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I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formula1>办公用途</formula1>
    </dataValidation>
    <dataValidation type="list" allowBlank="1" showInputMessage="1" showErrorMessage="1"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formula1>土地年限区间</formula1>
    </dataValidation>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项目类型</formula1>
    </dataValidation>
    <dataValidation type="list" allowBlank="1" showInputMessage="1" showErrorMessage="1" sqref="C44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C65580 IY65580 SU65580 ACQ65580 AMM65580 AWI65580 BGE65580 BQA65580 BZW65580 CJS65580 CTO65580 DDK65580 DNG65580 DXC65580 EGY65580 EQU65580 FAQ65580 FKM65580 FUI65580 GEE65580 GOA65580 GXW65580 HHS65580 HRO65580 IBK65580 ILG65580 IVC65580 JEY65580 JOU65580 JYQ65580 KIM65580 KSI65580 LCE65580 LMA65580 LVW65580 MFS65580 MPO65580 MZK65580 NJG65580 NTC65580 OCY65580 OMU65580 OWQ65580 PGM65580 PQI65580 QAE65580 QKA65580 QTW65580 RDS65580 RNO65580 RXK65580 SHG65580 SRC65580 TAY65580 TKU65580 TUQ65580 UEM65580 UOI65580 UYE65580 VIA65580 VRW65580 WBS65580 WLO65580 WVK65580 C131116 IY131116 SU131116 ACQ131116 AMM131116 AWI131116 BGE131116 BQA131116 BZW131116 CJS131116 CTO131116 DDK131116 DNG131116 DXC131116 EGY131116 EQU131116 FAQ131116 FKM131116 FUI131116 GEE131116 GOA131116 GXW131116 HHS131116 HRO131116 IBK131116 ILG131116 IVC131116 JEY131116 JOU131116 JYQ131116 KIM131116 KSI131116 LCE131116 LMA131116 LVW131116 MFS131116 MPO131116 MZK131116 NJG131116 NTC131116 OCY131116 OMU131116 OWQ131116 PGM131116 PQI131116 QAE131116 QKA131116 QTW131116 RDS131116 RNO131116 RXK131116 SHG131116 SRC131116 TAY131116 TKU131116 TUQ131116 UEM131116 UOI131116 UYE131116 VIA131116 VRW131116 WBS131116 WLO131116 WVK131116 C196652 IY196652 SU196652 ACQ196652 AMM196652 AWI196652 BGE196652 BQA196652 BZW196652 CJS196652 CTO196652 DDK196652 DNG196652 DXC196652 EGY196652 EQU196652 FAQ196652 FKM196652 FUI196652 GEE196652 GOA196652 GXW196652 HHS196652 HRO196652 IBK196652 ILG196652 IVC196652 JEY196652 JOU196652 JYQ196652 KIM196652 KSI196652 LCE196652 LMA196652 LVW196652 MFS196652 MPO196652 MZK196652 NJG196652 NTC196652 OCY196652 OMU196652 OWQ196652 PGM196652 PQI196652 QAE196652 QKA196652 QTW196652 RDS196652 RNO196652 RXK196652 SHG196652 SRC196652 TAY196652 TKU196652 TUQ196652 UEM196652 UOI196652 UYE196652 VIA196652 VRW196652 WBS196652 WLO196652 WVK196652 C262188 IY262188 SU262188 ACQ262188 AMM262188 AWI262188 BGE262188 BQA262188 BZW262188 CJS262188 CTO262188 DDK262188 DNG262188 DXC262188 EGY262188 EQU262188 FAQ262188 FKM262188 FUI262188 GEE262188 GOA262188 GXW262188 HHS262188 HRO262188 IBK262188 ILG262188 IVC262188 JEY262188 JOU262188 JYQ262188 KIM262188 KSI262188 LCE262188 LMA262188 LVW262188 MFS262188 MPO262188 MZK262188 NJG262188 NTC262188 OCY262188 OMU262188 OWQ262188 PGM262188 PQI262188 QAE262188 QKA262188 QTW262188 RDS262188 RNO262188 RXK262188 SHG262188 SRC262188 TAY262188 TKU262188 TUQ262188 UEM262188 UOI262188 UYE262188 VIA262188 VRW262188 WBS262188 WLO262188 WVK262188 C327724 IY327724 SU327724 ACQ327724 AMM327724 AWI327724 BGE327724 BQA327724 BZW327724 CJS327724 CTO327724 DDK327724 DNG327724 DXC327724 EGY327724 EQU327724 FAQ327724 FKM327724 FUI327724 GEE327724 GOA327724 GXW327724 HHS327724 HRO327724 IBK327724 ILG327724 IVC327724 JEY327724 JOU327724 JYQ327724 KIM327724 KSI327724 LCE327724 LMA327724 LVW327724 MFS327724 MPO327724 MZK327724 NJG327724 NTC327724 OCY327724 OMU327724 OWQ327724 PGM327724 PQI327724 QAE327724 QKA327724 QTW327724 RDS327724 RNO327724 RXK327724 SHG327724 SRC327724 TAY327724 TKU327724 TUQ327724 UEM327724 UOI327724 UYE327724 VIA327724 VRW327724 WBS327724 WLO327724 WVK327724 C393260 IY393260 SU393260 ACQ393260 AMM393260 AWI393260 BGE393260 BQA393260 BZW393260 CJS393260 CTO393260 DDK393260 DNG393260 DXC393260 EGY393260 EQU393260 FAQ393260 FKM393260 FUI393260 GEE393260 GOA393260 GXW393260 HHS393260 HRO393260 IBK393260 ILG393260 IVC393260 JEY393260 JOU393260 JYQ393260 KIM393260 KSI393260 LCE393260 LMA393260 LVW393260 MFS393260 MPO393260 MZK393260 NJG393260 NTC393260 OCY393260 OMU393260 OWQ393260 PGM393260 PQI393260 QAE393260 QKA393260 QTW393260 RDS393260 RNO393260 RXK393260 SHG393260 SRC393260 TAY393260 TKU393260 TUQ393260 UEM393260 UOI393260 UYE393260 VIA393260 VRW393260 WBS393260 WLO393260 WVK393260 C458796 IY458796 SU458796 ACQ458796 AMM458796 AWI458796 BGE458796 BQA458796 BZW458796 CJS458796 CTO458796 DDK458796 DNG458796 DXC458796 EGY458796 EQU458796 FAQ458796 FKM458796 FUI458796 GEE458796 GOA458796 GXW458796 HHS458796 HRO458796 IBK458796 ILG458796 IVC458796 JEY458796 JOU458796 JYQ458796 KIM458796 KSI458796 LCE458796 LMA458796 LVW458796 MFS458796 MPO458796 MZK458796 NJG458796 NTC458796 OCY458796 OMU458796 OWQ458796 PGM458796 PQI458796 QAE458796 QKA458796 QTW458796 RDS458796 RNO458796 RXK458796 SHG458796 SRC458796 TAY458796 TKU458796 TUQ458796 UEM458796 UOI458796 UYE458796 VIA458796 VRW458796 WBS458796 WLO458796 WVK458796 C524332 IY524332 SU524332 ACQ524332 AMM524332 AWI524332 BGE524332 BQA524332 BZW524332 CJS524332 CTO524332 DDK524332 DNG524332 DXC524332 EGY524332 EQU524332 FAQ524332 FKM524332 FUI524332 GEE524332 GOA524332 GXW524332 HHS524332 HRO524332 IBK524332 ILG524332 IVC524332 JEY524332 JOU524332 JYQ524332 KIM524332 KSI524332 LCE524332 LMA524332 LVW524332 MFS524332 MPO524332 MZK524332 NJG524332 NTC524332 OCY524332 OMU524332 OWQ524332 PGM524332 PQI524332 QAE524332 QKA524332 QTW524332 RDS524332 RNO524332 RXK524332 SHG524332 SRC524332 TAY524332 TKU524332 TUQ524332 UEM524332 UOI524332 UYE524332 VIA524332 VRW524332 WBS524332 WLO524332 WVK524332 C589868 IY589868 SU589868 ACQ589868 AMM589868 AWI589868 BGE589868 BQA589868 BZW589868 CJS589868 CTO589868 DDK589868 DNG589868 DXC589868 EGY589868 EQU589868 FAQ589868 FKM589868 FUI589868 GEE589868 GOA589868 GXW589868 HHS589868 HRO589868 IBK589868 ILG589868 IVC589868 JEY589868 JOU589868 JYQ589868 KIM589868 KSI589868 LCE589868 LMA589868 LVW589868 MFS589868 MPO589868 MZK589868 NJG589868 NTC589868 OCY589868 OMU589868 OWQ589868 PGM589868 PQI589868 QAE589868 QKA589868 QTW589868 RDS589868 RNO589868 RXK589868 SHG589868 SRC589868 TAY589868 TKU589868 TUQ589868 UEM589868 UOI589868 UYE589868 VIA589868 VRW589868 WBS589868 WLO589868 WVK589868 C655404 IY655404 SU655404 ACQ655404 AMM655404 AWI655404 BGE655404 BQA655404 BZW655404 CJS655404 CTO655404 DDK655404 DNG655404 DXC655404 EGY655404 EQU655404 FAQ655404 FKM655404 FUI655404 GEE655404 GOA655404 GXW655404 HHS655404 HRO655404 IBK655404 ILG655404 IVC655404 JEY655404 JOU655404 JYQ655404 KIM655404 KSI655404 LCE655404 LMA655404 LVW655404 MFS655404 MPO655404 MZK655404 NJG655404 NTC655404 OCY655404 OMU655404 OWQ655404 PGM655404 PQI655404 QAE655404 QKA655404 QTW655404 RDS655404 RNO655404 RXK655404 SHG655404 SRC655404 TAY655404 TKU655404 TUQ655404 UEM655404 UOI655404 UYE655404 VIA655404 VRW655404 WBS655404 WLO655404 WVK655404 C720940 IY720940 SU720940 ACQ720940 AMM720940 AWI720940 BGE720940 BQA720940 BZW720940 CJS720940 CTO720940 DDK720940 DNG720940 DXC720940 EGY720940 EQU720940 FAQ720940 FKM720940 FUI720940 GEE720940 GOA720940 GXW720940 HHS720940 HRO720940 IBK720940 ILG720940 IVC720940 JEY720940 JOU720940 JYQ720940 KIM720940 KSI720940 LCE720940 LMA720940 LVW720940 MFS720940 MPO720940 MZK720940 NJG720940 NTC720940 OCY720940 OMU720940 OWQ720940 PGM720940 PQI720940 QAE720940 QKA720940 QTW720940 RDS720940 RNO720940 RXK720940 SHG720940 SRC720940 TAY720940 TKU720940 TUQ720940 UEM720940 UOI720940 UYE720940 VIA720940 VRW720940 WBS720940 WLO720940 WVK720940 C786476 IY786476 SU786476 ACQ786476 AMM786476 AWI786476 BGE786476 BQA786476 BZW786476 CJS786476 CTO786476 DDK786476 DNG786476 DXC786476 EGY786476 EQU786476 FAQ786476 FKM786476 FUI786476 GEE786476 GOA786476 GXW786476 HHS786476 HRO786476 IBK786476 ILG786476 IVC786476 JEY786476 JOU786476 JYQ786476 KIM786476 KSI786476 LCE786476 LMA786476 LVW786476 MFS786476 MPO786476 MZK786476 NJG786476 NTC786476 OCY786476 OMU786476 OWQ786476 PGM786476 PQI786476 QAE786476 QKA786476 QTW786476 RDS786476 RNO786476 RXK786476 SHG786476 SRC786476 TAY786476 TKU786476 TUQ786476 UEM786476 UOI786476 UYE786476 VIA786476 VRW786476 WBS786476 WLO786476 WVK786476 C852012 IY852012 SU852012 ACQ852012 AMM852012 AWI852012 BGE852012 BQA852012 BZW852012 CJS852012 CTO852012 DDK852012 DNG852012 DXC852012 EGY852012 EQU852012 FAQ852012 FKM852012 FUI852012 GEE852012 GOA852012 GXW852012 HHS852012 HRO852012 IBK852012 ILG852012 IVC852012 JEY852012 JOU852012 JYQ852012 KIM852012 KSI852012 LCE852012 LMA852012 LVW852012 MFS852012 MPO852012 MZK852012 NJG852012 NTC852012 OCY852012 OMU852012 OWQ852012 PGM852012 PQI852012 QAE852012 QKA852012 QTW852012 RDS852012 RNO852012 RXK852012 SHG852012 SRC852012 TAY852012 TKU852012 TUQ852012 UEM852012 UOI852012 UYE852012 VIA852012 VRW852012 WBS852012 WLO852012 WVK852012 C917548 IY917548 SU917548 ACQ917548 AMM917548 AWI917548 BGE917548 BQA917548 BZW917548 CJS917548 CTO917548 DDK917548 DNG917548 DXC917548 EGY917548 EQU917548 FAQ917548 FKM917548 FUI917548 GEE917548 GOA917548 GXW917548 HHS917548 HRO917548 IBK917548 ILG917548 IVC917548 JEY917548 JOU917548 JYQ917548 KIM917548 KSI917548 LCE917548 LMA917548 LVW917548 MFS917548 MPO917548 MZK917548 NJG917548 NTC917548 OCY917548 OMU917548 OWQ917548 PGM917548 PQI917548 QAE917548 QKA917548 QTW917548 RDS917548 RNO917548 RXK917548 SHG917548 SRC917548 TAY917548 TKU917548 TUQ917548 UEM917548 UOI917548 UYE917548 VIA917548 VRW917548 WBS917548 WLO917548 WVK917548 C983084 IY983084 SU983084 ACQ983084 AMM983084 AWI983084 BGE983084 BQA983084 BZW983084 CJS983084 CTO983084 DDK983084 DNG983084 DXC983084 EGY983084 EQU983084 FAQ983084 FKM983084 FUI983084 GEE983084 GOA983084 GXW983084 HHS983084 HRO983084 IBK983084 ILG983084 IVC983084 JEY983084 JOU983084 JYQ983084 KIM983084 KSI983084 LCE983084 LMA983084 LVW983084 MFS983084 MPO983084 MZK983084 NJG983084 NTC983084 OCY983084 OMU983084 OWQ983084 PGM983084 PQI983084 QAE983084 QKA983084 QTW983084 RDS983084 RNO983084 RXK983084 SHG983084 SRC983084 TAY983084 TKU983084 TUQ983084 UEM983084 UOI983084 UYE983084 VIA983084 VRW983084 WBS983084 WLO983084 WVK983084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I44 JE44 TA44 ACW44 AMS44 AWO44 BGK44 BQG44 CAC44 CJY44 CTU44 DDQ44 DNM44 DXI44 EHE44 ERA44 FAW44 FKS44 FUO44 GEK44 GOG44 GYC44 HHY44 HRU44 IBQ44 ILM44 IVI44 JFE44 JPA44 JYW44 KIS44 KSO44 LCK44 LMG44 LWC44 MFY44 MPU44 MZQ44 NJM44 NTI44 ODE44 ONA44 OWW44 PGS44 PQO44 QAK44 QKG44 QUC44 RDY44 RNU44 RXQ44 SHM44 SRI44 TBE44 TLA44 TUW44 UES44 UOO44 UYK44 VIG44 VSC44 WBY44 WLU44 WVQ44 I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I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I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I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I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I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I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I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I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I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I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I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I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I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I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formula1>内部装修维护情况</formula1>
    </dataValidation>
    <dataValidation type="list" allowBlank="1" showInputMessage="1" showErrorMessage="1"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I20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I65556 JE65556 TA65556 ACW65556 AMS65556 AWO65556 BGK65556 BQG65556 CAC65556 CJY65556 CTU65556 DDQ65556 DNM65556 DXI65556 EHE65556 ERA65556 FAW65556 FKS65556 FUO65556 GEK65556 GOG65556 GYC65556 HHY65556 HRU65556 IBQ65556 ILM65556 IVI65556 JFE65556 JPA65556 JYW65556 KIS65556 KSO65556 LCK65556 LMG65556 LWC65556 MFY65556 MPU65556 MZQ65556 NJM65556 NTI65556 ODE65556 ONA65556 OWW65556 PGS65556 PQO65556 QAK65556 QKG65556 QUC65556 RDY65556 RNU65556 RXQ65556 SHM65556 SRI65556 TBE65556 TLA65556 TUW65556 UES65556 UOO65556 UYK65556 VIG65556 VSC65556 WBY65556 WLU65556 WVQ65556 I131092 JE131092 TA131092 ACW131092 AMS131092 AWO131092 BGK131092 BQG131092 CAC131092 CJY131092 CTU131092 DDQ131092 DNM131092 DXI131092 EHE131092 ERA131092 FAW131092 FKS131092 FUO131092 GEK131092 GOG131092 GYC131092 HHY131092 HRU131092 IBQ131092 ILM131092 IVI131092 JFE131092 JPA131092 JYW131092 KIS131092 KSO131092 LCK131092 LMG131092 LWC131092 MFY131092 MPU131092 MZQ131092 NJM131092 NTI131092 ODE131092 ONA131092 OWW131092 PGS131092 PQO131092 QAK131092 QKG131092 QUC131092 RDY131092 RNU131092 RXQ131092 SHM131092 SRI131092 TBE131092 TLA131092 TUW131092 UES131092 UOO131092 UYK131092 VIG131092 VSC131092 WBY131092 WLU131092 WVQ131092 I196628 JE196628 TA196628 ACW196628 AMS196628 AWO196628 BGK196628 BQG196628 CAC196628 CJY196628 CTU196628 DDQ196628 DNM196628 DXI196628 EHE196628 ERA196628 FAW196628 FKS196628 FUO196628 GEK196628 GOG196628 GYC196628 HHY196628 HRU196628 IBQ196628 ILM196628 IVI196628 JFE196628 JPA196628 JYW196628 KIS196628 KSO196628 LCK196628 LMG196628 LWC196628 MFY196628 MPU196628 MZQ196628 NJM196628 NTI196628 ODE196628 ONA196628 OWW196628 PGS196628 PQO196628 QAK196628 QKG196628 QUC196628 RDY196628 RNU196628 RXQ196628 SHM196628 SRI196628 TBE196628 TLA196628 TUW196628 UES196628 UOO196628 UYK196628 VIG196628 VSC196628 WBY196628 WLU196628 WVQ196628 I262164 JE262164 TA262164 ACW262164 AMS262164 AWO262164 BGK262164 BQG262164 CAC262164 CJY262164 CTU262164 DDQ262164 DNM262164 DXI262164 EHE262164 ERA262164 FAW262164 FKS262164 FUO262164 GEK262164 GOG262164 GYC262164 HHY262164 HRU262164 IBQ262164 ILM262164 IVI262164 JFE262164 JPA262164 JYW262164 KIS262164 KSO262164 LCK262164 LMG262164 LWC262164 MFY262164 MPU262164 MZQ262164 NJM262164 NTI262164 ODE262164 ONA262164 OWW262164 PGS262164 PQO262164 QAK262164 QKG262164 QUC262164 RDY262164 RNU262164 RXQ262164 SHM262164 SRI262164 TBE262164 TLA262164 TUW262164 UES262164 UOO262164 UYK262164 VIG262164 VSC262164 WBY262164 WLU262164 WVQ262164 I327700 JE327700 TA327700 ACW327700 AMS327700 AWO327700 BGK327700 BQG327700 CAC327700 CJY327700 CTU327700 DDQ327700 DNM327700 DXI327700 EHE327700 ERA327700 FAW327700 FKS327700 FUO327700 GEK327700 GOG327700 GYC327700 HHY327700 HRU327700 IBQ327700 ILM327700 IVI327700 JFE327700 JPA327700 JYW327700 KIS327700 KSO327700 LCK327700 LMG327700 LWC327700 MFY327700 MPU327700 MZQ327700 NJM327700 NTI327700 ODE327700 ONA327700 OWW327700 PGS327700 PQO327700 QAK327700 QKG327700 QUC327700 RDY327700 RNU327700 RXQ327700 SHM327700 SRI327700 TBE327700 TLA327700 TUW327700 UES327700 UOO327700 UYK327700 VIG327700 VSC327700 WBY327700 WLU327700 WVQ327700 I393236 JE393236 TA393236 ACW393236 AMS393236 AWO393236 BGK393236 BQG393236 CAC393236 CJY393236 CTU393236 DDQ393236 DNM393236 DXI393236 EHE393236 ERA393236 FAW393236 FKS393236 FUO393236 GEK393236 GOG393236 GYC393236 HHY393236 HRU393236 IBQ393236 ILM393236 IVI393236 JFE393236 JPA393236 JYW393236 KIS393236 KSO393236 LCK393236 LMG393236 LWC393236 MFY393236 MPU393236 MZQ393236 NJM393236 NTI393236 ODE393236 ONA393236 OWW393236 PGS393236 PQO393236 QAK393236 QKG393236 QUC393236 RDY393236 RNU393236 RXQ393236 SHM393236 SRI393236 TBE393236 TLA393236 TUW393236 UES393236 UOO393236 UYK393236 VIG393236 VSC393236 WBY393236 WLU393236 WVQ393236 I458772 JE458772 TA458772 ACW458772 AMS458772 AWO458772 BGK458772 BQG458772 CAC458772 CJY458772 CTU458772 DDQ458772 DNM458772 DXI458772 EHE458772 ERA458772 FAW458772 FKS458772 FUO458772 GEK458772 GOG458772 GYC458772 HHY458772 HRU458772 IBQ458772 ILM458772 IVI458772 JFE458772 JPA458772 JYW458772 KIS458772 KSO458772 LCK458772 LMG458772 LWC458772 MFY458772 MPU458772 MZQ458772 NJM458772 NTI458772 ODE458772 ONA458772 OWW458772 PGS458772 PQO458772 QAK458772 QKG458772 QUC458772 RDY458772 RNU458772 RXQ458772 SHM458772 SRI458772 TBE458772 TLA458772 TUW458772 UES458772 UOO458772 UYK458772 VIG458772 VSC458772 WBY458772 WLU458772 WVQ458772 I524308 JE524308 TA524308 ACW524308 AMS524308 AWO524308 BGK524308 BQG524308 CAC524308 CJY524308 CTU524308 DDQ524308 DNM524308 DXI524308 EHE524308 ERA524308 FAW524308 FKS524308 FUO524308 GEK524308 GOG524308 GYC524308 HHY524308 HRU524308 IBQ524308 ILM524308 IVI524308 JFE524308 JPA524308 JYW524308 KIS524308 KSO524308 LCK524308 LMG524308 LWC524308 MFY524308 MPU524308 MZQ524308 NJM524308 NTI524308 ODE524308 ONA524308 OWW524308 PGS524308 PQO524308 QAK524308 QKG524308 QUC524308 RDY524308 RNU524308 RXQ524308 SHM524308 SRI524308 TBE524308 TLA524308 TUW524308 UES524308 UOO524308 UYK524308 VIG524308 VSC524308 WBY524308 WLU524308 WVQ524308 I589844 JE589844 TA589844 ACW589844 AMS589844 AWO589844 BGK589844 BQG589844 CAC589844 CJY589844 CTU589844 DDQ589844 DNM589844 DXI589844 EHE589844 ERA589844 FAW589844 FKS589844 FUO589844 GEK589844 GOG589844 GYC589844 HHY589844 HRU589844 IBQ589844 ILM589844 IVI589844 JFE589844 JPA589844 JYW589844 KIS589844 KSO589844 LCK589844 LMG589844 LWC589844 MFY589844 MPU589844 MZQ589844 NJM589844 NTI589844 ODE589844 ONA589844 OWW589844 PGS589844 PQO589844 QAK589844 QKG589844 QUC589844 RDY589844 RNU589844 RXQ589844 SHM589844 SRI589844 TBE589844 TLA589844 TUW589844 UES589844 UOO589844 UYK589844 VIG589844 VSC589844 WBY589844 WLU589844 WVQ589844 I655380 JE655380 TA655380 ACW655380 AMS655380 AWO655380 BGK655380 BQG655380 CAC655380 CJY655380 CTU655380 DDQ655380 DNM655380 DXI655380 EHE655380 ERA655380 FAW655380 FKS655380 FUO655380 GEK655380 GOG655380 GYC655380 HHY655380 HRU655380 IBQ655380 ILM655380 IVI655380 JFE655380 JPA655380 JYW655380 KIS655380 KSO655380 LCK655380 LMG655380 LWC655380 MFY655380 MPU655380 MZQ655380 NJM655380 NTI655380 ODE655380 ONA655380 OWW655380 PGS655380 PQO655380 QAK655380 QKG655380 QUC655380 RDY655380 RNU655380 RXQ655380 SHM655380 SRI655380 TBE655380 TLA655380 TUW655380 UES655380 UOO655380 UYK655380 VIG655380 VSC655380 WBY655380 WLU655380 WVQ655380 I720916 JE720916 TA720916 ACW720916 AMS720916 AWO720916 BGK720916 BQG720916 CAC720916 CJY720916 CTU720916 DDQ720916 DNM720916 DXI720916 EHE720916 ERA720916 FAW720916 FKS720916 FUO720916 GEK720916 GOG720916 GYC720916 HHY720916 HRU720916 IBQ720916 ILM720916 IVI720916 JFE720916 JPA720916 JYW720916 KIS720916 KSO720916 LCK720916 LMG720916 LWC720916 MFY720916 MPU720916 MZQ720916 NJM720916 NTI720916 ODE720916 ONA720916 OWW720916 PGS720916 PQO720916 QAK720916 QKG720916 QUC720916 RDY720916 RNU720916 RXQ720916 SHM720916 SRI720916 TBE720916 TLA720916 TUW720916 UES720916 UOO720916 UYK720916 VIG720916 VSC720916 WBY720916 WLU720916 WVQ720916 I786452 JE786452 TA786452 ACW786452 AMS786452 AWO786452 BGK786452 BQG786452 CAC786452 CJY786452 CTU786452 DDQ786452 DNM786452 DXI786452 EHE786452 ERA786452 FAW786452 FKS786452 FUO786452 GEK786452 GOG786452 GYC786452 HHY786452 HRU786452 IBQ786452 ILM786452 IVI786452 JFE786452 JPA786452 JYW786452 KIS786452 KSO786452 LCK786452 LMG786452 LWC786452 MFY786452 MPU786452 MZQ786452 NJM786452 NTI786452 ODE786452 ONA786452 OWW786452 PGS786452 PQO786452 QAK786452 QKG786452 QUC786452 RDY786452 RNU786452 RXQ786452 SHM786452 SRI786452 TBE786452 TLA786452 TUW786452 UES786452 UOO786452 UYK786452 VIG786452 VSC786452 WBY786452 WLU786452 WVQ786452 I851988 JE851988 TA851988 ACW851988 AMS851988 AWO851988 BGK851988 BQG851988 CAC851988 CJY851988 CTU851988 DDQ851988 DNM851988 DXI851988 EHE851988 ERA851988 FAW851988 FKS851988 FUO851988 GEK851988 GOG851988 GYC851988 HHY851988 HRU851988 IBQ851988 ILM851988 IVI851988 JFE851988 JPA851988 JYW851988 KIS851988 KSO851988 LCK851988 LMG851988 LWC851988 MFY851988 MPU851988 MZQ851988 NJM851988 NTI851988 ODE851988 ONA851988 OWW851988 PGS851988 PQO851988 QAK851988 QKG851988 QUC851988 RDY851988 RNU851988 RXQ851988 SHM851988 SRI851988 TBE851988 TLA851988 TUW851988 UES851988 UOO851988 UYK851988 VIG851988 VSC851988 WBY851988 WLU851988 WVQ851988 I917524 JE917524 TA917524 ACW917524 AMS917524 AWO917524 BGK917524 BQG917524 CAC917524 CJY917524 CTU917524 DDQ917524 DNM917524 DXI917524 EHE917524 ERA917524 FAW917524 FKS917524 FUO917524 GEK917524 GOG917524 GYC917524 HHY917524 HRU917524 IBQ917524 ILM917524 IVI917524 JFE917524 JPA917524 JYW917524 KIS917524 KSO917524 LCK917524 LMG917524 LWC917524 MFY917524 MPU917524 MZQ917524 NJM917524 NTI917524 ODE917524 ONA917524 OWW917524 PGS917524 PQO917524 QAK917524 QKG917524 QUC917524 RDY917524 RNU917524 RXQ917524 SHM917524 SRI917524 TBE917524 TLA917524 TUW917524 UES917524 UOO917524 UYK917524 VIG917524 VSC917524 WBY917524 WLU917524 WVQ917524 I983060 JE983060 TA983060 ACW983060 AMS983060 AWO983060 BGK983060 BQG983060 CAC983060 CJY983060 CTU983060 DDQ983060 DNM983060 DXI983060 EHE983060 ERA983060 FAW983060 FKS983060 FUO983060 GEK983060 GOG983060 GYC983060 HHY983060 HRU983060 IBQ983060 ILM983060 IVI983060 JFE983060 JPA983060 JYW983060 KIS983060 KSO983060 LCK983060 LMG983060 LWC983060 MFY983060 MPU983060 MZQ983060 NJM983060 NTI983060 ODE983060 ONA983060 OWW983060 PGS983060 PQO983060 QAK983060 QKG983060 QUC983060 RDY983060 RNU983060 RXQ983060 SHM983060 SRI983060 TBE983060 TLA983060 TUW983060 UES983060 UOO983060 UYK983060 VIG983060 VSC983060 WBY983060 WLU983060 WVQ983060 E20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formula1>公共配套设施</formula1>
    </dataValidation>
    <dataValidation type="list" allowBlank="1" showInputMessage="1" showErrorMessage="1" sqref="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I18 JE18 TA18 ACW18 AMS18 AWO18 BGK18 BQG18 CAC18 CJY18 CTU18 DDQ18 DNM18 DXI18 EHE18 ERA18 FAW18 FKS18 FUO18 GEK18 GOG18 GYC18 HHY18 HRU18 IBQ18 ILM18 IVI18 JFE18 JPA18 JYW18 KIS18 KSO18 LCK18 LMG18 LWC18 MFY18 MPU18 MZQ18 NJM18 NTI18 ODE18 ONA18 OWW18 PGS18 PQO18 QAK18 QKG18 QUC18 RDY18 RNU18 RXQ18 SHM18 SRI18 TBE18 TLA18 TUW18 UES18 UOO18 UYK18 VIG18 VSC18 WBY18 WLU18 WVQ18 I65554 JE65554 TA65554 ACW65554 AMS65554 AWO65554 BGK65554 BQG65554 CAC65554 CJY65554 CTU65554 DDQ65554 DNM65554 DXI65554 EHE65554 ERA65554 FAW65554 FKS65554 FUO65554 GEK65554 GOG65554 GYC65554 HHY65554 HRU65554 IBQ65554 ILM65554 IVI65554 JFE65554 JPA65554 JYW65554 KIS65554 KSO65554 LCK65554 LMG65554 LWC65554 MFY65554 MPU65554 MZQ65554 NJM65554 NTI65554 ODE65554 ONA65554 OWW65554 PGS65554 PQO65554 QAK65554 QKG65554 QUC65554 RDY65554 RNU65554 RXQ65554 SHM65554 SRI65554 TBE65554 TLA65554 TUW65554 UES65554 UOO65554 UYK65554 VIG65554 VSC65554 WBY65554 WLU65554 WVQ65554 I131090 JE131090 TA131090 ACW131090 AMS131090 AWO131090 BGK131090 BQG131090 CAC131090 CJY131090 CTU131090 DDQ131090 DNM131090 DXI131090 EHE131090 ERA131090 FAW131090 FKS131090 FUO131090 GEK131090 GOG131090 GYC131090 HHY131090 HRU131090 IBQ131090 ILM131090 IVI131090 JFE131090 JPA131090 JYW131090 KIS131090 KSO131090 LCK131090 LMG131090 LWC131090 MFY131090 MPU131090 MZQ131090 NJM131090 NTI131090 ODE131090 ONA131090 OWW131090 PGS131090 PQO131090 QAK131090 QKG131090 QUC131090 RDY131090 RNU131090 RXQ131090 SHM131090 SRI131090 TBE131090 TLA131090 TUW131090 UES131090 UOO131090 UYK131090 VIG131090 VSC131090 WBY131090 WLU131090 WVQ131090 I196626 JE196626 TA196626 ACW196626 AMS196626 AWO196626 BGK196626 BQG196626 CAC196626 CJY196626 CTU196626 DDQ196626 DNM196626 DXI196626 EHE196626 ERA196626 FAW196626 FKS196626 FUO196626 GEK196626 GOG196626 GYC196626 HHY196626 HRU196626 IBQ196626 ILM196626 IVI196626 JFE196626 JPA196626 JYW196626 KIS196626 KSO196626 LCK196626 LMG196626 LWC196626 MFY196626 MPU196626 MZQ196626 NJM196626 NTI196626 ODE196626 ONA196626 OWW196626 PGS196626 PQO196626 QAK196626 QKG196626 QUC196626 RDY196626 RNU196626 RXQ196626 SHM196626 SRI196626 TBE196626 TLA196626 TUW196626 UES196626 UOO196626 UYK196626 VIG196626 VSC196626 WBY196626 WLU196626 WVQ196626 I262162 JE262162 TA262162 ACW262162 AMS262162 AWO262162 BGK262162 BQG262162 CAC262162 CJY262162 CTU262162 DDQ262162 DNM262162 DXI262162 EHE262162 ERA262162 FAW262162 FKS262162 FUO262162 GEK262162 GOG262162 GYC262162 HHY262162 HRU262162 IBQ262162 ILM262162 IVI262162 JFE262162 JPA262162 JYW262162 KIS262162 KSO262162 LCK262162 LMG262162 LWC262162 MFY262162 MPU262162 MZQ262162 NJM262162 NTI262162 ODE262162 ONA262162 OWW262162 PGS262162 PQO262162 QAK262162 QKG262162 QUC262162 RDY262162 RNU262162 RXQ262162 SHM262162 SRI262162 TBE262162 TLA262162 TUW262162 UES262162 UOO262162 UYK262162 VIG262162 VSC262162 WBY262162 WLU262162 WVQ262162 I327698 JE327698 TA327698 ACW327698 AMS327698 AWO327698 BGK327698 BQG327698 CAC327698 CJY327698 CTU327698 DDQ327698 DNM327698 DXI327698 EHE327698 ERA327698 FAW327698 FKS327698 FUO327698 GEK327698 GOG327698 GYC327698 HHY327698 HRU327698 IBQ327698 ILM327698 IVI327698 JFE327698 JPA327698 JYW327698 KIS327698 KSO327698 LCK327698 LMG327698 LWC327698 MFY327698 MPU327698 MZQ327698 NJM327698 NTI327698 ODE327698 ONA327698 OWW327698 PGS327698 PQO327698 QAK327698 QKG327698 QUC327698 RDY327698 RNU327698 RXQ327698 SHM327698 SRI327698 TBE327698 TLA327698 TUW327698 UES327698 UOO327698 UYK327698 VIG327698 VSC327698 WBY327698 WLU327698 WVQ327698 I393234 JE393234 TA393234 ACW393234 AMS393234 AWO393234 BGK393234 BQG393234 CAC393234 CJY393234 CTU393234 DDQ393234 DNM393234 DXI393234 EHE393234 ERA393234 FAW393234 FKS393234 FUO393234 GEK393234 GOG393234 GYC393234 HHY393234 HRU393234 IBQ393234 ILM393234 IVI393234 JFE393234 JPA393234 JYW393234 KIS393234 KSO393234 LCK393234 LMG393234 LWC393234 MFY393234 MPU393234 MZQ393234 NJM393234 NTI393234 ODE393234 ONA393234 OWW393234 PGS393234 PQO393234 QAK393234 QKG393234 QUC393234 RDY393234 RNU393234 RXQ393234 SHM393234 SRI393234 TBE393234 TLA393234 TUW393234 UES393234 UOO393234 UYK393234 VIG393234 VSC393234 WBY393234 WLU393234 WVQ393234 I458770 JE458770 TA458770 ACW458770 AMS458770 AWO458770 BGK458770 BQG458770 CAC458770 CJY458770 CTU458770 DDQ458770 DNM458770 DXI458770 EHE458770 ERA458770 FAW458770 FKS458770 FUO458770 GEK458770 GOG458770 GYC458770 HHY458770 HRU458770 IBQ458770 ILM458770 IVI458770 JFE458770 JPA458770 JYW458770 KIS458770 KSO458770 LCK458770 LMG458770 LWC458770 MFY458770 MPU458770 MZQ458770 NJM458770 NTI458770 ODE458770 ONA458770 OWW458770 PGS458770 PQO458770 QAK458770 QKG458770 QUC458770 RDY458770 RNU458770 RXQ458770 SHM458770 SRI458770 TBE458770 TLA458770 TUW458770 UES458770 UOO458770 UYK458770 VIG458770 VSC458770 WBY458770 WLU458770 WVQ458770 I524306 JE524306 TA524306 ACW524306 AMS524306 AWO524306 BGK524306 BQG524306 CAC524306 CJY524306 CTU524306 DDQ524306 DNM524306 DXI524306 EHE524306 ERA524306 FAW524306 FKS524306 FUO524306 GEK524306 GOG524306 GYC524306 HHY524306 HRU524306 IBQ524306 ILM524306 IVI524306 JFE524306 JPA524306 JYW524306 KIS524306 KSO524306 LCK524306 LMG524306 LWC524306 MFY524306 MPU524306 MZQ524306 NJM524306 NTI524306 ODE524306 ONA524306 OWW524306 PGS524306 PQO524306 QAK524306 QKG524306 QUC524306 RDY524306 RNU524306 RXQ524306 SHM524306 SRI524306 TBE524306 TLA524306 TUW524306 UES524306 UOO524306 UYK524306 VIG524306 VSC524306 WBY524306 WLU524306 WVQ524306 I589842 JE589842 TA589842 ACW589842 AMS589842 AWO589842 BGK589842 BQG589842 CAC589842 CJY589842 CTU589842 DDQ589842 DNM589842 DXI589842 EHE589842 ERA589842 FAW589842 FKS589842 FUO589842 GEK589842 GOG589842 GYC589842 HHY589842 HRU589842 IBQ589842 ILM589842 IVI589842 JFE589842 JPA589842 JYW589842 KIS589842 KSO589842 LCK589842 LMG589842 LWC589842 MFY589842 MPU589842 MZQ589842 NJM589842 NTI589842 ODE589842 ONA589842 OWW589842 PGS589842 PQO589842 QAK589842 QKG589842 QUC589842 RDY589842 RNU589842 RXQ589842 SHM589842 SRI589842 TBE589842 TLA589842 TUW589842 UES589842 UOO589842 UYK589842 VIG589842 VSC589842 WBY589842 WLU589842 WVQ589842 I655378 JE655378 TA655378 ACW655378 AMS655378 AWO655378 BGK655378 BQG655378 CAC655378 CJY655378 CTU655378 DDQ655378 DNM655378 DXI655378 EHE655378 ERA655378 FAW655378 FKS655378 FUO655378 GEK655378 GOG655378 GYC655378 HHY655378 HRU655378 IBQ655378 ILM655378 IVI655378 JFE655378 JPA655378 JYW655378 KIS655378 KSO655378 LCK655378 LMG655378 LWC655378 MFY655378 MPU655378 MZQ655378 NJM655378 NTI655378 ODE655378 ONA655378 OWW655378 PGS655378 PQO655378 QAK655378 QKG655378 QUC655378 RDY655378 RNU655378 RXQ655378 SHM655378 SRI655378 TBE655378 TLA655378 TUW655378 UES655378 UOO655378 UYK655378 VIG655378 VSC655378 WBY655378 WLU655378 WVQ655378 I720914 JE720914 TA720914 ACW720914 AMS720914 AWO720914 BGK720914 BQG720914 CAC720914 CJY720914 CTU720914 DDQ720914 DNM720914 DXI720914 EHE720914 ERA720914 FAW720914 FKS720914 FUO720914 GEK720914 GOG720914 GYC720914 HHY720914 HRU720914 IBQ720914 ILM720914 IVI720914 JFE720914 JPA720914 JYW720914 KIS720914 KSO720914 LCK720914 LMG720914 LWC720914 MFY720914 MPU720914 MZQ720914 NJM720914 NTI720914 ODE720914 ONA720914 OWW720914 PGS720914 PQO720914 QAK720914 QKG720914 QUC720914 RDY720914 RNU720914 RXQ720914 SHM720914 SRI720914 TBE720914 TLA720914 TUW720914 UES720914 UOO720914 UYK720914 VIG720914 VSC720914 WBY720914 WLU720914 WVQ720914 I786450 JE786450 TA786450 ACW786450 AMS786450 AWO786450 BGK786450 BQG786450 CAC786450 CJY786450 CTU786450 DDQ786450 DNM786450 DXI786450 EHE786450 ERA786450 FAW786450 FKS786450 FUO786450 GEK786450 GOG786450 GYC786450 HHY786450 HRU786450 IBQ786450 ILM786450 IVI786450 JFE786450 JPA786450 JYW786450 KIS786450 KSO786450 LCK786450 LMG786450 LWC786450 MFY786450 MPU786450 MZQ786450 NJM786450 NTI786450 ODE786450 ONA786450 OWW786450 PGS786450 PQO786450 QAK786450 QKG786450 QUC786450 RDY786450 RNU786450 RXQ786450 SHM786450 SRI786450 TBE786450 TLA786450 TUW786450 UES786450 UOO786450 UYK786450 VIG786450 VSC786450 WBY786450 WLU786450 WVQ786450 I851986 JE851986 TA851986 ACW851986 AMS851986 AWO851986 BGK851986 BQG851986 CAC851986 CJY851986 CTU851986 DDQ851986 DNM851986 DXI851986 EHE851986 ERA851986 FAW851986 FKS851986 FUO851986 GEK851986 GOG851986 GYC851986 HHY851986 HRU851986 IBQ851986 ILM851986 IVI851986 JFE851986 JPA851986 JYW851986 KIS851986 KSO851986 LCK851986 LMG851986 LWC851986 MFY851986 MPU851986 MZQ851986 NJM851986 NTI851986 ODE851986 ONA851986 OWW851986 PGS851986 PQO851986 QAK851986 QKG851986 QUC851986 RDY851986 RNU851986 RXQ851986 SHM851986 SRI851986 TBE851986 TLA851986 TUW851986 UES851986 UOO851986 UYK851986 VIG851986 VSC851986 WBY851986 WLU851986 WVQ851986 I917522 JE917522 TA917522 ACW917522 AMS917522 AWO917522 BGK917522 BQG917522 CAC917522 CJY917522 CTU917522 DDQ917522 DNM917522 DXI917522 EHE917522 ERA917522 FAW917522 FKS917522 FUO917522 GEK917522 GOG917522 GYC917522 HHY917522 HRU917522 IBQ917522 ILM917522 IVI917522 JFE917522 JPA917522 JYW917522 KIS917522 KSO917522 LCK917522 LMG917522 LWC917522 MFY917522 MPU917522 MZQ917522 NJM917522 NTI917522 ODE917522 ONA917522 OWW917522 PGS917522 PQO917522 QAK917522 QKG917522 QUC917522 RDY917522 RNU917522 RXQ917522 SHM917522 SRI917522 TBE917522 TLA917522 TUW917522 UES917522 UOO917522 UYK917522 VIG917522 VSC917522 WBY917522 WLU917522 WVQ917522 I983058 JE983058 TA983058 ACW983058 AMS983058 AWO983058 BGK983058 BQG983058 CAC983058 CJY983058 CTU983058 DDQ983058 DNM983058 DXI983058 EHE983058 ERA983058 FAW983058 FKS983058 FUO983058 GEK983058 GOG983058 GYC983058 HHY983058 HRU983058 IBQ983058 ILM983058 IVI983058 JFE983058 JPA983058 JYW983058 KIS983058 KSO983058 LCK983058 LMG983058 LWC983058 MFY983058 MPU983058 MZQ983058 NJM983058 NTI983058 ODE983058 ONA983058 OWW983058 PGS983058 PQO983058 QAK983058 QKG983058 QUC983058 RDY983058 RNU983058 RXQ983058 SHM983058 SRI983058 TBE983058 TLA983058 TUW983058 UES983058 UOO983058 UYK983058 VIG983058 VSC983058 WBY983058 WLU983058 WVQ983058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formula1>交通便捷度</formula1>
    </dataValidation>
    <dataValidation type="list" allowBlank="1" showInputMessage="1" showErrorMessage="1" sqref="E24 JA24 SW24 ACS24 AMO24 AWK24 BGG24 BQC24 BZY24 CJU24 CTQ24 DDM24 DNI24 DXE24 EHA24 EQW24 FAS24 FKO24 FUK24 GEG24 GOC24 GXY24 HHU24 HRQ24 IBM24 ILI24 IVE24 JFA24 JOW24 JYS24 KIO24 KSK24 LCG24 LMC24 LVY24 MFU24 MPQ24 MZM24 NJI24 NTE24 ODA24 OMW24 OWS24 PGO24 PQK24 QAG24 QKC24 QTY24 RDU24 RNQ24 RXM24 SHI24 SRE24 TBA24 TKW24 TUS24 UEO24 UOK24 UYG24 VIC24 VRY24 WBU24 WLQ24 WVM24 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G24 JC24 SY24 ACU24 AMQ24 AWM24 BGI24 BQE24 CAA24 CJW24 CTS24 DDO24 DNK24 DXG24 EHC24 EQY24 FAU24 FKQ24 FUM24 GEI24 GOE24 GYA24 HHW24 HRS24 IBO24 ILK24 IVG24 JFC24 JOY24 JYU24 KIQ24 KSM24 LCI24 LME24 LWA24 MFW24 MPS24 MZO24 NJK24 NTG24 ODC24 OMY24 OWU24 PGQ24 PQM24 QAI24 QKE24 QUA24 RDW24 RNS24 RXO24 SHK24 SRG24 TBC24 TKY24 TUU24 UEQ24 UOM24 UYI24 VIE24 VSA24 WBW24 WLS24 WVO24 G65560 JC65560 SY65560 ACU65560 AMQ65560 AWM65560 BGI65560 BQE65560 CAA65560 CJW65560 CTS65560 DDO65560 DNK65560 DXG65560 EHC65560 EQY65560 FAU65560 FKQ65560 FUM65560 GEI65560 GOE65560 GYA65560 HHW65560 HRS65560 IBO65560 ILK65560 IVG65560 JFC65560 JOY65560 JYU65560 KIQ65560 KSM65560 LCI65560 LME65560 LWA65560 MFW65560 MPS65560 MZO65560 NJK65560 NTG65560 ODC65560 OMY65560 OWU65560 PGQ65560 PQM65560 QAI65560 QKE65560 QUA65560 RDW65560 RNS65560 RXO65560 SHK65560 SRG65560 TBC65560 TKY65560 TUU65560 UEQ65560 UOM65560 UYI65560 VIE65560 VSA65560 WBW65560 WLS65560 WVO65560 G131096 JC131096 SY131096 ACU131096 AMQ131096 AWM131096 BGI131096 BQE131096 CAA131096 CJW131096 CTS131096 DDO131096 DNK131096 DXG131096 EHC131096 EQY131096 FAU131096 FKQ131096 FUM131096 GEI131096 GOE131096 GYA131096 HHW131096 HRS131096 IBO131096 ILK131096 IVG131096 JFC131096 JOY131096 JYU131096 KIQ131096 KSM131096 LCI131096 LME131096 LWA131096 MFW131096 MPS131096 MZO131096 NJK131096 NTG131096 ODC131096 OMY131096 OWU131096 PGQ131096 PQM131096 QAI131096 QKE131096 QUA131096 RDW131096 RNS131096 RXO131096 SHK131096 SRG131096 TBC131096 TKY131096 TUU131096 UEQ131096 UOM131096 UYI131096 VIE131096 VSA131096 WBW131096 WLS131096 WVO131096 G196632 JC196632 SY196632 ACU196632 AMQ196632 AWM196632 BGI196632 BQE196632 CAA196632 CJW196632 CTS196632 DDO196632 DNK196632 DXG196632 EHC196632 EQY196632 FAU196632 FKQ196632 FUM196632 GEI196632 GOE196632 GYA196632 HHW196632 HRS196632 IBO196632 ILK196632 IVG196632 JFC196632 JOY196632 JYU196632 KIQ196632 KSM196632 LCI196632 LME196632 LWA196632 MFW196632 MPS196632 MZO196632 NJK196632 NTG196632 ODC196632 OMY196632 OWU196632 PGQ196632 PQM196632 QAI196632 QKE196632 QUA196632 RDW196632 RNS196632 RXO196632 SHK196632 SRG196632 TBC196632 TKY196632 TUU196632 UEQ196632 UOM196632 UYI196632 VIE196632 VSA196632 WBW196632 WLS196632 WVO196632 G262168 JC262168 SY262168 ACU262168 AMQ262168 AWM262168 BGI262168 BQE262168 CAA262168 CJW262168 CTS262168 DDO262168 DNK262168 DXG262168 EHC262168 EQY262168 FAU262168 FKQ262168 FUM262168 GEI262168 GOE262168 GYA262168 HHW262168 HRS262168 IBO262168 ILK262168 IVG262168 JFC262168 JOY262168 JYU262168 KIQ262168 KSM262168 LCI262168 LME262168 LWA262168 MFW262168 MPS262168 MZO262168 NJK262168 NTG262168 ODC262168 OMY262168 OWU262168 PGQ262168 PQM262168 QAI262168 QKE262168 QUA262168 RDW262168 RNS262168 RXO262168 SHK262168 SRG262168 TBC262168 TKY262168 TUU262168 UEQ262168 UOM262168 UYI262168 VIE262168 VSA262168 WBW262168 WLS262168 WVO262168 G327704 JC327704 SY327704 ACU327704 AMQ327704 AWM327704 BGI327704 BQE327704 CAA327704 CJW327704 CTS327704 DDO327704 DNK327704 DXG327704 EHC327704 EQY327704 FAU327704 FKQ327704 FUM327704 GEI327704 GOE327704 GYA327704 HHW327704 HRS327704 IBO327704 ILK327704 IVG327704 JFC327704 JOY327704 JYU327704 KIQ327704 KSM327704 LCI327704 LME327704 LWA327704 MFW327704 MPS327704 MZO327704 NJK327704 NTG327704 ODC327704 OMY327704 OWU327704 PGQ327704 PQM327704 QAI327704 QKE327704 QUA327704 RDW327704 RNS327704 RXO327704 SHK327704 SRG327704 TBC327704 TKY327704 TUU327704 UEQ327704 UOM327704 UYI327704 VIE327704 VSA327704 WBW327704 WLS327704 WVO327704 G393240 JC393240 SY393240 ACU393240 AMQ393240 AWM393240 BGI393240 BQE393240 CAA393240 CJW393240 CTS393240 DDO393240 DNK393240 DXG393240 EHC393240 EQY393240 FAU393240 FKQ393240 FUM393240 GEI393240 GOE393240 GYA393240 HHW393240 HRS393240 IBO393240 ILK393240 IVG393240 JFC393240 JOY393240 JYU393240 KIQ393240 KSM393240 LCI393240 LME393240 LWA393240 MFW393240 MPS393240 MZO393240 NJK393240 NTG393240 ODC393240 OMY393240 OWU393240 PGQ393240 PQM393240 QAI393240 QKE393240 QUA393240 RDW393240 RNS393240 RXO393240 SHK393240 SRG393240 TBC393240 TKY393240 TUU393240 UEQ393240 UOM393240 UYI393240 VIE393240 VSA393240 WBW393240 WLS393240 WVO393240 G458776 JC458776 SY458776 ACU458776 AMQ458776 AWM458776 BGI458776 BQE458776 CAA458776 CJW458776 CTS458776 DDO458776 DNK458776 DXG458776 EHC458776 EQY458776 FAU458776 FKQ458776 FUM458776 GEI458776 GOE458776 GYA458776 HHW458776 HRS458776 IBO458776 ILK458776 IVG458776 JFC458776 JOY458776 JYU458776 KIQ458776 KSM458776 LCI458776 LME458776 LWA458776 MFW458776 MPS458776 MZO458776 NJK458776 NTG458776 ODC458776 OMY458776 OWU458776 PGQ458776 PQM458776 QAI458776 QKE458776 QUA458776 RDW458776 RNS458776 RXO458776 SHK458776 SRG458776 TBC458776 TKY458776 TUU458776 UEQ458776 UOM458776 UYI458776 VIE458776 VSA458776 WBW458776 WLS458776 WVO458776 G524312 JC524312 SY524312 ACU524312 AMQ524312 AWM524312 BGI524312 BQE524312 CAA524312 CJW524312 CTS524312 DDO524312 DNK524312 DXG524312 EHC524312 EQY524312 FAU524312 FKQ524312 FUM524312 GEI524312 GOE524312 GYA524312 HHW524312 HRS524312 IBO524312 ILK524312 IVG524312 JFC524312 JOY524312 JYU524312 KIQ524312 KSM524312 LCI524312 LME524312 LWA524312 MFW524312 MPS524312 MZO524312 NJK524312 NTG524312 ODC524312 OMY524312 OWU524312 PGQ524312 PQM524312 QAI524312 QKE524312 QUA524312 RDW524312 RNS524312 RXO524312 SHK524312 SRG524312 TBC524312 TKY524312 TUU524312 UEQ524312 UOM524312 UYI524312 VIE524312 VSA524312 WBW524312 WLS524312 WVO524312 G589848 JC589848 SY589848 ACU589848 AMQ589848 AWM589848 BGI589848 BQE589848 CAA589848 CJW589848 CTS589848 DDO589848 DNK589848 DXG589848 EHC589848 EQY589848 FAU589848 FKQ589848 FUM589848 GEI589848 GOE589848 GYA589848 HHW589848 HRS589848 IBO589848 ILK589848 IVG589848 JFC589848 JOY589848 JYU589848 KIQ589848 KSM589848 LCI589848 LME589848 LWA589848 MFW589848 MPS589848 MZO589848 NJK589848 NTG589848 ODC589848 OMY589848 OWU589848 PGQ589848 PQM589848 QAI589848 QKE589848 QUA589848 RDW589848 RNS589848 RXO589848 SHK589848 SRG589848 TBC589848 TKY589848 TUU589848 UEQ589848 UOM589848 UYI589848 VIE589848 VSA589848 WBW589848 WLS589848 WVO589848 G655384 JC655384 SY655384 ACU655384 AMQ655384 AWM655384 BGI655384 BQE655384 CAA655384 CJW655384 CTS655384 DDO655384 DNK655384 DXG655384 EHC655384 EQY655384 FAU655384 FKQ655384 FUM655384 GEI655384 GOE655384 GYA655384 HHW655384 HRS655384 IBO655384 ILK655384 IVG655384 JFC655384 JOY655384 JYU655384 KIQ655384 KSM655384 LCI655384 LME655384 LWA655384 MFW655384 MPS655384 MZO655384 NJK655384 NTG655384 ODC655384 OMY655384 OWU655384 PGQ655384 PQM655384 QAI655384 QKE655384 QUA655384 RDW655384 RNS655384 RXO655384 SHK655384 SRG655384 TBC655384 TKY655384 TUU655384 UEQ655384 UOM655384 UYI655384 VIE655384 VSA655384 WBW655384 WLS655384 WVO655384 G720920 JC720920 SY720920 ACU720920 AMQ720920 AWM720920 BGI720920 BQE720920 CAA720920 CJW720920 CTS720920 DDO720920 DNK720920 DXG720920 EHC720920 EQY720920 FAU720920 FKQ720920 FUM720920 GEI720920 GOE720920 GYA720920 HHW720920 HRS720920 IBO720920 ILK720920 IVG720920 JFC720920 JOY720920 JYU720920 KIQ720920 KSM720920 LCI720920 LME720920 LWA720920 MFW720920 MPS720920 MZO720920 NJK720920 NTG720920 ODC720920 OMY720920 OWU720920 PGQ720920 PQM720920 QAI720920 QKE720920 QUA720920 RDW720920 RNS720920 RXO720920 SHK720920 SRG720920 TBC720920 TKY720920 TUU720920 UEQ720920 UOM720920 UYI720920 VIE720920 VSA720920 WBW720920 WLS720920 WVO720920 G786456 JC786456 SY786456 ACU786456 AMQ786456 AWM786456 BGI786456 BQE786456 CAA786456 CJW786456 CTS786456 DDO786456 DNK786456 DXG786456 EHC786456 EQY786456 FAU786456 FKQ786456 FUM786456 GEI786456 GOE786456 GYA786456 HHW786456 HRS786456 IBO786456 ILK786456 IVG786456 JFC786456 JOY786456 JYU786456 KIQ786456 KSM786456 LCI786456 LME786456 LWA786456 MFW786456 MPS786456 MZO786456 NJK786456 NTG786456 ODC786456 OMY786456 OWU786456 PGQ786456 PQM786456 QAI786456 QKE786456 QUA786456 RDW786456 RNS786456 RXO786456 SHK786456 SRG786456 TBC786456 TKY786456 TUU786456 UEQ786456 UOM786456 UYI786456 VIE786456 VSA786456 WBW786456 WLS786456 WVO786456 G851992 JC851992 SY851992 ACU851992 AMQ851992 AWM851992 BGI851992 BQE851992 CAA851992 CJW851992 CTS851992 DDO851992 DNK851992 DXG851992 EHC851992 EQY851992 FAU851992 FKQ851992 FUM851992 GEI851992 GOE851992 GYA851992 HHW851992 HRS851992 IBO851992 ILK851992 IVG851992 JFC851992 JOY851992 JYU851992 KIQ851992 KSM851992 LCI851992 LME851992 LWA851992 MFW851992 MPS851992 MZO851992 NJK851992 NTG851992 ODC851992 OMY851992 OWU851992 PGQ851992 PQM851992 QAI851992 QKE851992 QUA851992 RDW851992 RNS851992 RXO851992 SHK851992 SRG851992 TBC851992 TKY851992 TUU851992 UEQ851992 UOM851992 UYI851992 VIE851992 VSA851992 WBW851992 WLS851992 WVO851992 G917528 JC917528 SY917528 ACU917528 AMQ917528 AWM917528 BGI917528 BQE917528 CAA917528 CJW917528 CTS917528 DDO917528 DNK917528 DXG917528 EHC917528 EQY917528 FAU917528 FKQ917528 FUM917528 GEI917528 GOE917528 GYA917528 HHW917528 HRS917528 IBO917528 ILK917528 IVG917528 JFC917528 JOY917528 JYU917528 KIQ917528 KSM917528 LCI917528 LME917528 LWA917528 MFW917528 MPS917528 MZO917528 NJK917528 NTG917528 ODC917528 OMY917528 OWU917528 PGQ917528 PQM917528 QAI917528 QKE917528 QUA917528 RDW917528 RNS917528 RXO917528 SHK917528 SRG917528 TBC917528 TKY917528 TUU917528 UEQ917528 UOM917528 UYI917528 VIE917528 VSA917528 WBW917528 WLS917528 WVO917528 G983064 JC983064 SY983064 ACU983064 AMQ983064 AWM983064 BGI983064 BQE983064 CAA983064 CJW983064 CTS983064 DDO983064 DNK983064 DXG983064 EHC983064 EQY983064 FAU983064 FKQ983064 FUM983064 GEI983064 GOE983064 GYA983064 HHW983064 HRS983064 IBO983064 ILK983064 IVG983064 JFC983064 JOY983064 JYU983064 KIQ983064 KSM983064 LCI983064 LME983064 LWA983064 MFW983064 MPS983064 MZO983064 NJK983064 NTG983064 ODC983064 OMY983064 OWU983064 PGQ983064 PQM983064 QAI983064 QKE983064 QUA983064 RDW983064 RNS983064 RXO983064 SHK983064 SRG983064 TBC983064 TKY983064 TUU983064 UEQ983064 UOM983064 UYI983064 VIE983064 VSA983064 WBW983064 WLS983064 WVO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formula1>环境</formula1>
    </dataValidation>
    <dataValidation type="list" allowBlank="1" showInputMessage="1" showErrorMessage="1" sqref="C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C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C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C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C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C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C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C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C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C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C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C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C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C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C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C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E35 JA35 SW35 ACS35 AMO35 AWK35 BGG35 BQC35 BZY35 CJU35 CTQ35 DDM35 DNI35 DXE35 EHA35 EQW35 FAS35 FKO35 FUK35 GEG35 GOC35 GXY35 HHU35 HRQ35 IBM35 ILI35 IVE35 JFA35 JOW35 JYS35 KIO35 KSK35 LCG35 LMC35 LVY35 MFU35 MPQ35 MZM35 NJI35 NTE35 ODA35 OMW35 OWS35 PGO35 PQK35 QAG35 QKC35 QTY35 RDU35 RNQ35 RXM35 SHI35 SRE35 TBA35 TKW35 TUS35 UEO35 UOK35 UYG35 VIC35 VRY35 WBU35 WLQ35 WVM35 E65571 JA65571 SW65571 ACS65571 AMO65571 AWK65571 BGG65571 BQC65571 BZY65571 CJU65571 CTQ65571 DDM65571 DNI65571 DXE65571 EHA65571 EQW65571 FAS65571 FKO65571 FUK65571 GEG65571 GOC65571 GXY65571 HHU65571 HRQ65571 IBM65571 ILI65571 IVE65571 JFA65571 JOW65571 JYS65571 KIO65571 KSK65571 LCG65571 LMC65571 LVY65571 MFU65571 MPQ65571 MZM65571 NJI65571 NTE65571 ODA65571 OMW65571 OWS65571 PGO65571 PQK65571 QAG65571 QKC65571 QTY65571 RDU65571 RNQ65571 RXM65571 SHI65571 SRE65571 TBA65571 TKW65571 TUS65571 UEO65571 UOK65571 UYG65571 VIC65571 VRY65571 WBU65571 WLQ65571 WVM65571 E131107 JA131107 SW131107 ACS131107 AMO131107 AWK131107 BGG131107 BQC131107 BZY131107 CJU131107 CTQ131107 DDM131107 DNI131107 DXE131107 EHA131107 EQW131107 FAS131107 FKO131107 FUK131107 GEG131107 GOC131107 GXY131107 HHU131107 HRQ131107 IBM131107 ILI131107 IVE131107 JFA131107 JOW131107 JYS131107 KIO131107 KSK131107 LCG131107 LMC131107 LVY131107 MFU131107 MPQ131107 MZM131107 NJI131107 NTE131107 ODA131107 OMW131107 OWS131107 PGO131107 PQK131107 QAG131107 QKC131107 QTY131107 RDU131107 RNQ131107 RXM131107 SHI131107 SRE131107 TBA131107 TKW131107 TUS131107 UEO131107 UOK131107 UYG131107 VIC131107 VRY131107 WBU131107 WLQ131107 WVM131107 E196643 JA196643 SW196643 ACS196643 AMO196643 AWK196643 BGG196643 BQC196643 BZY196643 CJU196643 CTQ196643 DDM196643 DNI196643 DXE196643 EHA196643 EQW196643 FAS196643 FKO196643 FUK196643 GEG196643 GOC196643 GXY196643 HHU196643 HRQ196643 IBM196643 ILI196643 IVE196643 JFA196643 JOW196643 JYS196643 KIO196643 KSK196643 LCG196643 LMC196643 LVY196643 MFU196643 MPQ196643 MZM196643 NJI196643 NTE196643 ODA196643 OMW196643 OWS196643 PGO196643 PQK196643 QAG196643 QKC196643 QTY196643 RDU196643 RNQ196643 RXM196643 SHI196643 SRE196643 TBA196643 TKW196643 TUS196643 UEO196643 UOK196643 UYG196643 VIC196643 VRY196643 WBU196643 WLQ196643 WVM196643 E262179 JA262179 SW262179 ACS262179 AMO262179 AWK262179 BGG262179 BQC262179 BZY262179 CJU262179 CTQ262179 DDM262179 DNI262179 DXE262179 EHA262179 EQW262179 FAS262179 FKO262179 FUK262179 GEG262179 GOC262179 GXY262179 HHU262179 HRQ262179 IBM262179 ILI262179 IVE262179 JFA262179 JOW262179 JYS262179 KIO262179 KSK262179 LCG262179 LMC262179 LVY262179 MFU262179 MPQ262179 MZM262179 NJI262179 NTE262179 ODA262179 OMW262179 OWS262179 PGO262179 PQK262179 QAG262179 QKC262179 QTY262179 RDU262179 RNQ262179 RXM262179 SHI262179 SRE262179 TBA262179 TKW262179 TUS262179 UEO262179 UOK262179 UYG262179 VIC262179 VRY262179 WBU262179 WLQ262179 WVM262179 E327715 JA327715 SW327715 ACS327715 AMO327715 AWK327715 BGG327715 BQC327715 BZY327715 CJU327715 CTQ327715 DDM327715 DNI327715 DXE327715 EHA327715 EQW327715 FAS327715 FKO327715 FUK327715 GEG327715 GOC327715 GXY327715 HHU327715 HRQ327715 IBM327715 ILI327715 IVE327715 JFA327715 JOW327715 JYS327715 KIO327715 KSK327715 LCG327715 LMC327715 LVY327715 MFU327715 MPQ327715 MZM327715 NJI327715 NTE327715 ODA327715 OMW327715 OWS327715 PGO327715 PQK327715 QAG327715 QKC327715 QTY327715 RDU327715 RNQ327715 RXM327715 SHI327715 SRE327715 TBA327715 TKW327715 TUS327715 UEO327715 UOK327715 UYG327715 VIC327715 VRY327715 WBU327715 WLQ327715 WVM327715 E393251 JA393251 SW393251 ACS393251 AMO393251 AWK393251 BGG393251 BQC393251 BZY393251 CJU393251 CTQ393251 DDM393251 DNI393251 DXE393251 EHA393251 EQW393251 FAS393251 FKO393251 FUK393251 GEG393251 GOC393251 GXY393251 HHU393251 HRQ393251 IBM393251 ILI393251 IVE393251 JFA393251 JOW393251 JYS393251 KIO393251 KSK393251 LCG393251 LMC393251 LVY393251 MFU393251 MPQ393251 MZM393251 NJI393251 NTE393251 ODA393251 OMW393251 OWS393251 PGO393251 PQK393251 QAG393251 QKC393251 QTY393251 RDU393251 RNQ393251 RXM393251 SHI393251 SRE393251 TBA393251 TKW393251 TUS393251 UEO393251 UOK393251 UYG393251 VIC393251 VRY393251 WBU393251 WLQ393251 WVM393251 E458787 JA458787 SW458787 ACS458787 AMO458787 AWK458787 BGG458787 BQC458787 BZY458787 CJU458787 CTQ458787 DDM458787 DNI458787 DXE458787 EHA458787 EQW458787 FAS458787 FKO458787 FUK458787 GEG458787 GOC458787 GXY458787 HHU458787 HRQ458787 IBM458787 ILI458787 IVE458787 JFA458787 JOW458787 JYS458787 KIO458787 KSK458787 LCG458787 LMC458787 LVY458787 MFU458787 MPQ458787 MZM458787 NJI458787 NTE458787 ODA458787 OMW458787 OWS458787 PGO458787 PQK458787 QAG458787 QKC458787 QTY458787 RDU458787 RNQ458787 RXM458787 SHI458787 SRE458787 TBA458787 TKW458787 TUS458787 UEO458787 UOK458787 UYG458787 VIC458787 VRY458787 WBU458787 WLQ458787 WVM458787 E524323 JA524323 SW524323 ACS524323 AMO524323 AWK524323 BGG524323 BQC524323 BZY524323 CJU524323 CTQ524323 DDM524323 DNI524323 DXE524323 EHA524323 EQW524323 FAS524323 FKO524323 FUK524323 GEG524323 GOC524323 GXY524323 HHU524323 HRQ524323 IBM524323 ILI524323 IVE524323 JFA524323 JOW524323 JYS524323 KIO524323 KSK524323 LCG524323 LMC524323 LVY524323 MFU524323 MPQ524323 MZM524323 NJI524323 NTE524323 ODA524323 OMW524323 OWS524323 PGO524323 PQK524323 QAG524323 QKC524323 QTY524323 RDU524323 RNQ524323 RXM524323 SHI524323 SRE524323 TBA524323 TKW524323 TUS524323 UEO524323 UOK524323 UYG524323 VIC524323 VRY524323 WBU524323 WLQ524323 WVM524323 E589859 JA589859 SW589859 ACS589859 AMO589859 AWK589859 BGG589859 BQC589859 BZY589859 CJU589859 CTQ589859 DDM589859 DNI589859 DXE589859 EHA589859 EQW589859 FAS589859 FKO589859 FUK589859 GEG589859 GOC589859 GXY589859 HHU589859 HRQ589859 IBM589859 ILI589859 IVE589859 JFA589859 JOW589859 JYS589859 KIO589859 KSK589859 LCG589859 LMC589859 LVY589859 MFU589859 MPQ589859 MZM589859 NJI589859 NTE589859 ODA589859 OMW589859 OWS589859 PGO589859 PQK589859 QAG589859 QKC589859 QTY589859 RDU589859 RNQ589859 RXM589859 SHI589859 SRE589859 TBA589859 TKW589859 TUS589859 UEO589859 UOK589859 UYG589859 VIC589859 VRY589859 WBU589859 WLQ589859 WVM589859 E655395 JA655395 SW655395 ACS655395 AMO655395 AWK655395 BGG655395 BQC655395 BZY655395 CJU655395 CTQ655395 DDM655395 DNI655395 DXE655395 EHA655395 EQW655395 FAS655395 FKO655395 FUK655395 GEG655395 GOC655395 GXY655395 HHU655395 HRQ655395 IBM655395 ILI655395 IVE655395 JFA655395 JOW655395 JYS655395 KIO655395 KSK655395 LCG655395 LMC655395 LVY655395 MFU655395 MPQ655395 MZM655395 NJI655395 NTE655395 ODA655395 OMW655395 OWS655395 PGO655395 PQK655395 QAG655395 QKC655395 QTY655395 RDU655395 RNQ655395 RXM655395 SHI655395 SRE655395 TBA655395 TKW655395 TUS655395 UEO655395 UOK655395 UYG655395 VIC655395 VRY655395 WBU655395 WLQ655395 WVM655395 E720931 JA720931 SW720931 ACS720931 AMO720931 AWK720931 BGG720931 BQC720931 BZY720931 CJU720931 CTQ720931 DDM720931 DNI720931 DXE720931 EHA720931 EQW720931 FAS720931 FKO720931 FUK720931 GEG720931 GOC720931 GXY720931 HHU720931 HRQ720931 IBM720931 ILI720931 IVE720931 JFA720931 JOW720931 JYS720931 KIO720931 KSK720931 LCG720931 LMC720931 LVY720931 MFU720931 MPQ720931 MZM720931 NJI720931 NTE720931 ODA720931 OMW720931 OWS720931 PGO720931 PQK720931 QAG720931 QKC720931 QTY720931 RDU720931 RNQ720931 RXM720931 SHI720931 SRE720931 TBA720931 TKW720931 TUS720931 UEO720931 UOK720931 UYG720931 VIC720931 VRY720931 WBU720931 WLQ720931 WVM720931 E786467 JA786467 SW786467 ACS786467 AMO786467 AWK786467 BGG786467 BQC786467 BZY786467 CJU786467 CTQ786467 DDM786467 DNI786467 DXE786467 EHA786467 EQW786467 FAS786467 FKO786467 FUK786467 GEG786467 GOC786467 GXY786467 HHU786467 HRQ786467 IBM786467 ILI786467 IVE786467 JFA786467 JOW786467 JYS786467 KIO786467 KSK786467 LCG786467 LMC786467 LVY786467 MFU786467 MPQ786467 MZM786467 NJI786467 NTE786467 ODA786467 OMW786467 OWS786467 PGO786467 PQK786467 QAG786467 QKC786467 QTY786467 RDU786467 RNQ786467 RXM786467 SHI786467 SRE786467 TBA786467 TKW786467 TUS786467 UEO786467 UOK786467 UYG786467 VIC786467 VRY786467 WBU786467 WLQ786467 WVM786467 E852003 JA852003 SW852003 ACS852003 AMO852003 AWK852003 BGG852003 BQC852003 BZY852003 CJU852003 CTQ852003 DDM852003 DNI852003 DXE852003 EHA852003 EQW852003 FAS852003 FKO852003 FUK852003 GEG852003 GOC852003 GXY852003 HHU852003 HRQ852003 IBM852003 ILI852003 IVE852003 JFA852003 JOW852003 JYS852003 KIO852003 KSK852003 LCG852003 LMC852003 LVY852003 MFU852003 MPQ852003 MZM852003 NJI852003 NTE852003 ODA852003 OMW852003 OWS852003 PGO852003 PQK852003 QAG852003 QKC852003 QTY852003 RDU852003 RNQ852003 RXM852003 SHI852003 SRE852003 TBA852003 TKW852003 TUS852003 UEO852003 UOK852003 UYG852003 VIC852003 VRY852003 WBU852003 WLQ852003 WVM852003 E917539 JA917539 SW917539 ACS917539 AMO917539 AWK917539 BGG917539 BQC917539 BZY917539 CJU917539 CTQ917539 DDM917539 DNI917539 DXE917539 EHA917539 EQW917539 FAS917539 FKO917539 FUK917539 GEG917539 GOC917539 GXY917539 HHU917539 HRQ917539 IBM917539 ILI917539 IVE917539 JFA917539 JOW917539 JYS917539 KIO917539 KSK917539 LCG917539 LMC917539 LVY917539 MFU917539 MPQ917539 MZM917539 NJI917539 NTE917539 ODA917539 OMW917539 OWS917539 PGO917539 PQK917539 QAG917539 QKC917539 QTY917539 RDU917539 RNQ917539 RXM917539 SHI917539 SRE917539 TBA917539 TKW917539 TUS917539 UEO917539 UOK917539 UYG917539 VIC917539 VRY917539 WBU917539 WLQ917539 WVM917539 E983075 JA983075 SW983075 ACS983075 AMO983075 AWK983075 BGG983075 BQC983075 BZY983075 CJU983075 CTQ983075 DDM983075 DNI983075 DXE983075 EHA983075 EQW983075 FAS983075 FKO983075 FUK983075 GEG983075 GOC983075 GXY983075 HHU983075 HRQ983075 IBM983075 ILI983075 IVE983075 JFA983075 JOW983075 JYS983075 KIO983075 KSK983075 LCG983075 LMC983075 LVY983075 MFU983075 MPQ983075 MZM983075 NJI983075 NTE983075 ODA983075 OMW983075 OWS983075 PGO983075 PQK983075 QAG983075 QKC983075 QTY983075 RDU983075 RNQ983075 RXM983075 SHI983075 SRE983075 TBA983075 TKW983075 TUS983075 UEO983075 UOK983075 UYG983075 VIC983075 VRY983075 WBU983075 WLQ983075 WVM983075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1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7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3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79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5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1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7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3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59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5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1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7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3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39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5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I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I65571 JE65571 TA65571 ACW65571 AMS65571 AWO65571 BGK65571 BQG65571 CAC65571 CJY65571 CTU65571 DDQ65571 DNM65571 DXI65571 EHE65571 ERA65571 FAW65571 FKS65571 FUO65571 GEK65571 GOG65571 GYC65571 HHY65571 HRU65571 IBQ65571 ILM65571 IVI65571 JFE65571 JPA65571 JYW65571 KIS65571 KSO65571 LCK65571 LMG65571 LWC65571 MFY65571 MPU65571 MZQ65571 NJM65571 NTI65571 ODE65571 ONA65571 OWW65571 PGS65571 PQO65571 QAK65571 QKG65571 QUC65571 RDY65571 RNU65571 RXQ65571 SHM65571 SRI65571 TBE65571 TLA65571 TUW65571 UES65571 UOO65571 UYK65571 VIG65571 VSC65571 WBY65571 WLU65571 WVQ65571 I131107 JE131107 TA131107 ACW131107 AMS131107 AWO131107 BGK131107 BQG131107 CAC131107 CJY131107 CTU131107 DDQ131107 DNM131107 DXI131107 EHE131107 ERA131107 FAW131107 FKS131107 FUO131107 GEK131107 GOG131107 GYC131107 HHY131107 HRU131107 IBQ131107 ILM131107 IVI131107 JFE131107 JPA131107 JYW131107 KIS131107 KSO131107 LCK131107 LMG131107 LWC131107 MFY131107 MPU131107 MZQ131107 NJM131107 NTI131107 ODE131107 ONA131107 OWW131107 PGS131107 PQO131107 QAK131107 QKG131107 QUC131107 RDY131107 RNU131107 RXQ131107 SHM131107 SRI131107 TBE131107 TLA131107 TUW131107 UES131107 UOO131107 UYK131107 VIG131107 VSC131107 WBY131107 WLU131107 WVQ131107 I196643 JE196643 TA196643 ACW196643 AMS196643 AWO196643 BGK196643 BQG196643 CAC196643 CJY196643 CTU196643 DDQ196643 DNM196643 DXI196643 EHE196643 ERA196643 FAW196643 FKS196643 FUO196643 GEK196643 GOG196643 GYC196643 HHY196643 HRU196643 IBQ196643 ILM196643 IVI196643 JFE196643 JPA196643 JYW196643 KIS196643 KSO196643 LCK196643 LMG196643 LWC196643 MFY196643 MPU196643 MZQ196643 NJM196643 NTI196643 ODE196643 ONA196643 OWW196643 PGS196643 PQO196643 QAK196643 QKG196643 QUC196643 RDY196643 RNU196643 RXQ196643 SHM196643 SRI196643 TBE196643 TLA196643 TUW196643 UES196643 UOO196643 UYK196643 VIG196643 VSC196643 WBY196643 WLU196643 WVQ196643 I262179 JE262179 TA262179 ACW262179 AMS262179 AWO262179 BGK262179 BQG262179 CAC262179 CJY262179 CTU262179 DDQ262179 DNM262179 DXI262179 EHE262179 ERA262179 FAW262179 FKS262179 FUO262179 GEK262179 GOG262179 GYC262179 HHY262179 HRU262179 IBQ262179 ILM262179 IVI262179 JFE262179 JPA262179 JYW262179 KIS262179 KSO262179 LCK262179 LMG262179 LWC262179 MFY262179 MPU262179 MZQ262179 NJM262179 NTI262179 ODE262179 ONA262179 OWW262179 PGS262179 PQO262179 QAK262179 QKG262179 QUC262179 RDY262179 RNU262179 RXQ262179 SHM262179 SRI262179 TBE262179 TLA262179 TUW262179 UES262179 UOO262179 UYK262179 VIG262179 VSC262179 WBY262179 WLU262179 WVQ262179 I327715 JE327715 TA327715 ACW327715 AMS327715 AWO327715 BGK327715 BQG327715 CAC327715 CJY327715 CTU327715 DDQ327715 DNM327715 DXI327715 EHE327715 ERA327715 FAW327715 FKS327715 FUO327715 GEK327715 GOG327715 GYC327715 HHY327715 HRU327715 IBQ327715 ILM327715 IVI327715 JFE327715 JPA327715 JYW327715 KIS327715 KSO327715 LCK327715 LMG327715 LWC327715 MFY327715 MPU327715 MZQ327715 NJM327715 NTI327715 ODE327715 ONA327715 OWW327715 PGS327715 PQO327715 QAK327715 QKG327715 QUC327715 RDY327715 RNU327715 RXQ327715 SHM327715 SRI327715 TBE327715 TLA327715 TUW327715 UES327715 UOO327715 UYK327715 VIG327715 VSC327715 WBY327715 WLU327715 WVQ327715 I393251 JE393251 TA393251 ACW393251 AMS393251 AWO393251 BGK393251 BQG393251 CAC393251 CJY393251 CTU393251 DDQ393251 DNM393251 DXI393251 EHE393251 ERA393251 FAW393251 FKS393251 FUO393251 GEK393251 GOG393251 GYC393251 HHY393251 HRU393251 IBQ393251 ILM393251 IVI393251 JFE393251 JPA393251 JYW393251 KIS393251 KSO393251 LCK393251 LMG393251 LWC393251 MFY393251 MPU393251 MZQ393251 NJM393251 NTI393251 ODE393251 ONA393251 OWW393251 PGS393251 PQO393251 QAK393251 QKG393251 QUC393251 RDY393251 RNU393251 RXQ393251 SHM393251 SRI393251 TBE393251 TLA393251 TUW393251 UES393251 UOO393251 UYK393251 VIG393251 VSC393251 WBY393251 WLU393251 WVQ393251 I458787 JE458787 TA458787 ACW458787 AMS458787 AWO458787 BGK458787 BQG458787 CAC458787 CJY458787 CTU458787 DDQ458787 DNM458787 DXI458787 EHE458787 ERA458787 FAW458787 FKS458787 FUO458787 GEK458787 GOG458787 GYC458787 HHY458787 HRU458787 IBQ458787 ILM458787 IVI458787 JFE458787 JPA458787 JYW458787 KIS458787 KSO458787 LCK458787 LMG458787 LWC458787 MFY458787 MPU458787 MZQ458787 NJM458787 NTI458787 ODE458787 ONA458787 OWW458787 PGS458787 PQO458787 QAK458787 QKG458787 QUC458787 RDY458787 RNU458787 RXQ458787 SHM458787 SRI458787 TBE458787 TLA458787 TUW458787 UES458787 UOO458787 UYK458787 VIG458787 VSC458787 WBY458787 WLU458787 WVQ458787 I524323 JE524323 TA524323 ACW524323 AMS524323 AWO524323 BGK524323 BQG524323 CAC524323 CJY524323 CTU524323 DDQ524323 DNM524323 DXI524323 EHE524323 ERA524323 FAW524323 FKS524323 FUO524323 GEK524323 GOG524323 GYC524323 HHY524323 HRU524323 IBQ524323 ILM524323 IVI524323 JFE524323 JPA524323 JYW524323 KIS524323 KSO524323 LCK524323 LMG524323 LWC524323 MFY524323 MPU524323 MZQ524323 NJM524323 NTI524323 ODE524323 ONA524323 OWW524323 PGS524323 PQO524323 QAK524323 QKG524323 QUC524323 RDY524323 RNU524323 RXQ524323 SHM524323 SRI524323 TBE524323 TLA524323 TUW524323 UES524323 UOO524323 UYK524323 VIG524323 VSC524323 WBY524323 WLU524323 WVQ524323 I589859 JE589859 TA589859 ACW589859 AMS589859 AWO589859 BGK589859 BQG589859 CAC589859 CJY589859 CTU589859 DDQ589859 DNM589859 DXI589859 EHE589859 ERA589859 FAW589859 FKS589859 FUO589859 GEK589859 GOG589859 GYC589859 HHY589859 HRU589859 IBQ589859 ILM589859 IVI589859 JFE589859 JPA589859 JYW589859 KIS589859 KSO589859 LCK589859 LMG589859 LWC589859 MFY589859 MPU589859 MZQ589859 NJM589859 NTI589859 ODE589859 ONA589859 OWW589859 PGS589859 PQO589859 QAK589859 QKG589859 QUC589859 RDY589859 RNU589859 RXQ589859 SHM589859 SRI589859 TBE589859 TLA589859 TUW589859 UES589859 UOO589859 UYK589859 VIG589859 VSC589859 WBY589859 WLU589859 WVQ589859 I655395 JE655395 TA655395 ACW655395 AMS655395 AWO655395 BGK655395 BQG655395 CAC655395 CJY655395 CTU655395 DDQ655395 DNM655395 DXI655395 EHE655395 ERA655395 FAW655395 FKS655395 FUO655395 GEK655395 GOG655395 GYC655395 HHY655395 HRU655395 IBQ655395 ILM655395 IVI655395 JFE655395 JPA655395 JYW655395 KIS655395 KSO655395 LCK655395 LMG655395 LWC655395 MFY655395 MPU655395 MZQ655395 NJM655395 NTI655395 ODE655395 ONA655395 OWW655395 PGS655395 PQO655395 QAK655395 QKG655395 QUC655395 RDY655395 RNU655395 RXQ655395 SHM655395 SRI655395 TBE655395 TLA655395 TUW655395 UES655395 UOO655395 UYK655395 VIG655395 VSC655395 WBY655395 WLU655395 WVQ655395 I720931 JE720931 TA720931 ACW720931 AMS720931 AWO720931 BGK720931 BQG720931 CAC720931 CJY720931 CTU720931 DDQ720931 DNM720931 DXI720931 EHE720931 ERA720931 FAW720931 FKS720931 FUO720931 GEK720931 GOG720931 GYC720931 HHY720931 HRU720931 IBQ720931 ILM720931 IVI720931 JFE720931 JPA720931 JYW720931 KIS720931 KSO720931 LCK720931 LMG720931 LWC720931 MFY720931 MPU720931 MZQ720931 NJM720931 NTI720931 ODE720931 ONA720931 OWW720931 PGS720931 PQO720931 QAK720931 QKG720931 QUC720931 RDY720931 RNU720931 RXQ720931 SHM720931 SRI720931 TBE720931 TLA720931 TUW720931 UES720931 UOO720931 UYK720931 VIG720931 VSC720931 WBY720931 WLU720931 WVQ720931 I786467 JE786467 TA786467 ACW786467 AMS786467 AWO786467 BGK786467 BQG786467 CAC786467 CJY786467 CTU786467 DDQ786467 DNM786467 DXI786467 EHE786467 ERA786467 FAW786467 FKS786467 FUO786467 GEK786467 GOG786467 GYC786467 HHY786467 HRU786467 IBQ786467 ILM786467 IVI786467 JFE786467 JPA786467 JYW786467 KIS786467 KSO786467 LCK786467 LMG786467 LWC786467 MFY786467 MPU786467 MZQ786467 NJM786467 NTI786467 ODE786467 ONA786467 OWW786467 PGS786467 PQO786467 QAK786467 QKG786467 QUC786467 RDY786467 RNU786467 RXQ786467 SHM786467 SRI786467 TBE786467 TLA786467 TUW786467 UES786467 UOO786467 UYK786467 VIG786467 VSC786467 WBY786467 WLU786467 WVQ786467 I852003 JE852003 TA852003 ACW852003 AMS852003 AWO852003 BGK852003 BQG852003 CAC852003 CJY852003 CTU852003 DDQ852003 DNM852003 DXI852003 EHE852003 ERA852003 FAW852003 FKS852003 FUO852003 GEK852003 GOG852003 GYC852003 HHY852003 HRU852003 IBQ852003 ILM852003 IVI852003 JFE852003 JPA852003 JYW852003 KIS852003 KSO852003 LCK852003 LMG852003 LWC852003 MFY852003 MPU852003 MZQ852003 NJM852003 NTI852003 ODE852003 ONA852003 OWW852003 PGS852003 PQO852003 QAK852003 QKG852003 QUC852003 RDY852003 RNU852003 RXQ852003 SHM852003 SRI852003 TBE852003 TLA852003 TUW852003 UES852003 UOO852003 UYK852003 VIG852003 VSC852003 WBY852003 WLU852003 WVQ852003 I917539 JE917539 TA917539 ACW917539 AMS917539 AWO917539 BGK917539 BQG917539 CAC917539 CJY917539 CTU917539 DDQ917539 DNM917539 DXI917539 EHE917539 ERA917539 FAW917539 FKS917539 FUO917539 GEK917539 GOG917539 GYC917539 HHY917539 HRU917539 IBQ917539 ILM917539 IVI917539 JFE917539 JPA917539 JYW917539 KIS917539 KSO917539 LCK917539 LMG917539 LWC917539 MFY917539 MPU917539 MZQ917539 NJM917539 NTI917539 ODE917539 ONA917539 OWW917539 PGS917539 PQO917539 QAK917539 QKG917539 QUC917539 RDY917539 RNU917539 RXQ917539 SHM917539 SRI917539 TBE917539 TLA917539 TUW917539 UES917539 UOO917539 UYK917539 VIG917539 VSC917539 WBY917539 WLU917539 WVQ917539 I983075 JE983075 TA983075 ACW983075 AMS983075 AWO983075 BGK983075 BQG983075 CAC983075 CJY983075 CTU983075 DDQ983075 DNM983075 DXI983075 EHE983075 ERA983075 FAW983075 FKS983075 FUO983075 GEK983075 GOG983075 GYC983075 HHY983075 HRU983075 IBQ983075 ILM983075 IVI983075 JFE983075 JPA983075 JYW983075 KIS983075 KSO983075 LCK983075 LMG983075 LWC983075 MFY983075 MPU983075 MZQ983075 NJM983075 NTI983075 ODE983075 ONA983075 OWW983075 PGS983075 PQO983075 QAK983075 QKG983075 QUC983075 RDY983075 RNU983075 RXQ983075 SHM983075 SRI983075 TBE983075 TLA983075 TUW983075 UES983075 UOO983075 UYK983075 VIG983075 VSC983075 WBY983075 WLU983075 WVQ98307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abSelected="1" workbookViewId="0">
      <selection activeCell="C16" sqref="C16"/>
    </sheetView>
  </sheetViews>
  <sheetFormatPr defaultColWidth="8.375" defaultRowHeight="12.75"/>
  <cols>
    <col min="1" max="1" width="9.375" style="2161" customWidth="1"/>
    <col min="2" max="2" width="26.625" style="2162" customWidth="1"/>
    <col min="3" max="3" width="11.125" style="2162" customWidth="1"/>
    <col min="4" max="5" width="11.125" style="2163" customWidth="1"/>
    <col min="6" max="6" width="9.5" style="2162" customWidth="1"/>
    <col min="7" max="7" width="31.875" style="2162" customWidth="1"/>
    <col min="8" max="25" width="9" style="2164" customWidth="1"/>
    <col min="26" max="254" width="9" style="2162" customWidth="1"/>
    <col min="255" max="16384" width="8.375" style="2162"/>
  </cols>
  <sheetData>
    <row r="1" spans="1:25" s="2035" customFormat="1" ht="20.25">
      <c r="A1" s="421" t="s">
        <v>602</v>
      </c>
      <c r="B1" s="742"/>
      <c r="C1" s="2158"/>
      <c r="D1" s="2158"/>
      <c r="E1" s="2158"/>
      <c r="F1" s="2158"/>
      <c r="G1" s="2084"/>
    </row>
    <row r="2" spans="1:25" s="2035" customFormat="1" ht="18" customHeight="1">
      <c r="A2" s="423" t="s">
        <v>466</v>
      </c>
      <c r="B2" s="425">
        <f ca="1">C23</f>
        <v>273614</v>
      </c>
      <c r="C2" s="2084"/>
      <c r="D2" s="2084"/>
      <c r="E2" s="2084"/>
      <c r="F2" s="2084"/>
      <c r="G2" s="2084"/>
    </row>
    <row r="3" spans="1:25" s="2035" customFormat="1" ht="18" customHeight="1">
      <c r="A3" s="1366" t="s">
        <v>1663</v>
      </c>
      <c r="B3" s="425">
        <f ca="1">ROUND(B2*10000/'数据-汇总表'!E3,0)</f>
        <v>4915</v>
      </c>
      <c r="C3" s="2084"/>
      <c r="D3" s="2084"/>
      <c r="E3" s="2084"/>
      <c r="F3" s="2084"/>
      <c r="G3" s="2084"/>
    </row>
    <row r="4" spans="1:25" s="2035" customFormat="1" ht="18" customHeight="1">
      <c r="A4" s="426" t="s">
        <v>467</v>
      </c>
      <c r="B4" s="427">
        <f ca="1">ROUND(B2*10000/'数据-汇总表'!D3,0)</f>
        <v>7379</v>
      </c>
      <c r="C4" s="2037"/>
      <c r="D4" s="2084"/>
      <c r="E4" s="2084"/>
      <c r="F4" s="2084"/>
      <c r="G4" s="2084"/>
    </row>
    <row r="5" spans="1:25" s="2035" customFormat="1" ht="18" customHeight="1" thickBot="1">
      <c r="A5" s="429"/>
      <c r="B5" s="430">
        <f ca="1">ROUND(B2/('数据-汇总表'!D3/666.67),0)</f>
        <v>492</v>
      </c>
      <c r="C5" s="431" t="s">
        <v>468</v>
      </c>
      <c r="D5" s="2084"/>
      <c r="E5" s="2084"/>
      <c r="F5" s="2084"/>
      <c r="G5" s="2084"/>
    </row>
    <row r="6" spans="1:25" s="2159" customFormat="1" ht="13.5" customHeight="1">
      <c r="A6" s="743"/>
      <c r="B6" s="744" t="s">
        <v>603</v>
      </c>
      <c r="C6" s="745" t="s">
        <v>604</v>
      </c>
      <c r="D6" s="745" t="s">
        <v>605</v>
      </c>
      <c r="E6" s="746" t="s">
        <v>606</v>
      </c>
      <c r="F6" s="746" t="s">
        <v>607</v>
      </c>
      <c r="G6" s="747"/>
    </row>
    <row r="7" spans="1:25" s="2159" customFormat="1" ht="13.5" customHeight="1">
      <c r="A7" s="2408">
        <v>1</v>
      </c>
      <c r="B7" s="748" t="s">
        <v>608</v>
      </c>
      <c r="C7" s="749">
        <f>C8+C9</f>
        <v>59283.236714999999</v>
      </c>
      <c r="D7" s="749"/>
      <c r="E7" s="750"/>
      <c r="F7" s="750"/>
      <c r="G7" s="2418" t="s">
        <v>3164</v>
      </c>
    </row>
    <row r="8" spans="1:25" s="2159" customFormat="1" ht="13.5" customHeight="1">
      <c r="A8" s="2408" t="s">
        <v>2415</v>
      </c>
      <c r="B8" s="2411" t="s">
        <v>2417</v>
      </c>
      <c r="C8" s="3555">
        <f>取得费!N4*D10/10000</f>
        <v>59283.236714999999</v>
      </c>
      <c r="D8" s="749"/>
      <c r="E8" s="750"/>
      <c r="F8" s="750"/>
      <c r="G8" s="751"/>
    </row>
    <row r="9" spans="1:25" s="2159" customFormat="1" ht="13.5" customHeight="1">
      <c r="A9" s="2408" t="s">
        <v>2416</v>
      </c>
      <c r="B9" s="2411" t="s">
        <v>2418</v>
      </c>
      <c r="C9" s="2412"/>
      <c r="D9" s="749"/>
      <c r="E9" s="750"/>
      <c r="F9" s="750"/>
      <c r="G9" s="751"/>
    </row>
    <row r="10" spans="1:25" s="2159" customFormat="1" ht="36">
      <c r="A10" s="2408">
        <v>2</v>
      </c>
      <c r="B10" s="748" t="s">
        <v>612</v>
      </c>
      <c r="C10" s="749">
        <f>C11+C14+C15</f>
        <v>147900.26427666997</v>
      </c>
      <c r="D10" s="760">
        <f>'数据-汇总表'!E3</f>
        <v>556650.11</v>
      </c>
      <c r="E10" s="749">
        <f>'数据-取费表'!B31</f>
        <v>200</v>
      </c>
      <c r="F10" s="761"/>
      <c r="G10" s="759" t="s">
        <v>613</v>
      </c>
    </row>
    <row r="11" spans="1:25" s="2159" customFormat="1" ht="13.5" customHeight="1">
      <c r="A11" s="2408" t="s">
        <v>2415</v>
      </c>
      <c r="B11" s="752" t="s">
        <v>609</v>
      </c>
      <c r="C11" s="753">
        <f>'数据-取费表'!B29</f>
        <v>0</v>
      </c>
      <c r="D11" s="754"/>
      <c r="E11" s="753"/>
      <c r="F11" s="755"/>
      <c r="G11" s="2417" t="s">
        <v>2426</v>
      </c>
    </row>
    <row r="12" spans="1:25" s="2159" customFormat="1" ht="13.5" customHeight="1">
      <c r="A12" s="2415" t="s">
        <v>2423</v>
      </c>
      <c r="B12" s="756" t="s">
        <v>610</v>
      </c>
      <c r="C12" s="757">
        <f>ROUND(D12*E12/10000,0)</f>
        <v>0</v>
      </c>
      <c r="D12" s="758">
        <f>'数据-汇总表'!E5</f>
        <v>0</v>
      </c>
      <c r="E12" s="757">
        <f>'数据-取费表'!B27</f>
        <v>160</v>
      </c>
      <c r="F12" s="755"/>
      <c r="G12" s="759"/>
    </row>
    <row r="13" spans="1:25" s="2159" customFormat="1" ht="13.5" customHeight="1">
      <c r="A13" s="2415" t="s">
        <v>2422</v>
      </c>
      <c r="B13" s="756" t="s">
        <v>611</v>
      </c>
      <c r="C13" s="757">
        <f>ROUND(D13*E13/10000,0)</f>
        <v>11133</v>
      </c>
      <c r="D13" s="758">
        <f>'数据-汇总表'!E6</f>
        <v>556650.11</v>
      </c>
      <c r="E13" s="757">
        <f>'数据-取费表'!B28</f>
        <v>200</v>
      </c>
      <c r="F13" s="755"/>
      <c r="G13" s="759"/>
    </row>
    <row r="14" spans="1:25" s="2159" customFormat="1" ht="13.5" customHeight="1">
      <c r="A14" s="2408" t="s">
        <v>2416</v>
      </c>
      <c r="B14" s="2414" t="s">
        <v>2419</v>
      </c>
      <c r="C14" s="2412"/>
      <c r="D14" s="758"/>
      <c r="E14" s="757"/>
      <c r="F14" s="2413"/>
      <c r="G14" s="2416" t="s">
        <v>2424</v>
      </c>
    </row>
    <row r="15" spans="1:25" s="2159" customFormat="1" ht="13.5" customHeight="1">
      <c r="A15" s="2408" t="s">
        <v>2421</v>
      </c>
      <c r="B15" s="2414" t="s">
        <v>2420</v>
      </c>
      <c r="C15" s="3555">
        <f>开发费!F26*D10/10000</f>
        <v>147900.26427666997</v>
      </c>
      <c r="D15" s="758"/>
      <c r="E15" s="757"/>
      <c r="F15" s="2413"/>
      <c r="G15" s="2416" t="s">
        <v>2425</v>
      </c>
    </row>
    <row r="16" spans="1:25" s="2160" customFormat="1" ht="48">
      <c r="A16" s="2408">
        <v>3</v>
      </c>
      <c r="B16" s="748" t="s">
        <v>614</v>
      </c>
      <c r="C16" s="2412">
        <f>ROUND(41*D10/10000,2)</f>
        <v>2282.27</v>
      </c>
      <c r="D16" s="760"/>
      <c r="E16" s="749"/>
      <c r="F16" s="761"/>
      <c r="G16" s="759" t="s">
        <v>2427</v>
      </c>
      <c r="H16" s="2159"/>
      <c r="I16" s="2159"/>
      <c r="J16" s="2159"/>
      <c r="K16" s="2159"/>
      <c r="L16" s="2159"/>
      <c r="M16" s="2159"/>
      <c r="N16" s="2159"/>
      <c r="O16" s="2159"/>
      <c r="P16" s="2159"/>
      <c r="Q16" s="2159"/>
      <c r="R16" s="2159"/>
      <c r="S16" s="2159"/>
      <c r="T16" s="2159"/>
      <c r="U16" s="2159"/>
      <c r="V16" s="2159"/>
      <c r="W16" s="2159"/>
      <c r="X16" s="2159"/>
      <c r="Y16" s="2159"/>
    </row>
    <row r="17" spans="1:25" s="2160" customFormat="1" ht="25.5">
      <c r="A17" s="2409">
        <v>4</v>
      </c>
      <c r="B17" s="748" t="s">
        <v>615</v>
      </c>
      <c r="C17" s="2512">
        <f ca="1">ROUND(IF('数据-取费表'!B19&lt;=1,((C7+C16)*'数据-取费表'!B19+C10*'数据-取费表'!B19/2)*F17,((C7+C16)*(POWER((1+F17),'数据-取费表'!B19)-1)+C10*(POWER((1+F17),'数据-取费表'!B19/2)-1))),0)</f>
        <v>13013</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420"/>
      <c r="I17" s="2159"/>
      <c r="J17" s="2159"/>
      <c r="K17" s="2159"/>
      <c r="L17" s="2159"/>
      <c r="M17" s="2159"/>
      <c r="N17" s="2159"/>
      <c r="O17" s="2159"/>
      <c r="P17" s="2159"/>
      <c r="Q17" s="2159"/>
      <c r="R17" s="2159"/>
      <c r="S17" s="2159"/>
      <c r="T17" s="2159"/>
      <c r="U17" s="2159"/>
      <c r="V17" s="2159"/>
      <c r="W17" s="2159"/>
      <c r="X17" s="2159"/>
      <c r="Y17" s="2159"/>
    </row>
    <row r="18" spans="1:25" s="2160" customFormat="1" ht="13.5" customHeight="1">
      <c r="A18" s="2409">
        <v>5</v>
      </c>
      <c r="B18" s="748" t="s">
        <v>616</v>
      </c>
      <c r="C18" s="749">
        <f>ROUND((C7+C10+C16)*F18,0)</f>
        <v>25136</v>
      </c>
      <c r="D18" s="762"/>
      <c r="E18" s="763"/>
      <c r="F18" s="761">
        <f>'数据-取费表'!Q16</f>
        <v>0.12</v>
      </c>
      <c r="G18" s="765" t="s">
        <v>617</v>
      </c>
      <c r="H18" s="2159"/>
      <c r="I18" s="2159"/>
      <c r="J18" s="2159"/>
      <c r="K18" s="2159"/>
      <c r="L18" s="2159"/>
      <c r="M18" s="2159"/>
      <c r="N18" s="2159"/>
      <c r="O18" s="2159"/>
      <c r="P18" s="2159"/>
      <c r="Q18" s="2159"/>
      <c r="R18" s="2159"/>
      <c r="S18" s="2159"/>
      <c r="T18" s="2159"/>
      <c r="U18" s="2159"/>
      <c r="V18" s="2159"/>
      <c r="W18" s="2159"/>
      <c r="X18" s="2159"/>
      <c r="Y18" s="2159"/>
    </row>
    <row r="19" spans="1:25" s="2160" customFormat="1" ht="13.5" customHeight="1">
      <c r="A19" s="2408">
        <v>6</v>
      </c>
      <c r="B19" s="748" t="s">
        <v>618</v>
      </c>
      <c r="C19" s="749">
        <f ca="1">C7+C10+C16+C17+C18</f>
        <v>247614.77099166997</v>
      </c>
      <c r="D19" s="760"/>
      <c r="E19" s="749"/>
      <c r="F19" s="761"/>
      <c r="G19" s="765" t="s">
        <v>619</v>
      </c>
      <c r="H19" s="2159"/>
      <c r="I19" s="2159"/>
      <c r="J19" s="2159"/>
      <c r="K19" s="2159"/>
      <c r="L19" s="2159"/>
      <c r="M19" s="2159"/>
      <c r="N19" s="2159"/>
      <c r="O19" s="2159"/>
      <c r="P19" s="2159"/>
      <c r="Q19" s="2159"/>
      <c r="R19" s="2159"/>
      <c r="S19" s="2159"/>
      <c r="T19" s="2159"/>
      <c r="U19" s="2159"/>
      <c r="V19" s="2159"/>
      <c r="W19" s="2159"/>
      <c r="X19" s="2159"/>
      <c r="Y19" s="2159"/>
    </row>
    <row r="20" spans="1:25" s="2160" customFormat="1" ht="24.75">
      <c r="A20" s="2408">
        <v>7</v>
      </c>
      <c r="B20" s="748" t="s">
        <v>620</v>
      </c>
      <c r="C20" s="749">
        <f ca="1">ROUND(C19*F20,0)</f>
        <v>74284</v>
      </c>
      <c r="D20" s="760"/>
      <c r="E20" s="749"/>
      <c r="F20" s="1335">
        <v>0.3</v>
      </c>
      <c r="G20" s="765" t="s">
        <v>621</v>
      </c>
      <c r="H20" s="2159"/>
      <c r="I20" s="2159"/>
      <c r="J20" s="2159"/>
      <c r="K20" s="2159"/>
      <c r="L20" s="2159"/>
      <c r="M20" s="2159"/>
      <c r="N20" s="2159"/>
      <c r="O20" s="2159"/>
      <c r="P20" s="2159"/>
      <c r="Q20" s="2159"/>
      <c r="R20" s="2159"/>
      <c r="S20" s="2159"/>
      <c r="T20" s="2159"/>
      <c r="U20" s="2159"/>
      <c r="V20" s="2159"/>
      <c r="W20" s="2159"/>
      <c r="X20" s="2159"/>
      <c r="Y20" s="2159"/>
    </row>
    <row r="21" spans="1:25" s="2160" customFormat="1">
      <c r="A21" s="2408">
        <v>8</v>
      </c>
      <c r="B21" s="748" t="s">
        <v>622</v>
      </c>
      <c r="C21" s="749">
        <f ca="1">C19+C20</f>
        <v>321898.77099166997</v>
      </c>
      <c r="D21" s="760"/>
      <c r="E21" s="749"/>
      <c r="F21" s="761"/>
      <c r="G21" s="765" t="s">
        <v>623</v>
      </c>
      <c r="H21" s="2159"/>
      <c r="I21" s="2159"/>
      <c r="J21" s="2159"/>
      <c r="K21" s="2159"/>
      <c r="L21" s="2159"/>
      <c r="M21" s="2159"/>
      <c r="N21" s="2159"/>
      <c r="O21" s="2159"/>
      <c r="P21" s="2159"/>
      <c r="Q21" s="2159"/>
      <c r="R21" s="2159"/>
      <c r="S21" s="2159"/>
      <c r="T21" s="2159"/>
      <c r="U21" s="2159"/>
      <c r="V21" s="2159"/>
      <c r="W21" s="2159"/>
      <c r="X21" s="2159"/>
      <c r="Y21" s="2159"/>
    </row>
    <row r="22" spans="1:25" s="2160" customFormat="1" ht="13.5" customHeight="1">
      <c r="A22" s="2408">
        <v>9</v>
      </c>
      <c r="B22" s="748" t="s">
        <v>624</v>
      </c>
      <c r="C22" s="749">
        <f ca="1">ROUND(C21*F22,0)</f>
        <v>273614</v>
      </c>
      <c r="D22" s="760"/>
      <c r="E22" s="749"/>
      <c r="F22" s="766">
        <f>'数据-取费表'!AP16</f>
        <v>0.85</v>
      </c>
      <c r="G22" s="765" t="s">
        <v>625</v>
      </c>
      <c r="H22" s="2159"/>
      <c r="I22" s="2159"/>
      <c r="J22" s="2159"/>
      <c r="K22" s="2159"/>
      <c r="L22" s="2159"/>
      <c r="M22" s="2159"/>
      <c r="N22" s="2159"/>
      <c r="O22" s="2159"/>
      <c r="P22" s="2159"/>
      <c r="Q22" s="2159"/>
      <c r="R22" s="2159"/>
      <c r="S22" s="2159"/>
      <c r="T22" s="2159"/>
      <c r="U22" s="2159"/>
      <c r="V22" s="2159"/>
      <c r="W22" s="2159"/>
      <c r="X22" s="2159"/>
      <c r="Y22" s="2159"/>
    </row>
    <row r="23" spans="1:25" s="2160" customFormat="1" ht="13.5" customHeight="1" thickBot="1">
      <c r="A23" s="2410">
        <v>10</v>
      </c>
      <c r="B23" s="767" t="s">
        <v>626</v>
      </c>
      <c r="C23" s="768">
        <f ca="1">C22</f>
        <v>273614</v>
      </c>
      <c r="D23" s="769"/>
      <c r="E23" s="768"/>
      <c r="F23" s="770"/>
      <c r="G23" s="771"/>
      <c r="H23" s="2159"/>
      <c r="I23" s="2159"/>
      <c r="J23" s="2159"/>
      <c r="K23" s="2159"/>
      <c r="L23" s="2159"/>
      <c r="M23" s="2159"/>
      <c r="N23" s="2159"/>
      <c r="O23" s="2159"/>
      <c r="P23" s="2159"/>
      <c r="Q23" s="2159"/>
      <c r="R23" s="2159"/>
      <c r="S23" s="2159"/>
      <c r="T23" s="2159"/>
      <c r="U23" s="2159"/>
      <c r="V23" s="2159"/>
      <c r="W23" s="2159"/>
      <c r="X23" s="2159"/>
      <c r="Y23" s="2159"/>
    </row>
  </sheetData>
  <sheetProtection password="C66D" sheet="1" objects="1" scenarios="1" formatCells="0" formatColumns="0" formatRows="0"/>
  <phoneticPr fontId="1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49"/>
  <sheetViews>
    <sheetView topLeftCell="E1" zoomScale="150" zoomScaleNormal="150" workbookViewId="0">
      <selection activeCell="N5" sqref="N5"/>
    </sheetView>
  </sheetViews>
  <sheetFormatPr defaultColWidth="8.125" defaultRowHeight="12"/>
  <cols>
    <col min="1" max="1" width="1.875" style="3558" customWidth="1"/>
    <col min="2" max="2" width="4.625" style="3558" bestFit="1" customWidth="1"/>
    <col min="3" max="3" width="8.875" style="3558" bestFit="1" customWidth="1"/>
    <col min="4" max="4" width="20.375" style="3558" bestFit="1" customWidth="1"/>
    <col min="5" max="5" width="6.125" style="3558" bestFit="1" customWidth="1"/>
    <col min="6" max="6" width="8.125" style="3558" bestFit="1" customWidth="1"/>
    <col min="7" max="7" width="7.625" style="3558" bestFit="1" customWidth="1"/>
    <col min="8" max="8" width="7.375" style="3558" bestFit="1" customWidth="1"/>
    <col min="9" max="9" width="11.625" style="3558" bestFit="1" customWidth="1"/>
    <col min="10" max="10" width="58.375" style="3558" customWidth="1"/>
    <col min="11" max="11" width="9.5" style="3558" bestFit="1" customWidth="1"/>
    <col min="12" max="12" width="8.375" style="3558" customWidth="1"/>
    <col min="13" max="13" width="9.5" style="3558" bestFit="1" customWidth="1"/>
    <col min="14" max="14" width="11.25" style="3558" bestFit="1" customWidth="1"/>
    <col min="15" max="16384" width="8.125" style="3558"/>
  </cols>
  <sheetData>
    <row r="2" spans="2:14">
      <c r="B2" s="3943" t="s">
        <v>3172</v>
      </c>
      <c r="C2" s="3943" t="s">
        <v>3173</v>
      </c>
      <c r="D2" s="3943"/>
      <c r="E2" s="3943" t="s">
        <v>3174</v>
      </c>
      <c r="F2" s="3943"/>
      <c r="G2" s="3941" t="s">
        <v>3175</v>
      </c>
      <c r="H2" s="3941"/>
      <c r="I2" s="3941" t="s">
        <v>3176</v>
      </c>
      <c r="J2" s="3941" t="s">
        <v>3177</v>
      </c>
    </row>
    <row r="3" spans="2:14">
      <c r="B3" s="3943"/>
      <c r="C3" s="3943"/>
      <c r="D3" s="3943"/>
      <c r="E3" s="3559" t="s">
        <v>3178</v>
      </c>
      <c r="F3" s="3559" t="s">
        <v>3179</v>
      </c>
      <c r="G3" s="3559" t="s">
        <v>3178</v>
      </c>
      <c r="H3" s="3559" t="s">
        <v>3179</v>
      </c>
      <c r="I3" s="3941"/>
      <c r="J3" s="3941"/>
      <c r="L3" s="3558" t="s">
        <v>3335</v>
      </c>
      <c r="N3" s="3558" t="s">
        <v>3336</v>
      </c>
    </row>
    <row r="4" spans="2:14" ht="36">
      <c r="B4" s="3560">
        <v>1</v>
      </c>
      <c r="C4" s="3942" t="s">
        <v>3180</v>
      </c>
      <c r="D4" s="3942"/>
      <c r="E4" s="3559" t="s">
        <v>3181</v>
      </c>
      <c r="F4" s="3559" t="s">
        <v>3181</v>
      </c>
      <c r="G4" s="3559" t="s">
        <v>3181</v>
      </c>
      <c r="H4" s="3559" t="s">
        <v>3181</v>
      </c>
      <c r="I4" s="3561">
        <f>I5+I13+I22</f>
        <v>930422.15999999992</v>
      </c>
      <c r="J4" s="3562" t="str">
        <f>"=⑴＋⑵＋⑶，折算至容东片区土地总面积1269.5808公顷（折合19043.71亩），折合"&amp;K4&amp;"万元/亩；折算至容东片区房建土地面积872.9公顷（折合13093.5亩），折合"&amp;L4&amp;"万元/亩。"</f>
        <v>=⑴＋⑵＋⑶，折算至容东片区土地总面积1269.5808公顷（折合19043.71亩），折合48.86万元/亩；折算至容东片区房建土地面积872.9公顷（折合13093.5亩），折合71.06万元/亩。</v>
      </c>
      <c r="K4" s="3558">
        <f>ROUND(I4/1269.5808/15,2)</f>
        <v>48.86</v>
      </c>
      <c r="L4" s="3558">
        <f>ROUND(I4/872.9/15,2)</f>
        <v>71.06</v>
      </c>
      <c r="M4" s="3563">
        <f>I4-I21-I24-I28-I26</f>
        <v>791079.85999999987</v>
      </c>
      <c r="N4" s="3558">
        <f>ROUND(L4*10000/667,0)</f>
        <v>1065</v>
      </c>
    </row>
    <row r="5" spans="2:14" ht="36">
      <c r="B5" s="3564" t="s">
        <v>3182</v>
      </c>
      <c r="C5" s="3944" t="s">
        <v>3183</v>
      </c>
      <c r="D5" s="3944"/>
      <c r="E5" s="3559" t="s">
        <v>3181</v>
      </c>
      <c r="F5" s="3559" t="s">
        <v>3181</v>
      </c>
      <c r="G5" s="3559" t="s">
        <v>3181</v>
      </c>
      <c r="H5" s="3559" t="s">
        <v>3181</v>
      </c>
      <c r="I5" s="3561">
        <f>SUM(I6:I12)</f>
        <v>355798.12999999989</v>
      </c>
      <c r="J5" s="3562" t="str">
        <f>"=①+②+③＋④＋⑤＋⑥，折算至容东片区土地总面积1269.5808公顷（折合19043.71亩），折合"&amp;K5&amp;"万元/亩；折算至容东片区房建土地面积872.9公顷（折合13093.5亩），折合"&amp;L5&amp;"万元/亩。"</f>
        <v>=①+②+③＋④＋⑤＋⑥，折算至容东片区土地总面积1269.5808公顷（折合19043.71亩），折合18.68万元/亩；折算至容东片区房建土地面积872.9公顷（折合13093.5亩），折合27.17万元/亩。</v>
      </c>
      <c r="K5" s="3558">
        <f>ROUND(I5/1269.5808/15,2)</f>
        <v>18.68</v>
      </c>
      <c r="L5" s="3558">
        <f>ROUND(I5/872.9/15,2)</f>
        <v>27.17</v>
      </c>
    </row>
    <row r="6" spans="2:14" ht="72">
      <c r="B6" s="3945" t="s">
        <v>3184</v>
      </c>
      <c r="C6" s="3565" t="s">
        <v>3185</v>
      </c>
      <c r="D6" s="3566" t="s">
        <v>3186</v>
      </c>
      <c r="E6" s="3567" t="s">
        <v>3187</v>
      </c>
      <c r="F6" s="3567" t="s">
        <v>3188</v>
      </c>
      <c r="G6" s="3568">
        <f>ROUND(1269.5808*15-430-720,2)</f>
        <v>17893.71</v>
      </c>
      <c r="H6" s="3568" t="s">
        <v>3189</v>
      </c>
      <c r="I6" s="3569">
        <f>ROUND(E6*G6,2)</f>
        <v>214724.52</v>
      </c>
      <c r="J6" s="3570" t="s">
        <v>3190</v>
      </c>
    </row>
    <row r="7" spans="2:14" ht="72">
      <c r="B7" s="3945"/>
      <c r="C7" s="3565" t="s">
        <v>3191</v>
      </c>
      <c r="D7" s="3566" t="s">
        <v>3192</v>
      </c>
      <c r="E7" s="3567">
        <v>3</v>
      </c>
      <c r="F7" s="3567" t="s">
        <v>3188</v>
      </c>
      <c r="G7" s="3568">
        <f>ROUND(1269.5808*15-720,2)</f>
        <v>18323.71</v>
      </c>
      <c r="H7" s="3568" t="s">
        <v>3189</v>
      </c>
      <c r="I7" s="3569">
        <f>ROUND(E7*G7,2)</f>
        <v>54971.13</v>
      </c>
      <c r="J7" s="3570" t="s">
        <v>3193</v>
      </c>
    </row>
    <row r="8" spans="2:14" ht="36">
      <c r="B8" s="3945"/>
      <c r="C8" s="3571" t="s">
        <v>3194</v>
      </c>
      <c r="D8" s="3566" t="s">
        <v>3195</v>
      </c>
      <c r="E8" s="3567" t="s">
        <v>3196</v>
      </c>
      <c r="F8" s="3567" t="s">
        <v>3197</v>
      </c>
      <c r="G8" s="3568">
        <f>ROUND(882.4208*15,2)</f>
        <v>13236.31</v>
      </c>
      <c r="H8" s="3568" t="s">
        <v>3189</v>
      </c>
      <c r="I8" s="3569">
        <f>ROUND(E8*G8/10000,2)</f>
        <v>1985.45</v>
      </c>
      <c r="J8" s="3570" t="s">
        <v>3198</v>
      </c>
    </row>
    <row r="9" spans="2:14" ht="60">
      <c r="B9" s="3945"/>
      <c r="C9" s="3571" t="s">
        <v>3199</v>
      </c>
      <c r="D9" s="3566" t="s">
        <v>3200</v>
      </c>
      <c r="E9" s="3567" t="s">
        <v>3201</v>
      </c>
      <c r="F9" s="3567" t="s">
        <v>3202</v>
      </c>
      <c r="G9" s="3568">
        <f>176+247+134+248+712+895</f>
        <v>2412</v>
      </c>
      <c r="H9" s="3568" t="s">
        <v>3203</v>
      </c>
      <c r="I9" s="3569">
        <f>ROUND(E9*G9/10000,2)</f>
        <v>723.6</v>
      </c>
      <c r="J9" s="3570" t="s">
        <v>3204</v>
      </c>
    </row>
    <row r="10" spans="2:14" ht="36">
      <c r="B10" s="3945"/>
      <c r="C10" s="3571" t="s">
        <v>3205</v>
      </c>
      <c r="D10" s="3566" t="s">
        <v>3206</v>
      </c>
      <c r="E10" s="3567">
        <v>1100</v>
      </c>
      <c r="F10" s="3567" t="s">
        <v>3197</v>
      </c>
      <c r="G10" s="3568">
        <f>ROUND(882.4208*15,2)</f>
        <v>13236.31</v>
      </c>
      <c r="H10" s="3567" t="s">
        <v>3189</v>
      </c>
      <c r="I10" s="3569">
        <f>ROUND(E10*G10/10000,2)</f>
        <v>1455.99</v>
      </c>
      <c r="J10" s="3570" t="s">
        <v>3207</v>
      </c>
    </row>
    <row r="11" spans="2:14" ht="72">
      <c r="B11" s="3945"/>
      <c r="C11" s="3571" t="s">
        <v>3208</v>
      </c>
      <c r="D11" s="3566" t="s">
        <v>3209</v>
      </c>
      <c r="E11" s="3567" t="s">
        <v>3181</v>
      </c>
      <c r="F11" s="3567" t="s">
        <v>3181</v>
      </c>
      <c r="G11" s="3567" t="s">
        <v>3181</v>
      </c>
      <c r="H11" s="3567" t="s">
        <v>3181</v>
      </c>
      <c r="I11" s="3572">
        <f>ROUND((44.47*430+1500*56975/10000)*115%,2)</f>
        <v>31818.6</v>
      </c>
      <c r="J11" s="3570" t="s">
        <v>3210</v>
      </c>
    </row>
    <row r="12" spans="2:14" ht="18.75">
      <c r="B12" s="3573"/>
      <c r="C12" s="3571" t="s">
        <v>3211</v>
      </c>
      <c r="D12" s="3566" t="s">
        <v>3212</v>
      </c>
      <c r="E12" s="3567" t="s">
        <v>3181</v>
      </c>
      <c r="F12" s="3567" t="s">
        <v>3181</v>
      </c>
      <c r="G12" s="3567" t="s">
        <v>3181</v>
      </c>
      <c r="H12" s="3567" t="s">
        <v>3181</v>
      </c>
      <c r="I12" s="3572">
        <f>ROUND(60.53*720*115%,2)</f>
        <v>50118.84</v>
      </c>
      <c r="J12" s="3570"/>
    </row>
    <row r="13" spans="2:14" ht="36">
      <c r="B13" s="3560" t="s">
        <v>3213</v>
      </c>
      <c r="C13" s="3942" t="s">
        <v>3214</v>
      </c>
      <c r="D13" s="3942"/>
      <c r="E13" s="3574" t="s">
        <v>3181</v>
      </c>
      <c r="F13" s="3574" t="s">
        <v>3181</v>
      </c>
      <c r="G13" s="3575" t="s">
        <v>3181</v>
      </c>
      <c r="H13" s="3575" t="s">
        <v>3181</v>
      </c>
      <c r="I13" s="3561">
        <f>SUM(I14:I21)</f>
        <v>491882.53</v>
      </c>
      <c r="J13" s="3562" t="str">
        <f>"=①+②+③＋④＋⑤＋⑥＋⑦，折算至容东片区土地总面积1269.5808公顷（折合19043.71亩），折合"&amp;K13&amp;"万元/亩；折算至容东片区房建土地面积872.9公顷（折合13093.5亩），折合"&amp;L13&amp;"万元/亩。"</f>
        <v>=①+②+③＋④＋⑤＋⑥＋⑦，折算至容东片区土地总面积1269.5808公顷（折合19043.71亩），折合25.83万元/亩；折算至容东片区房建土地面积872.9公顷（折合13093.5亩），折合37.57万元/亩。</v>
      </c>
      <c r="K13" s="3558">
        <f>ROUND(I13/1269.5808/15,2)</f>
        <v>25.83</v>
      </c>
      <c r="L13" s="3558">
        <f>ROUND(I13/872.9/15,2)</f>
        <v>37.57</v>
      </c>
    </row>
    <row r="14" spans="2:14" ht="36">
      <c r="B14" s="3946" t="s">
        <v>3184</v>
      </c>
      <c r="C14" s="3565" t="s">
        <v>3185</v>
      </c>
      <c r="D14" s="3576" t="s">
        <v>3215</v>
      </c>
      <c r="E14" s="3577">
        <v>1500</v>
      </c>
      <c r="F14" s="3567" t="s">
        <v>3216</v>
      </c>
      <c r="G14" s="3568">
        <f>41806+71096+35755+62829+81835+160287</f>
        <v>453608</v>
      </c>
      <c r="H14" s="3568" t="s">
        <v>3217</v>
      </c>
      <c r="I14" s="3569">
        <f>ROUND(E14*G14/10000,2)</f>
        <v>68041.2</v>
      </c>
      <c r="J14" s="3570" t="s">
        <v>3218</v>
      </c>
    </row>
    <row r="15" spans="2:14" ht="18.75">
      <c r="B15" s="3947"/>
      <c r="C15" s="3565" t="s">
        <v>3191</v>
      </c>
      <c r="D15" s="3576" t="s">
        <v>3219</v>
      </c>
      <c r="E15" s="3567" t="s">
        <v>3181</v>
      </c>
      <c r="F15" s="3567" t="s">
        <v>3181</v>
      </c>
      <c r="G15" s="3578">
        <v>0.1</v>
      </c>
      <c r="H15" s="3568" t="s">
        <v>3220</v>
      </c>
      <c r="I15" s="3569">
        <f>ROUND(I14*10%,2)</f>
        <v>6804.12</v>
      </c>
      <c r="J15" s="3570" t="s">
        <v>3221</v>
      </c>
    </row>
    <row r="16" spans="2:14" ht="36">
      <c r="B16" s="3947"/>
      <c r="C16" s="3571" t="s">
        <v>3194</v>
      </c>
      <c r="D16" s="3576" t="s">
        <v>3222</v>
      </c>
      <c r="E16" s="3567">
        <v>5</v>
      </c>
      <c r="F16" s="3567" t="s">
        <v>3223</v>
      </c>
      <c r="G16" s="3568">
        <f>143+282+155+323+510+623</f>
        <v>2036</v>
      </c>
      <c r="H16" s="3568" t="s">
        <v>3224</v>
      </c>
      <c r="I16" s="3569">
        <f>ROUND(E16*G16,2)</f>
        <v>10180</v>
      </c>
      <c r="J16" s="3570" t="s">
        <v>3225</v>
      </c>
    </row>
    <row r="17" spans="2:12" ht="36">
      <c r="B17" s="3947"/>
      <c r="C17" s="3571" t="s">
        <v>3199</v>
      </c>
      <c r="D17" s="3576" t="s">
        <v>3226</v>
      </c>
      <c r="E17" s="3567">
        <v>20</v>
      </c>
      <c r="F17" s="3567" t="s">
        <v>3223</v>
      </c>
      <c r="G17" s="3568">
        <f>143+282+155+323+510+623</f>
        <v>2036</v>
      </c>
      <c r="H17" s="3568" t="s">
        <v>3224</v>
      </c>
      <c r="I17" s="3569">
        <f>ROUND(E17*G17,2)</f>
        <v>40720</v>
      </c>
      <c r="J17" s="3570" t="s">
        <v>3227</v>
      </c>
    </row>
    <row r="18" spans="2:12" ht="36">
      <c r="B18" s="3947"/>
      <c r="C18" s="3571" t="s">
        <v>3205</v>
      </c>
      <c r="D18" s="3576" t="s">
        <v>3228</v>
      </c>
      <c r="E18" s="3577">
        <v>1500</v>
      </c>
      <c r="F18" s="3567" t="s">
        <v>3216</v>
      </c>
      <c r="G18" s="3568">
        <f>400+860+250+333.5+1334+12539.6</f>
        <v>15717.1</v>
      </c>
      <c r="H18" s="3568" t="s">
        <v>3217</v>
      </c>
      <c r="I18" s="3569">
        <f>ROUND(E18*G18/10000,2)</f>
        <v>2357.5700000000002</v>
      </c>
      <c r="J18" s="3570" t="s">
        <v>3229</v>
      </c>
      <c r="K18" s="3579">
        <v>1300</v>
      </c>
    </row>
    <row r="19" spans="2:12" ht="48">
      <c r="B19" s="3947"/>
      <c r="C19" s="3571" t="s">
        <v>3208</v>
      </c>
      <c r="D19" s="3576" t="s">
        <v>3230</v>
      </c>
      <c r="E19" s="3567">
        <v>400</v>
      </c>
      <c r="F19" s="3567" t="s">
        <v>3216</v>
      </c>
      <c r="G19" s="3568">
        <f>7838+7386+4727+18274+42680+75461</f>
        <v>156366</v>
      </c>
      <c r="H19" s="3568" t="s">
        <v>3217</v>
      </c>
      <c r="I19" s="3569">
        <f>ROUND(E19*G19/10000,2)</f>
        <v>6254.64</v>
      </c>
      <c r="J19" s="3570" t="s">
        <v>3231</v>
      </c>
    </row>
    <row r="20" spans="2:12" ht="84">
      <c r="B20" s="3947"/>
      <c r="C20" s="3571" t="s">
        <v>3232</v>
      </c>
      <c r="D20" s="3576" t="s">
        <v>3233</v>
      </c>
      <c r="E20" s="3567">
        <f>ROUND(7000*50/10000,2)</f>
        <v>35</v>
      </c>
      <c r="F20" s="3567" t="s">
        <v>3234</v>
      </c>
      <c r="G20" s="3568">
        <f>524+969+613+1004+1852+2020</f>
        <v>6982</v>
      </c>
      <c r="H20" s="3568" t="s">
        <v>3235</v>
      </c>
      <c r="I20" s="3569">
        <f>ROUND(E20*G20,2)</f>
        <v>244370</v>
      </c>
      <c r="J20" s="3570" t="s">
        <v>3236</v>
      </c>
      <c r="K20" s="3579">
        <v>6984</v>
      </c>
    </row>
    <row r="21" spans="2:12" ht="72">
      <c r="B21" s="3948"/>
      <c r="C21" s="3580" t="s">
        <v>3237</v>
      </c>
      <c r="D21" s="3581" t="s">
        <v>3238</v>
      </c>
      <c r="E21" s="3567">
        <f>ROUND(7000*50/10000,2)</f>
        <v>35</v>
      </c>
      <c r="F21" s="3567" t="s">
        <v>3234</v>
      </c>
      <c r="G21" s="3568">
        <v>3233</v>
      </c>
      <c r="H21" s="3568" t="s">
        <v>3235</v>
      </c>
      <c r="I21" s="3569">
        <f>ROUND(E21*G21,2)</f>
        <v>113155</v>
      </c>
      <c r="J21" s="3570" t="s">
        <v>3239</v>
      </c>
    </row>
    <row r="22" spans="2:12" ht="36">
      <c r="B22" s="3582" t="s">
        <v>3240</v>
      </c>
      <c r="C22" s="3942" t="s">
        <v>3241</v>
      </c>
      <c r="D22" s="3942"/>
      <c r="E22" s="3559" t="s">
        <v>3181</v>
      </c>
      <c r="F22" s="3559" t="s">
        <v>3181</v>
      </c>
      <c r="G22" s="3575" t="s">
        <v>3181</v>
      </c>
      <c r="H22" s="3575" t="s">
        <v>3181</v>
      </c>
      <c r="I22" s="3561">
        <f>SUM(I23:I28)</f>
        <v>82741.5</v>
      </c>
      <c r="J22" s="3562" t="str">
        <f>"=①+②+③，折算至容东片区土地总面积1269.5808公顷（折合19043.71亩），折合"&amp;K22&amp;"万元/亩；折算至容东片区房建土地面积872.9公顷（折合13093.5亩），折合"&amp;L22&amp;"万元/亩。"</f>
        <v>=①+②+③，折算至容东片区土地总面积1269.5808公顷（折合19043.71亩），折合4.34万元/亩；折算至容东片区房建土地面积872.9公顷（折合13093.5亩），折合6.32万元/亩。</v>
      </c>
      <c r="K22" s="3558">
        <f>ROUND(I22/1269.5808/15,2)</f>
        <v>4.34</v>
      </c>
      <c r="L22" s="3558">
        <f>ROUND(I22/872.9/15,2)</f>
        <v>6.32</v>
      </c>
    </row>
    <row r="23" spans="2:12" ht="72">
      <c r="B23" s="3946" t="s">
        <v>3184</v>
      </c>
      <c r="C23" s="3571" t="s">
        <v>3242</v>
      </c>
      <c r="D23" s="3576" t="s">
        <v>3243</v>
      </c>
      <c r="E23" s="3567">
        <v>4.8</v>
      </c>
      <c r="F23" s="3567" t="s">
        <v>3234</v>
      </c>
      <c r="G23" s="3568">
        <f>524+969+613+1004+1852+2020</f>
        <v>6982</v>
      </c>
      <c r="H23" s="3568" t="s">
        <v>3235</v>
      </c>
      <c r="I23" s="3569">
        <f>ROUND(E23*G23,2)</f>
        <v>33513.599999999999</v>
      </c>
      <c r="J23" s="3570" t="s">
        <v>3244</v>
      </c>
    </row>
    <row r="24" spans="2:12" ht="60">
      <c r="B24" s="3947"/>
      <c r="C24" s="3580" t="s">
        <v>3245</v>
      </c>
      <c r="D24" s="3581" t="s">
        <v>3246</v>
      </c>
      <c r="E24" s="3567">
        <v>4.8</v>
      </c>
      <c r="F24" s="3567" t="s">
        <v>3234</v>
      </c>
      <c r="G24" s="3568">
        <v>3233</v>
      </c>
      <c r="H24" s="3568" t="s">
        <v>3235</v>
      </c>
      <c r="I24" s="3569">
        <f>ROUND(E24*G24,2)</f>
        <v>15518.4</v>
      </c>
      <c r="J24" s="3570" t="s">
        <v>3247</v>
      </c>
    </row>
    <row r="25" spans="2:12" ht="60">
      <c r="B25" s="3947"/>
      <c r="C25" s="3571" t="s">
        <v>3248</v>
      </c>
      <c r="D25" s="3576" t="s">
        <v>3249</v>
      </c>
      <c r="E25" s="3567">
        <v>1.6</v>
      </c>
      <c r="F25" s="3567" t="s">
        <v>3234</v>
      </c>
      <c r="G25" s="3568">
        <f t="shared" ref="G25:G27" si="0">524+969+613+1004+1852+2020</f>
        <v>6982</v>
      </c>
      <c r="H25" s="3568" t="s">
        <v>3235</v>
      </c>
      <c r="I25" s="3569">
        <f t="shared" ref="I25:I27" si="1">ROUND(E25*G25,2)</f>
        <v>11171.2</v>
      </c>
      <c r="J25" s="3570" t="s">
        <v>3250</v>
      </c>
    </row>
    <row r="26" spans="2:12" ht="60">
      <c r="B26" s="3947"/>
      <c r="C26" s="3580" t="s">
        <v>3251</v>
      </c>
      <c r="D26" s="3581" t="s">
        <v>3252</v>
      </c>
      <c r="E26" s="3567">
        <v>1.6</v>
      </c>
      <c r="F26" s="3567" t="s">
        <v>3234</v>
      </c>
      <c r="G26" s="3568">
        <v>3233</v>
      </c>
      <c r="H26" s="3568" t="s">
        <v>3235</v>
      </c>
      <c r="I26" s="3569">
        <f t="shared" si="1"/>
        <v>5172.8</v>
      </c>
      <c r="J26" s="3570" t="s">
        <v>3253</v>
      </c>
    </row>
    <row r="27" spans="2:12" ht="72">
      <c r="B27" s="3947"/>
      <c r="C27" s="3571" t="s">
        <v>3254</v>
      </c>
      <c r="D27" s="3576" t="s">
        <v>3255</v>
      </c>
      <c r="E27" s="3567">
        <v>1.7</v>
      </c>
      <c r="F27" s="3567" t="s">
        <v>3234</v>
      </c>
      <c r="G27" s="3568">
        <f t="shared" si="0"/>
        <v>6982</v>
      </c>
      <c r="H27" s="3568" t="s">
        <v>3235</v>
      </c>
      <c r="I27" s="3569">
        <f t="shared" si="1"/>
        <v>11869.4</v>
      </c>
      <c r="J27" s="3570" t="s">
        <v>3256</v>
      </c>
    </row>
    <row r="28" spans="2:12" ht="72">
      <c r="B28" s="3948"/>
      <c r="C28" s="3580" t="s">
        <v>3257</v>
      </c>
      <c r="D28" s="3581" t="s">
        <v>3258</v>
      </c>
      <c r="E28" s="3567">
        <v>1.7</v>
      </c>
      <c r="F28" s="3567" t="s">
        <v>3234</v>
      </c>
      <c r="G28" s="3568">
        <v>3233</v>
      </c>
      <c r="H28" s="3568" t="s">
        <v>3235</v>
      </c>
      <c r="I28" s="3569">
        <f>ROUND(E28*G28,2)</f>
        <v>5496.1</v>
      </c>
      <c r="J28" s="3570" t="s">
        <v>3259</v>
      </c>
    </row>
    <row r="29" spans="2:12" ht="36">
      <c r="B29" s="3560">
        <v>2</v>
      </c>
      <c r="C29" s="3942" t="s">
        <v>3260</v>
      </c>
      <c r="D29" s="3942"/>
      <c r="E29" s="3559" t="s">
        <v>3181</v>
      </c>
      <c r="F29" s="3559" t="s">
        <v>3181</v>
      </c>
      <c r="G29" s="3575" t="s">
        <v>3181</v>
      </c>
      <c r="H29" s="3575" t="s">
        <v>3181</v>
      </c>
      <c r="I29" s="3561">
        <f>SUM(I30:I32)</f>
        <v>49145.93</v>
      </c>
      <c r="J29" s="3562" t="str">
        <f>"=⑴＋⑵＋⑶，折算至容东片区土地总面积1269.5808公顷（折合19043.71亩），折合"&amp;K29&amp;"万元/亩；折算至容东片区房建土地面积872.9公顷（折合13093.5亩），折合"&amp;L29&amp;"万元/亩。"</f>
        <v>=⑴＋⑵＋⑶，折算至容东片区土地总面积1269.5808公顷（折合19043.71亩），折合2.58万元/亩；折算至容东片区房建土地面积872.9公顷（折合13093.5亩），折合3.75万元/亩。</v>
      </c>
      <c r="K29" s="3558">
        <f>ROUND(I29/1269.5808/15,2)</f>
        <v>2.58</v>
      </c>
      <c r="L29" s="3558">
        <f>ROUND(I29/872.9/15,2)</f>
        <v>3.75</v>
      </c>
    </row>
    <row r="30" spans="2:12" ht="36">
      <c r="B30" s="3945" t="s">
        <v>3184</v>
      </c>
      <c r="C30" s="3583" t="s">
        <v>3182</v>
      </c>
      <c r="D30" s="3584" t="s">
        <v>3261</v>
      </c>
      <c r="E30" s="3573" t="s">
        <v>3262</v>
      </c>
      <c r="F30" s="3573" t="s">
        <v>3263</v>
      </c>
      <c r="G30" s="3568">
        <f>882.4208*10000</f>
        <v>8824208</v>
      </c>
      <c r="H30" s="3568" t="s">
        <v>3264</v>
      </c>
      <c r="I30" s="3569">
        <f>ROUND(E30*G30/10000,2)</f>
        <v>13236.31</v>
      </c>
      <c r="J30" s="3570" t="s">
        <v>3265</v>
      </c>
    </row>
    <row r="31" spans="2:12" ht="24">
      <c r="B31" s="3945"/>
      <c r="C31" s="3571" t="s">
        <v>3266</v>
      </c>
      <c r="D31" s="3585" t="s">
        <v>3267</v>
      </c>
      <c r="E31" s="3567">
        <v>40</v>
      </c>
      <c r="F31" s="3567" t="s">
        <v>3263</v>
      </c>
      <c r="G31" s="3568">
        <f>882.4208*10000</f>
        <v>8824208</v>
      </c>
      <c r="H31" s="3568" t="s">
        <v>3264</v>
      </c>
      <c r="I31" s="3569">
        <f>ROUND(E31*G31/10000,2)</f>
        <v>35296.83</v>
      </c>
      <c r="J31" s="3570" t="s">
        <v>3268</v>
      </c>
    </row>
    <row r="32" spans="2:12" ht="36">
      <c r="B32" s="3945"/>
      <c r="C32" s="3571" t="s">
        <v>3240</v>
      </c>
      <c r="D32" s="3585" t="s">
        <v>3269</v>
      </c>
      <c r="E32" s="3567">
        <v>20</v>
      </c>
      <c r="F32" s="3567" t="s">
        <v>3263</v>
      </c>
      <c r="G32" s="3568">
        <f>30.6396*10000</f>
        <v>306396</v>
      </c>
      <c r="H32" s="3568" t="s">
        <v>3264</v>
      </c>
      <c r="I32" s="3569">
        <f>ROUND(E32*G32/10000,2)</f>
        <v>612.79</v>
      </c>
      <c r="J32" s="3570" t="s">
        <v>3270</v>
      </c>
    </row>
    <row r="33" spans="2:13" ht="36" hidden="1">
      <c r="B33" s="3560">
        <v>3</v>
      </c>
      <c r="C33" s="3942" t="s">
        <v>3271</v>
      </c>
      <c r="D33" s="3942"/>
      <c r="E33" s="3559" t="s">
        <v>3181</v>
      </c>
      <c r="F33" s="3559" t="s">
        <v>3181</v>
      </c>
      <c r="G33" s="3559" t="s">
        <v>3181</v>
      </c>
      <c r="H33" s="3559" t="s">
        <v>3181</v>
      </c>
      <c r="I33" s="3561">
        <f>SUM(I34:I36)</f>
        <v>3100500</v>
      </c>
      <c r="J33" s="3562" t="str">
        <f>"=⑴＋⑵＋⑶，折算至容东片区土地总面积1269.5808公顷（折合19043.71亩），折合"&amp;K33&amp;"万元/亩；折算至容东片区房建土地面积872.9公顷（折合13093.5亩），折合"&amp;L33&amp;"万元/亩。"</f>
        <v>=⑴＋⑵＋⑶，折算至容东片区土地总面积1269.5808公顷（折合19043.71亩），折合162.81万元/亩；折算至容东片区房建土地面积872.9公顷（折合13093.5亩），折合236.8万元/亩。</v>
      </c>
      <c r="K33" s="3558">
        <f>ROUND(I33/1269.5808/15,2)</f>
        <v>162.81</v>
      </c>
      <c r="L33" s="3558">
        <f>ROUND(I33/872.9/15,2)</f>
        <v>236.8</v>
      </c>
      <c r="M33" s="3558">
        <f>L4+L33</f>
        <v>307.86</v>
      </c>
    </row>
    <row r="34" spans="2:13" ht="48" hidden="1">
      <c r="B34" s="3953" t="s">
        <v>3184</v>
      </c>
      <c r="C34" s="3571" t="s">
        <v>3272</v>
      </c>
      <c r="D34" s="3576" t="s">
        <v>3273</v>
      </c>
      <c r="E34" s="3567" t="s">
        <v>3181</v>
      </c>
      <c r="F34" s="3567" t="s">
        <v>3181</v>
      </c>
      <c r="G34" s="3567" t="s">
        <v>3181</v>
      </c>
      <c r="H34" s="3567" t="s">
        <v>3181</v>
      </c>
      <c r="I34" s="3569">
        <f>245.74*10000</f>
        <v>2457400</v>
      </c>
      <c r="J34" s="3570" t="str">
        <f>"    依据《容东片区的市政配套费用表》，由政府投资的市政基础设施包括市政道路（99.2亿元）、综合管廊（26.4亿元）、燃气（3.14亿元）、供暖（25.3亿元）、供电（36.2亿元）、供水（21.4亿元）及排水（34.1亿元），总投资245.74亿元。"</f>
        <v xml:space="preserve">    依据《容东片区的市政配套费用表》，由政府投资的市政基础设施包括市政道路（99.2亿元）、综合管廊（26.4亿元）、燃气（3.14亿元）、供暖（25.3亿元）、供电（36.2亿元）、供水（21.4亿元）及排水（34.1亿元），总投资245.74亿元。</v>
      </c>
    </row>
    <row r="35" spans="2:13" ht="24" hidden="1">
      <c r="B35" s="3953"/>
      <c r="C35" s="3571" t="s">
        <v>3274</v>
      </c>
      <c r="D35" s="3576" t="s">
        <v>3275</v>
      </c>
      <c r="E35" s="3567" t="s">
        <v>3181</v>
      </c>
      <c r="F35" s="3567" t="s">
        <v>3181</v>
      </c>
      <c r="G35" s="3567" t="s">
        <v>3181</v>
      </c>
      <c r="H35" s="3567" t="s">
        <v>3181</v>
      </c>
      <c r="I35" s="3569">
        <f>35.8*10000</f>
        <v>358000</v>
      </c>
      <c r="J35" s="3570" t="s">
        <v>3276</v>
      </c>
    </row>
    <row r="36" spans="2:13" ht="36" hidden="1">
      <c r="B36" s="3953"/>
      <c r="C36" s="3571" t="s">
        <v>3277</v>
      </c>
      <c r="D36" s="3576" t="s">
        <v>3278</v>
      </c>
      <c r="E36" s="3567" t="s">
        <v>3181</v>
      </c>
      <c r="F36" s="3567" t="s">
        <v>3181</v>
      </c>
      <c r="G36" s="3578" t="s">
        <v>3181</v>
      </c>
      <c r="H36" s="3568" t="s">
        <v>3181</v>
      </c>
      <c r="I36" s="3569">
        <f>(21.79+6.72)*10000</f>
        <v>285100</v>
      </c>
      <c r="J36" s="3570" t="s">
        <v>3279</v>
      </c>
    </row>
    <row r="37" spans="2:13" ht="72" hidden="1">
      <c r="B37" s="3560">
        <v>4</v>
      </c>
      <c r="C37" s="3949" t="s">
        <v>3280</v>
      </c>
      <c r="D37" s="3950"/>
      <c r="E37" s="3586">
        <v>4.3499999999999997E-2</v>
      </c>
      <c r="F37" s="3567" t="s">
        <v>3220</v>
      </c>
      <c r="G37" s="3568">
        <v>1</v>
      </c>
      <c r="H37" s="3568" t="s">
        <v>3281</v>
      </c>
      <c r="I37" s="3569">
        <f>IF(G37&gt;1,ROUND(((I4+I29)*((1+E37)^G37-1)+I33*((1+E37)^(G37/2)-1)),2),ROUND((I4+I29)*E37*G37+I33*E37*(G37/2),2))</f>
        <v>110047.09</v>
      </c>
      <c r="J37" s="3587" t="str">
        <f>"    设定该土地开发周期为"&amp;G37&amp;"年，利息率按年期对应贷款利率"&amp;E37*100&amp;"%测算，假设土地取得费和相关税费为土地取得时一次性投入，土地开发费用为开发期内均匀投入。
    折算至容东片区土地总面积1269.5808公顷（折合19043.71亩），折合"&amp;K37&amp;"万元/亩；折算至容东片区房建土地面积872.9公顷（折合13093.5亩），折合"&amp;L37&amp;"万元/亩。"</f>
        <v xml:space="preserve">    设定该土地开发周期为1年，利息率按年期对应贷款利率4.35%测算，假设土地取得费和相关税费为土地取得时一次性投入，土地开发费用为开发期内均匀投入。
    折算至容东片区土地总面积1269.5808公顷（折合19043.71亩），折合5.78万元/亩；折算至容东片区房建土地面积872.9公顷（折合13093.5亩），折合8.4万元/亩。</v>
      </c>
      <c r="K37" s="3558">
        <f>ROUND(I37/1269.5808/15,2)</f>
        <v>5.78</v>
      </c>
      <c r="L37" s="3558">
        <f>ROUND(I37/872.9/15,2)</f>
        <v>8.4</v>
      </c>
    </row>
    <row r="38" spans="2:13" ht="60" hidden="1">
      <c r="B38" s="3560">
        <v>5</v>
      </c>
      <c r="C38" s="3949" t="s">
        <v>3282</v>
      </c>
      <c r="D38" s="3950"/>
      <c r="E38" s="3588">
        <v>0.15</v>
      </c>
      <c r="F38" s="3567" t="s">
        <v>3220</v>
      </c>
      <c r="G38" s="3568" t="s">
        <v>3181</v>
      </c>
      <c r="H38" s="3568" t="s">
        <v>3181</v>
      </c>
      <c r="I38" s="3569">
        <f>ROUND((I4+I29+I33)*E38,2)</f>
        <v>612010.21</v>
      </c>
      <c r="J38" s="3570" t="str">
        <f>"    以土地取得费、相关税费和土地开发费为基础，参照北京市土地一级开发利润取值，按照15%测算土地开发利润。
    折算至容东片区土地总面积1269.5808公顷（折合19043.71亩），折合"&amp;K38&amp;"万元/亩；折算至容东片区房建土地面积872.9公顷（折合13093.5亩），折合"&amp;L38&amp;"万元/亩。"</f>
        <v xml:space="preserve">    以土地取得费、相关税费和土地开发费为基础，参照北京市土地一级开发利润取值，按照15%测算土地开发利润。
    折算至容东片区土地总面积1269.5808公顷（折合19043.71亩），折合32.14万元/亩；折算至容东片区房建土地面积872.9公顷（折合13093.5亩），折合46.74万元/亩。</v>
      </c>
      <c r="K38" s="3558">
        <f>ROUND(I38/1269.5808/15,2)</f>
        <v>32.14</v>
      </c>
      <c r="L38" s="3558">
        <f>ROUND(I38/872.9/15,2)</f>
        <v>46.74</v>
      </c>
    </row>
    <row r="39" spans="2:13" ht="48" hidden="1">
      <c r="B39" s="3582">
        <v>6</v>
      </c>
      <c r="C39" s="3951" t="s">
        <v>3283</v>
      </c>
      <c r="D39" s="3952"/>
      <c r="E39" s="3575" t="s">
        <v>3181</v>
      </c>
      <c r="F39" s="3575" t="s">
        <v>3181</v>
      </c>
      <c r="G39" s="3575" t="s">
        <v>3181</v>
      </c>
      <c r="H39" s="3575" t="s">
        <v>3181</v>
      </c>
      <c r="I39" s="3561">
        <f>I4+I29+I33+I37+I38</f>
        <v>4802125.3899999997</v>
      </c>
      <c r="J39" s="3562" t="str">
        <f>"    土地成本价格=土地取得费+税费+土地开发费+利息+利润。
    折算至容东片区土地总面积1269.5808公顷（折合19043.71亩），折合"&amp;K39&amp;"万元/亩；折算至容东片区房建土地面积872.9公顷（折合13093.5亩），折合"&amp;L39&amp;"万元/亩。"</f>
        <v xml:space="preserve">    土地成本价格=土地取得费+税费+土地开发费+利息+利润。
    折算至容东片区土地总面积1269.5808公顷（折合19043.71亩），折合252.16万元/亩；折算至容东片区房建土地面积872.9公顷（折合13093.5亩），折合366.76万元/亩。</v>
      </c>
      <c r="K39" s="3558">
        <f>ROUND(I39/1269.5808/15,2)</f>
        <v>252.16</v>
      </c>
      <c r="L39" s="3558">
        <f>ROUND(I39/872.9/15,2)</f>
        <v>366.76</v>
      </c>
    </row>
    <row r="40" spans="2:13" ht="60" hidden="1">
      <c r="B40" s="3560">
        <v>7</v>
      </c>
      <c r="C40" s="3949" t="s">
        <v>3284</v>
      </c>
      <c r="D40" s="3950"/>
      <c r="E40" s="3588">
        <v>0.25</v>
      </c>
      <c r="F40" s="3567" t="s">
        <v>3220</v>
      </c>
      <c r="G40" s="3568" t="s">
        <v>3181</v>
      </c>
      <c r="H40" s="3568" t="s">
        <v>3181</v>
      </c>
      <c r="I40" s="3569">
        <f>ROUND(I39*25%,2)</f>
        <v>1200531.3500000001</v>
      </c>
      <c r="J40" s="3570" t="str">
        <f>"    参照北京市经营性用地土地增值收益率，以土地成本价格的25%测算土地增值收益。 
    折算至容东片区土地总面积1269.5808公顷（折合19043.71亩），折合"&amp;K40&amp;"万元/亩；折算至容东片区房建土地面积872.9公顷（折合13093.5亩），折合"&amp;L40&amp;"万元/亩。"</f>
        <v xml:space="preserve">    参照北京市经营性用地土地增值收益率，以土地成本价格的25%测算土地增值收益。 
    折算至容东片区土地总面积1269.5808公顷（折合19043.71亩），折合63.04万元/亩；折算至容东片区房建土地面积872.9公顷（折合13093.5亩），折合91.69万元/亩。</v>
      </c>
      <c r="K40" s="3558">
        <f>ROUND(I40/1269.5808/15,2)</f>
        <v>63.04</v>
      </c>
      <c r="L40" s="3558">
        <f>ROUND(I40/872.9/15,2)</f>
        <v>91.69</v>
      </c>
    </row>
    <row r="41" spans="2:13" ht="48" hidden="1">
      <c r="B41" s="3582">
        <v>8</v>
      </c>
      <c r="C41" s="3951" t="s">
        <v>3285</v>
      </c>
      <c r="D41" s="3952"/>
      <c r="E41" s="3575" t="s">
        <v>3181</v>
      </c>
      <c r="F41" s="3575" t="s">
        <v>3181</v>
      </c>
      <c r="G41" s="3575" t="s">
        <v>3181</v>
      </c>
      <c r="H41" s="3575" t="s">
        <v>3181</v>
      </c>
      <c r="I41" s="3561">
        <f>I39+I40</f>
        <v>6002656.7400000002</v>
      </c>
      <c r="J41" s="3562" t="str">
        <f>"    土地价格=土地成本价格+土地增值收益。
    折算至容东片区土地总面积1269.5808公顷（折合19043.71亩），折合"&amp;K41&amp;"万元/亩；折算至容东片区房建土地面积872.9公顷（折合13093.5亩），折合"&amp;L41&amp;"万元/亩。"</f>
        <v xml:space="preserve">    土地价格=土地成本价格+土地增值收益。
    折算至容东片区土地总面积1269.5808公顷（折合19043.71亩），折合315.2万元/亩；折算至容东片区房建土地面积872.9公顷（折合13093.5亩），折合458.45万元/亩。</v>
      </c>
      <c r="K41" s="3558">
        <f>ROUND(I41/1269.5808/15,2)</f>
        <v>315.2</v>
      </c>
      <c r="L41" s="3558">
        <f>ROUND(I41/872.9/15,2)</f>
        <v>458.45</v>
      </c>
    </row>
    <row r="42" spans="2:13" ht="13.5" hidden="1">
      <c r="D42" s="3589"/>
      <c r="J42" s="3590"/>
    </row>
    <row r="43" spans="2:13">
      <c r="J43" s="3590"/>
    </row>
    <row r="44" spans="2:13">
      <c r="J44" s="3590"/>
    </row>
    <row r="45" spans="2:13">
      <c r="J45" s="3590"/>
    </row>
    <row r="46" spans="2:13">
      <c r="J46" s="3590"/>
    </row>
    <row r="47" spans="2:13">
      <c r="J47" s="3590"/>
    </row>
    <row r="48" spans="2:13">
      <c r="J48" s="3590"/>
    </row>
    <row r="49" spans="10:10">
      <c r="J49" s="3590"/>
    </row>
  </sheetData>
  <mergeCells count="22">
    <mergeCell ref="C38:D38"/>
    <mergeCell ref="C39:D39"/>
    <mergeCell ref="C40:D40"/>
    <mergeCell ref="C41:D41"/>
    <mergeCell ref="B23:B28"/>
    <mergeCell ref="C29:D29"/>
    <mergeCell ref="B30:B32"/>
    <mergeCell ref="C33:D33"/>
    <mergeCell ref="B34:B36"/>
    <mergeCell ref="C37:D37"/>
    <mergeCell ref="I2:I3"/>
    <mergeCell ref="J2:J3"/>
    <mergeCell ref="C22:D22"/>
    <mergeCell ref="B2:B3"/>
    <mergeCell ref="C2:D3"/>
    <mergeCell ref="E2:F2"/>
    <mergeCell ref="G2:H2"/>
    <mergeCell ref="C4:D4"/>
    <mergeCell ref="C5:D5"/>
    <mergeCell ref="B6:B11"/>
    <mergeCell ref="C13:D13"/>
    <mergeCell ref="B14:B21"/>
  </mergeCells>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zoomScale="130" zoomScaleNormal="130" workbookViewId="0">
      <selection activeCell="I34" sqref="I34"/>
    </sheetView>
  </sheetViews>
  <sheetFormatPr defaultColWidth="8.875" defaultRowHeight="13.5"/>
  <cols>
    <col min="1" max="1" width="8.875" style="3589"/>
    <col min="2" max="2" width="20.125" style="3589" customWidth="1"/>
    <col min="3" max="3" width="26.625" style="3589" customWidth="1"/>
    <col min="4" max="4" width="35" style="3589" customWidth="1"/>
    <col min="5" max="5" width="8.875" style="3589"/>
    <col min="6" max="6" width="14.625" style="3589" customWidth="1"/>
    <col min="7" max="16384" width="8.875" style="3589"/>
  </cols>
  <sheetData>
    <row r="1" spans="1:6">
      <c r="A1" s="3955" t="s">
        <v>3286</v>
      </c>
      <c r="B1" s="3955"/>
      <c r="C1" s="3955"/>
      <c r="D1" s="3955"/>
    </row>
    <row r="2" spans="1:6">
      <c r="A2" s="3591" t="s">
        <v>3172</v>
      </c>
      <c r="B2" s="3954" t="s">
        <v>3287</v>
      </c>
      <c r="C2" s="3954"/>
      <c r="D2" s="3591" t="s">
        <v>3288</v>
      </c>
    </row>
    <row r="3" spans="1:6">
      <c r="A3" s="3591">
        <v>1</v>
      </c>
      <c r="B3" s="3956" t="s">
        <v>3289</v>
      </c>
      <c r="C3" s="3591" t="s">
        <v>3290</v>
      </c>
      <c r="D3" s="3591">
        <v>67.7</v>
      </c>
    </row>
    <row r="4" spans="1:6">
      <c r="A4" s="3591">
        <v>2</v>
      </c>
      <c r="B4" s="3957"/>
      <c r="C4" s="3591" t="s">
        <v>3291</v>
      </c>
      <c r="D4" s="3591">
        <v>17.5</v>
      </c>
    </row>
    <row r="5" spans="1:6">
      <c r="A5" s="3591">
        <v>3</v>
      </c>
      <c r="B5" s="3957"/>
      <c r="C5" s="3591" t="s">
        <v>3292</v>
      </c>
      <c r="D5" s="3591">
        <v>5.3</v>
      </c>
    </row>
    <row r="6" spans="1:6">
      <c r="A6" s="3591">
        <v>4</v>
      </c>
      <c r="B6" s="3957"/>
      <c r="C6" s="3591" t="s">
        <v>3293</v>
      </c>
      <c r="D6" s="3591">
        <v>82.2</v>
      </c>
    </row>
    <row r="7" spans="1:6">
      <c r="A7" s="3591">
        <v>5</v>
      </c>
      <c r="B7" s="3957"/>
      <c r="C7" s="3591" t="s">
        <v>3294</v>
      </c>
      <c r="D7" s="3592">
        <v>15.8</v>
      </c>
      <c r="F7" s="3589">
        <f>SUM(D3:D6)</f>
        <v>172.7</v>
      </c>
    </row>
    <row r="8" spans="1:6">
      <c r="A8" s="3591">
        <v>6</v>
      </c>
      <c r="B8" s="3957"/>
      <c r="C8" s="3591" t="s">
        <v>3295</v>
      </c>
      <c r="D8" s="3592">
        <v>4</v>
      </c>
    </row>
    <row r="9" spans="1:6">
      <c r="A9" s="3591">
        <v>7</v>
      </c>
      <c r="B9" s="3958"/>
      <c r="C9" s="3591" t="s">
        <v>3296</v>
      </c>
      <c r="D9" s="3593">
        <v>22</v>
      </c>
    </row>
    <row r="10" spans="1:6">
      <c r="A10" s="3591">
        <v>8</v>
      </c>
      <c r="B10" s="3954" t="s">
        <v>3297</v>
      </c>
      <c r="C10" s="3591" t="s">
        <v>3298</v>
      </c>
      <c r="D10" s="3591">
        <v>7.5</v>
      </c>
    </row>
    <row r="11" spans="1:6">
      <c r="A11" s="3591">
        <v>9</v>
      </c>
      <c r="B11" s="3954"/>
      <c r="C11" s="3591" t="s">
        <v>3299</v>
      </c>
      <c r="D11" s="3591">
        <v>0.3</v>
      </c>
    </row>
    <row r="12" spans="1:6">
      <c r="A12" s="3591">
        <v>10</v>
      </c>
      <c r="B12" s="3954"/>
      <c r="C12" s="3591" t="s">
        <v>3300</v>
      </c>
      <c r="D12" s="3591">
        <v>4.4000000000000004</v>
      </c>
    </row>
    <row r="13" spans="1:6">
      <c r="A13" s="3591">
        <v>11</v>
      </c>
      <c r="B13" s="3954"/>
      <c r="C13" s="3591" t="s">
        <v>3301</v>
      </c>
      <c r="D13" s="3591">
        <v>16.399999999999999</v>
      </c>
    </row>
    <row r="14" spans="1:6">
      <c r="A14" s="3591">
        <v>12</v>
      </c>
      <c r="B14" s="3954"/>
      <c r="C14" s="3591" t="s">
        <v>3302</v>
      </c>
      <c r="D14" s="3591">
        <v>3.5</v>
      </c>
    </row>
    <row r="15" spans="1:6">
      <c r="A15" s="3591">
        <v>13</v>
      </c>
      <c r="B15" s="3954"/>
      <c r="C15" s="3591" t="s">
        <v>3303</v>
      </c>
      <c r="D15" s="3591">
        <v>25</v>
      </c>
    </row>
    <row r="16" spans="1:6">
      <c r="A16" s="3591">
        <v>14</v>
      </c>
      <c r="B16" s="3954"/>
      <c r="C16" s="3591" t="s">
        <v>3304</v>
      </c>
      <c r="D16" s="3591">
        <v>29.7</v>
      </c>
    </row>
    <row r="17" spans="1:7">
      <c r="A17" s="3591">
        <v>15</v>
      </c>
      <c r="B17" s="3954"/>
      <c r="C17" s="3591" t="s">
        <v>3305</v>
      </c>
      <c r="D17" s="3591">
        <v>5.4</v>
      </c>
    </row>
    <row r="18" spans="1:7">
      <c r="A18" s="3591">
        <v>16</v>
      </c>
      <c r="B18" s="3954" t="s">
        <v>3306</v>
      </c>
      <c r="C18" s="3591" t="s">
        <v>3307</v>
      </c>
      <c r="D18" s="3592">
        <v>14</v>
      </c>
    </row>
    <row r="19" spans="1:7">
      <c r="A19" s="3591">
        <v>17</v>
      </c>
      <c r="B19" s="3954"/>
      <c r="C19" s="3591" t="s">
        <v>3308</v>
      </c>
      <c r="D19" s="3592">
        <v>3.9</v>
      </c>
      <c r="F19" s="3589">
        <f>SUM(D10:D17)</f>
        <v>92.2</v>
      </c>
    </row>
    <row r="20" spans="1:7">
      <c r="A20" s="3591">
        <v>18</v>
      </c>
      <c r="B20" s="3954" t="s">
        <v>3309</v>
      </c>
      <c r="C20" s="3591" t="s">
        <v>3310</v>
      </c>
      <c r="D20" s="3593">
        <v>36.200000000000003</v>
      </c>
    </row>
    <row r="21" spans="1:7">
      <c r="A21" s="3591">
        <v>19</v>
      </c>
      <c r="B21" s="3954"/>
      <c r="C21" s="3591" t="s">
        <v>3311</v>
      </c>
      <c r="D21" s="3593">
        <v>6.1</v>
      </c>
    </row>
    <row r="23" spans="1:7" ht="24">
      <c r="A23" s="3568" t="s">
        <v>3312</v>
      </c>
      <c r="B23" s="3568" t="s">
        <v>3313</v>
      </c>
      <c r="C23" s="3568" t="s">
        <v>3139</v>
      </c>
      <c r="D23" s="3568" t="s">
        <v>3314</v>
      </c>
      <c r="E23" s="3568" t="s">
        <v>3315</v>
      </c>
      <c r="F23" s="3568" t="s">
        <v>3316</v>
      </c>
      <c r="G23" s="3968" t="s">
        <v>3337</v>
      </c>
    </row>
    <row r="24" spans="1:7">
      <c r="A24" s="3568">
        <v>490</v>
      </c>
      <c r="B24" s="3568">
        <v>133</v>
      </c>
      <c r="C24" s="3568">
        <v>218</v>
      </c>
      <c r="D24" s="3568">
        <v>156</v>
      </c>
      <c r="E24" s="3568">
        <v>143</v>
      </c>
      <c r="F24" s="3568">
        <f>SUM(A24:E24)-E24</f>
        <v>997</v>
      </c>
    </row>
    <row r="25" spans="1:7">
      <c r="F25" s="3589">
        <f>F7+F19</f>
        <v>264.89999999999998</v>
      </c>
    </row>
    <row r="26" spans="1:7">
      <c r="F26" s="3589">
        <f>ROUND(F25*10000/F24,2)</f>
        <v>2656.97</v>
      </c>
    </row>
  </sheetData>
  <mergeCells count="6">
    <mergeCell ref="B20:B21"/>
    <mergeCell ref="A1:D1"/>
    <mergeCell ref="B2:C2"/>
    <mergeCell ref="B3:B9"/>
    <mergeCell ref="B10:B17"/>
    <mergeCell ref="B18:B19"/>
  </mergeCells>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4" customWidth="1"/>
    <col min="2" max="2" width="9" style="1754"/>
    <col min="3" max="4" width="9.625" style="1754" customWidth="1"/>
    <col min="5" max="16384" width="9" style="1754"/>
  </cols>
  <sheetData>
    <row r="1" spans="1:4" ht="22.5">
      <c r="A1" s="1753" t="s">
        <v>1882</v>
      </c>
    </row>
    <row r="2" spans="1:4">
      <c r="A2" s="1755"/>
    </row>
    <row r="3" spans="1:4" ht="18.75">
      <c r="A3" s="1773" t="str">
        <f>项目基本情况!B5&amp;"："</f>
        <v>：</v>
      </c>
    </row>
    <row r="4" spans="1:4" ht="37.5">
      <c r="A4" s="1767" t="str">
        <f>"受贵公司委托，我公司对"&amp;项目基本情况!K2&amp;项目基本情况!B9&amp;"进行了预评估。"</f>
        <v>受贵公司委托，我公司对雄安新区出让国有建设用地使用权市场价格进行了预评估。</v>
      </c>
    </row>
    <row r="5" spans="1:4" ht="18.75">
      <c r="A5" s="1770" t="s">
        <v>1883</v>
      </c>
    </row>
    <row r="6" spans="1:4" ht="75">
      <c r="A6" s="176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雄安新区出让国有建设用地使用权。根据《国有土地使用证》[]，估价对象（分摊）出让国有建设用地使用权面积为370783.53平方米。根据《建设工程规划许可证》[]、《出让合同》[]，估价对象规划建筑面积为556650.11平方米。</v>
      </c>
    </row>
    <row r="7" spans="1:4" ht="93.75">
      <c r="A7" s="2803" t="s">
        <v>2722</v>
      </c>
    </row>
    <row r="8" spans="1:4" ht="18.75">
      <c r="A8" s="1770" t="s">
        <v>1884</v>
      </c>
    </row>
    <row r="9" spans="1:4" ht="37.5">
      <c r="A9" s="177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3" t="s">
        <v>2002</v>
      </c>
    </row>
    <row r="11" spans="1:4" ht="18.75">
      <c r="A11" s="1756" t="str">
        <f>TEXT(项目基本情况!D3,"yyyy年m月d日;;")&amp;IF(项目基本情况!B3=项目基本情况!D3,"（评估专业人员勘察现场之日）","")</f>
        <v>2020年4月12日</v>
      </c>
    </row>
    <row r="12" spans="1:4" ht="18.75">
      <c r="A12" s="1773" t="s">
        <v>2001</v>
      </c>
    </row>
    <row r="13" spans="1:4" ht="18.75">
      <c r="A13" s="1767" t="s">
        <v>2047</v>
      </c>
    </row>
    <row r="14" spans="1:4" ht="18.75">
      <c r="A14" s="1767" t="str">
        <f>"根据"&amp;项目基本情况!F12&amp;"，本次评估估价对象证载（地类）用途为"&amp;项目基本情况!B12&amp;"。"</f>
        <v>根据《国有土地使用证》[]，本次评估估价对象证载（地类）用途为。</v>
      </c>
      <c r="C14" s="1757"/>
      <c r="D14" s="1758"/>
    </row>
    <row r="15" spans="1:4" ht="18.75">
      <c r="A15" s="17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57"/>
      <c r="D15" s="1758"/>
    </row>
    <row r="16" spans="1:4" ht="18.75">
      <c r="A16" s="1767" t="s">
        <v>2048</v>
      </c>
    </row>
    <row r="17" spans="1:1" ht="56.25">
      <c r="A17" s="17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6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7" t="s">
        <v>2049</v>
      </c>
    </row>
    <row r="20" spans="1:1" ht="56.25">
      <c r="A20" s="24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根据《国有土地使用证》[]，估价对象（分摊）出让国有建设用地使用权面积为370783.53平方米。根据《建设工程规划许可证》[]、《出让合同》[]，估价对象规划建筑面积为556650.11平方米。</v>
      </c>
    </row>
    <row r="21" spans="1:1" ht="93.75">
      <c r="A21" s="28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7" t="s">
        <v>2050</v>
      </c>
    </row>
    <row r="23" spans="1:1" ht="18.75">
      <c r="A23" s="2805" t="s">
        <v>2723</v>
      </c>
    </row>
    <row r="24" spans="1:1" ht="18.75">
      <c r="A24" s="1767" t="s">
        <v>2051</v>
      </c>
    </row>
    <row r="25" spans="1:1" ht="75">
      <c r="A25" s="1767" t="str">
        <f>定义!C53</f>
        <v>本次估价的“出让国有建设用地使用权价格”是指在估价对象土地所有权为国家所有，使用权性质为出让，在公开市场条件下、于估价期日2020年4月12日，在规划利用条件下、设定土地开发程度为红线外“七通”、宗地内场地，设定用途为，剩余土地使用年限为的出让国有建设用地使用权价格。</v>
      </c>
    </row>
    <row r="26" spans="1:1" ht="93.75">
      <c r="A26" s="176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6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6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3" t="s">
        <v>2003</v>
      </c>
    </row>
    <row r="30" spans="1:1" ht="75">
      <c r="A30" s="17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74"/>
    </row>
    <row r="32" spans="1:1" ht="18.75">
      <c r="A32" s="1775" t="s">
        <v>2004</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23" customWidth="1"/>
    <col min="2" max="2" width="15.625" style="1323" customWidth="1"/>
    <col min="3" max="3" width="15.125" style="1323" customWidth="1"/>
    <col min="4" max="4" width="12.125" style="1323" customWidth="1"/>
    <col min="5" max="5" width="14.375" style="1323" customWidth="1"/>
    <col min="6" max="6" width="12.125" style="1323" customWidth="1"/>
    <col min="7" max="7" width="14.5" style="1323" customWidth="1"/>
    <col min="8" max="8" width="12.125" style="1323" customWidth="1"/>
    <col min="9" max="9" width="14.5" style="1323" customWidth="1"/>
    <col min="10" max="10" width="12.125" style="1323" customWidth="1"/>
    <col min="11" max="11" width="12.125" style="1329" customWidth="1"/>
    <col min="12" max="12" width="12.125" style="1330" customWidth="1"/>
    <col min="13" max="15" width="12.125" style="1323" customWidth="1"/>
    <col min="16" max="16" width="4.625" style="1323" customWidth="1"/>
    <col min="17" max="17" width="19.5" style="1323" customWidth="1"/>
    <col min="18" max="22" width="6.125" style="1323" customWidth="1"/>
    <col min="23" max="23" width="5.625" style="1323" customWidth="1"/>
    <col min="24" max="24" width="4.125" style="1323" customWidth="1"/>
    <col min="25" max="25" width="3.5" style="1323" customWidth="1"/>
    <col min="26" max="26" width="19.625" style="1323" customWidth="1"/>
    <col min="27" max="28" width="9.375" style="1323" customWidth="1"/>
    <col min="29" max="16384" width="9" style="1323"/>
  </cols>
  <sheetData>
    <row r="1" spans="1:29" s="1322" customFormat="1" ht="28.5" customHeight="1">
      <c r="A1" s="502" t="s">
        <v>717</v>
      </c>
      <c r="B1" s="2562" t="s">
        <v>718</v>
      </c>
      <c r="C1" s="2563" t="s">
        <v>719</v>
      </c>
      <c r="D1" s="2564"/>
      <c r="E1" s="2565"/>
      <c r="F1" s="2737"/>
      <c r="G1" s="1577" t="s">
        <v>720</v>
      </c>
      <c r="H1" s="506"/>
      <c r="I1" s="506"/>
      <c r="J1" s="506"/>
      <c r="K1" s="507"/>
      <c r="L1" s="1539"/>
      <c r="M1" s="1540"/>
      <c r="N1" s="1540"/>
      <c r="O1" s="1540"/>
      <c r="P1" s="1541"/>
      <c r="Q1" s="1541"/>
      <c r="R1" s="1541"/>
      <c r="S1" s="1541"/>
      <c r="T1" s="1541"/>
      <c r="U1" s="1541"/>
      <c r="V1" s="1541"/>
      <c r="W1" s="1541"/>
      <c r="X1" s="1541"/>
      <c r="Y1" s="1541"/>
      <c r="Z1" s="1541"/>
      <c r="AA1" s="1541"/>
      <c r="AB1" s="1541"/>
      <c r="AC1" s="1542"/>
    </row>
    <row r="2" spans="1:29" s="1348" customFormat="1" ht="28.5" customHeight="1">
      <c r="A2" s="423" t="s">
        <v>466</v>
      </c>
      <c r="B2" s="2561" t="e">
        <f>ROUND(B3*D3/10000,0)</f>
        <v>#DIV/0!</v>
      </c>
      <c r="C2" s="2103"/>
      <c r="D2" s="2103"/>
      <c r="E2" s="2103"/>
      <c r="F2" s="2177"/>
      <c r="G2" s="2103"/>
      <c r="H2" s="2103"/>
      <c r="I2" s="2103"/>
      <c r="J2" s="2103"/>
      <c r="K2" s="2178"/>
      <c r="L2" s="2179"/>
      <c r="M2" s="2180"/>
      <c r="N2" s="2180"/>
      <c r="O2" s="2180"/>
      <c r="P2" s="1578"/>
      <c r="Q2" s="1578"/>
      <c r="R2" s="1578"/>
      <c r="S2" s="1578"/>
      <c r="T2" s="1578"/>
      <c r="U2" s="1578"/>
      <c r="V2" s="1578"/>
      <c r="W2" s="1578"/>
      <c r="X2" s="1578"/>
      <c r="Y2" s="1578"/>
      <c r="Z2" s="1578"/>
      <c r="AA2" s="1578"/>
      <c r="AB2" s="1578"/>
      <c r="AC2" s="1579"/>
    </row>
    <row r="3" spans="1:29" s="1348" customFormat="1" ht="28.5" customHeight="1" thickBot="1">
      <c r="A3" s="509" t="s">
        <v>518</v>
      </c>
      <c r="B3" s="851" t="e">
        <f>C49</f>
        <v>#DIV/0!</v>
      </c>
      <c r="C3" s="852" t="s">
        <v>721</v>
      </c>
      <c r="D3" s="851">
        <f>SUMIF('数据-汇总表'!$C19:$C33,D1,'数据-汇总表'!$E19:$E33)</f>
        <v>0</v>
      </c>
      <c r="E3" s="2103"/>
      <c r="F3" s="2177"/>
      <c r="G3" s="2103"/>
      <c r="H3" s="2103"/>
      <c r="I3" s="2103"/>
      <c r="J3" s="2103"/>
      <c r="K3" s="2178"/>
      <c r="L3" s="2179"/>
      <c r="M3" s="2180"/>
      <c r="N3" s="2180"/>
      <c r="O3" s="2180"/>
      <c r="P3" s="1578"/>
      <c r="Q3" s="1578"/>
      <c r="R3" s="1578"/>
      <c r="S3" s="1578"/>
      <c r="T3" s="1578"/>
      <c r="U3" s="1578"/>
      <c r="V3" s="1578"/>
      <c r="W3" s="1578"/>
      <c r="X3" s="1578"/>
      <c r="Y3" s="1578"/>
      <c r="Z3" s="1578"/>
      <c r="AA3" s="1578"/>
      <c r="AB3" s="1578"/>
      <c r="AC3" s="1580"/>
    </row>
    <row r="4" spans="1:29" ht="15">
      <c r="A4" s="512" t="s">
        <v>520</v>
      </c>
      <c r="B4" s="513"/>
      <c r="C4" s="3795" t="s">
        <v>521</v>
      </c>
      <c r="D4" s="3796"/>
      <c r="E4" s="3819" t="s">
        <v>522</v>
      </c>
      <c r="F4" s="3820"/>
      <c r="G4" s="3795" t="s">
        <v>523</v>
      </c>
      <c r="H4" s="3796"/>
      <c r="I4" s="3795" t="s">
        <v>524</v>
      </c>
      <c r="J4" s="3796"/>
      <c r="K4" s="853" t="s">
        <v>525</v>
      </c>
      <c r="L4" s="2109"/>
      <c r="M4" s="2110"/>
      <c r="N4" s="2110"/>
      <c r="O4" s="2110"/>
      <c r="P4" s="3797" t="s">
        <v>526</v>
      </c>
      <c r="Q4" s="3798"/>
      <c r="R4" s="3783" t="s">
        <v>522</v>
      </c>
      <c r="S4" s="3784"/>
      <c r="T4" s="3783" t="s">
        <v>523</v>
      </c>
      <c r="U4" s="3784"/>
      <c r="V4" s="3803" t="s">
        <v>524</v>
      </c>
      <c r="W4" s="3803"/>
      <c r="X4" s="1544"/>
      <c r="Y4" s="3783" t="s">
        <v>526</v>
      </c>
      <c r="Z4" s="3784"/>
      <c r="AA4" s="3778" t="s">
        <v>522</v>
      </c>
      <c r="AB4" s="3778" t="s">
        <v>523</v>
      </c>
      <c r="AC4" s="3778" t="s">
        <v>524</v>
      </c>
    </row>
    <row r="5" spans="1:29" ht="15">
      <c r="A5" s="515"/>
      <c r="B5" s="516"/>
      <c r="C5" s="3806" t="s">
        <v>2905</v>
      </c>
      <c r="D5" s="3807"/>
      <c r="E5" s="3821" t="s">
        <v>2906</v>
      </c>
      <c r="F5" s="3822"/>
      <c r="G5" s="3806" t="s">
        <v>2907</v>
      </c>
      <c r="H5" s="3807"/>
      <c r="I5" s="3806" t="s">
        <v>2908</v>
      </c>
      <c r="J5" s="3807"/>
      <c r="K5" s="854"/>
      <c r="L5" s="2109"/>
      <c r="M5" s="2110"/>
      <c r="N5" s="2110"/>
      <c r="O5" s="2110"/>
      <c r="P5" s="3799"/>
      <c r="Q5" s="3800"/>
      <c r="R5" s="3785"/>
      <c r="S5" s="3786"/>
      <c r="T5" s="3785"/>
      <c r="U5" s="3786"/>
      <c r="V5" s="3803"/>
      <c r="W5" s="3803"/>
      <c r="X5" s="1544"/>
      <c r="Y5" s="3785"/>
      <c r="Z5" s="3786"/>
      <c r="AA5" s="3779"/>
      <c r="AB5" s="3779"/>
      <c r="AC5" s="3779"/>
    </row>
    <row r="6" spans="1:29" ht="15.75" thickBot="1">
      <c r="A6" s="517"/>
      <c r="B6" s="518"/>
      <c r="C6" s="3804" t="s">
        <v>2909</v>
      </c>
      <c r="D6" s="3805"/>
      <c r="E6" s="3823" t="s">
        <v>2909</v>
      </c>
      <c r="F6" s="3824"/>
      <c r="G6" s="3804" t="s">
        <v>2909</v>
      </c>
      <c r="H6" s="3805"/>
      <c r="I6" s="3804" t="s">
        <v>2909</v>
      </c>
      <c r="J6" s="3805"/>
      <c r="K6" s="854" t="s">
        <v>527</v>
      </c>
      <c r="L6" s="2109"/>
      <c r="M6" s="2110"/>
      <c r="N6" s="2110"/>
      <c r="O6" s="2110"/>
      <c r="P6" s="3801"/>
      <c r="Q6" s="3802"/>
      <c r="R6" s="3785"/>
      <c r="S6" s="3786"/>
      <c r="T6" s="3787"/>
      <c r="U6" s="3788"/>
      <c r="V6" s="3803"/>
      <c r="W6" s="3803"/>
      <c r="X6" s="1544"/>
      <c r="Y6" s="3787"/>
      <c r="Z6" s="3788"/>
      <c r="AA6" s="3780"/>
      <c r="AB6" s="3780"/>
      <c r="AC6" s="3780"/>
    </row>
    <row r="7" spans="1:29" s="1206" customFormat="1" ht="15.75" thickBot="1">
      <c r="A7" s="2842"/>
      <c r="B7" s="2849" t="s">
        <v>528</v>
      </c>
      <c r="C7" s="519">
        <f>'数据-取费表'!B2</f>
        <v>43933</v>
      </c>
      <c r="D7" s="520">
        <v>100</v>
      </c>
      <c r="E7" s="521"/>
      <c r="F7" s="522">
        <f>SUMIF(58:58,YEAR(E7)&amp;"-"&amp;MONTH(E7),59:59)</f>
        <v>0</v>
      </c>
      <c r="G7" s="523"/>
      <c r="H7" s="520">
        <f>SUMIF(58:58,YEAR(G7)&amp;"-"&amp;MONTH(G7),59:59)</f>
        <v>0</v>
      </c>
      <c r="I7" s="523"/>
      <c r="J7" s="520">
        <f>SUMIF(58:58,YEAR(I7)&amp;"-"&amp;MONTH(I7),59:59)</f>
        <v>0</v>
      </c>
      <c r="K7" s="855"/>
      <c r="L7" s="2111"/>
      <c r="M7" s="2112"/>
      <c r="N7" s="2112"/>
      <c r="O7" s="2112"/>
      <c r="P7" s="3781" t="s">
        <v>529</v>
      </c>
      <c r="Q7" s="3790"/>
      <c r="R7" s="1545" t="s">
        <v>13</v>
      </c>
      <c r="S7" s="1546">
        <f t="shared" ref="S7:S15" si="0">F7</f>
        <v>0</v>
      </c>
      <c r="T7" s="1545" t="s">
        <v>13</v>
      </c>
      <c r="U7" s="1546">
        <f t="shared" ref="U7:U15" si="1">H7</f>
        <v>0</v>
      </c>
      <c r="V7" s="1545" t="s">
        <v>13</v>
      </c>
      <c r="W7" s="1546">
        <f t="shared" ref="W7:W15" si="2">J7</f>
        <v>0</v>
      </c>
      <c r="X7" s="1547"/>
      <c r="Y7" s="3781" t="s">
        <v>529</v>
      </c>
      <c r="Z7" s="3782"/>
      <c r="AA7" s="1548" t="e">
        <f>D7/F7</f>
        <v>#DIV/0!</v>
      </c>
      <c r="AB7" s="1548" t="e">
        <f>D7/H7</f>
        <v>#DIV/0!</v>
      </c>
      <c r="AC7" s="1548" t="e">
        <f>D7/J7</f>
        <v>#DIV/0!</v>
      </c>
    </row>
    <row r="8" spans="1:29" s="1206" customFormat="1" ht="15.75" thickBot="1">
      <c r="A8" s="2843"/>
      <c r="B8" s="2850" t="s">
        <v>530</v>
      </c>
      <c r="C8" s="525" t="s">
        <v>575</v>
      </c>
      <c r="D8" s="520">
        <v>100</v>
      </c>
      <c r="E8" s="856"/>
      <c r="F8" s="522">
        <f>SUMIF(61:61,E8,62:62)-SUMIF(61:61,C8,62:62)+100</f>
        <v>0</v>
      </c>
      <c r="G8" s="525"/>
      <c r="H8" s="520">
        <f>SUMIF(61:61,G8,62:62)-SUMIF(61:61,C8,62:62)+100</f>
        <v>0</v>
      </c>
      <c r="I8" s="856"/>
      <c r="J8" s="520">
        <f>SUMIF(61:61,I8,62:62)-SUMIF(61:61,C8,62:62)+100</f>
        <v>0</v>
      </c>
      <c r="K8" s="855"/>
      <c r="L8" s="2111"/>
      <c r="M8" s="2112"/>
      <c r="N8" s="2112"/>
      <c r="O8" s="2112"/>
      <c r="P8" s="3781" t="s">
        <v>532</v>
      </c>
      <c r="Q8" s="3782"/>
      <c r="R8" s="1545" t="s">
        <v>13</v>
      </c>
      <c r="S8" s="1546">
        <f t="shared" si="0"/>
        <v>0</v>
      </c>
      <c r="T8" s="1545" t="s">
        <v>13</v>
      </c>
      <c r="U8" s="1546">
        <f t="shared" si="1"/>
        <v>0</v>
      </c>
      <c r="V8" s="1545" t="s">
        <v>13</v>
      </c>
      <c r="W8" s="1546">
        <f t="shared" si="2"/>
        <v>0</v>
      </c>
      <c r="X8" s="1547"/>
      <c r="Y8" s="3781" t="s">
        <v>532</v>
      </c>
      <c r="Z8" s="3782"/>
      <c r="AA8" s="1548" t="e">
        <f t="shared" ref="AA8:AA46" si="3">D8/F8</f>
        <v>#DIV/0!</v>
      </c>
      <c r="AB8" s="1548" t="e">
        <f t="shared" ref="AB8:AB46" si="4">D8/H8</f>
        <v>#DIV/0!</v>
      </c>
      <c r="AC8" s="1548" t="e">
        <f t="shared" ref="AC8:AC46" si="5">D8/J8</f>
        <v>#DIV/0!</v>
      </c>
    </row>
    <row r="9" spans="1:29" s="1206" customFormat="1" ht="15">
      <c r="A9" s="2844"/>
      <c r="B9" s="2851" t="s">
        <v>2730</v>
      </c>
      <c r="C9" s="857"/>
      <c r="D9" s="254">
        <v>100</v>
      </c>
      <c r="E9" s="858"/>
      <c r="F9" s="859">
        <f>SUMIF(63:63,E9,64:64)-SUMIF(63:63,C9,64:64)+100</f>
        <v>100</v>
      </c>
      <c r="G9" s="860"/>
      <c r="H9" s="254">
        <f>SUMIF(63:63,G9,64:64)-SUMIF(63:63,C9,64:64)+100</f>
        <v>100</v>
      </c>
      <c r="I9" s="860"/>
      <c r="J9" s="254">
        <f>SUMIF(63:63,I9,64:64)-SUMIF(63:63,C9,64:64)+100</f>
        <v>100</v>
      </c>
      <c r="K9" s="855"/>
      <c r="L9" s="2111"/>
      <c r="M9" s="2112"/>
      <c r="N9" s="2112"/>
      <c r="O9" s="2113"/>
      <c r="P9" s="3789" t="s">
        <v>534</v>
      </c>
      <c r="Q9" s="1138" t="str">
        <f t="shared" ref="Q9:Q15" si="6">B9</f>
        <v>用途</v>
      </c>
      <c r="R9" s="1545" t="s">
        <v>8</v>
      </c>
      <c r="S9" s="1546">
        <f t="shared" si="0"/>
        <v>100</v>
      </c>
      <c r="T9" s="1545" t="s">
        <v>8</v>
      </c>
      <c r="U9" s="1546">
        <f t="shared" si="1"/>
        <v>100</v>
      </c>
      <c r="V9" s="1545" t="s">
        <v>8</v>
      </c>
      <c r="W9" s="1546">
        <f t="shared" si="2"/>
        <v>100</v>
      </c>
      <c r="X9" s="1547"/>
      <c r="Y9" s="3746" t="s">
        <v>535</v>
      </c>
      <c r="Z9" s="1137" t="str">
        <f t="shared" ref="Z9:Z15" si="7">Q9</f>
        <v>用途</v>
      </c>
      <c r="AA9" s="1548">
        <f t="shared" si="3"/>
        <v>1</v>
      </c>
      <c r="AB9" s="1548">
        <f t="shared" si="4"/>
        <v>1</v>
      </c>
      <c r="AC9" s="1548">
        <f t="shared" si="5"/>
        <v>1</v>
      </c>
    </row>
    <row r="10" spans="1:29" s="1324" customFormat="1" ht="27">
      <c r="A10" s="2845"/>
      <c r="B10" s="2850" t="s">
        <v>2731</v>
      </c>
      <c r="C10" s="861"/>
      <c r="D10" s="255">
        <v>100</v>
      </c>
      <c r="E10" s="862"/>
      <c r="F10" s="863">
        <f>SUMIF(65:65,E10,66:66)-SUMIF(65:65,C10,66:66)+100</f>
        <v>100</v>
      </c>
      <c r="G10" s="861"/>
      <c r="H10" s="255">
        <f>SUMIF(65:65,G10,66:66)-SUMIF(65:65,C10,66:66)+100</f>
        <v>100</v>
      </c>
      <c r="I10" s="861"/>
      <c r="J10" s="255">
        <f>SUMIF(65:65,I10,66:66)-SUMIF(65:65,C10,66:66)+100</f>
        <v>100</v>
      </c>
      <c r="K10" s="864"/>
      <c r="L10" s="2114"/>
      <c r="M10" s="2154"/>
      <c r="N10" s="2154"/>
      <c r="O10" s="2115"/>
      <c r="P10" s="3789"/>
      <c r="Q10" s="1138" t="str">
        <f t="shared" si="6"/>
        <v>土地使用年限（年）</v>
      </c>
      <c r="R10" s="1545" t="s">
        <v>8</v>
      </c>
      <c r="S10" s="1546">
        <f t="shared" si="0"/>
        <v>100</v>
      </c>
      <c r="T10" s="1545" t="s">
        <v>8</v>
      </c>
      <c r="U10" s="1546">
        <f t="shared" si="1"/>
        <v>100</v>
      </c>
      <c r="V10" s="1545" t="s">
        <v>8</v>
      </c>
      <c r="W10" s="1546">
        <f t="shared" si="2"/>
        <v>100</v>
      </c>
      <c r="X10" s="1547"/>
      <c r="Y10" s="3746"/>
      <c r="Z10" s="1137" t="str">
        <f t="shared" si="7"/>
        <v>土地使用年限（年）</v>
      </c>
      <c r="AA10" s="1548">
        <f t="shared" si="3"/>
        <v>1</v>
      </c>
      <c r="AB10" s="1548">
        <f t="shared" si="4"/>
        <v>1</v>
      </c>
      <c r="AC10" s="1548">
        <f t="shared" si="5"/>
        <v>1</v>
      </c>
    </row>
    <row r="11" spans="1:29" ht="15">
      <c r="A11" s="2846"/>
      <c r="B11" s="2850" t="s">
        <v>2732</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16"/>
      <c r="M11" s="2110"/>
      <c r="N11" s="2110"/>
      <c r="O11" s="2117"/>
      <c r="P11" s="3789"/>
      <c r="Q11" s="1138" t="str">
        <f t="shared" si="6"/>
        <v>容积率</v>
      </c>
      <c r="R11" s="1545" t="s">
        <v>11</v>
      </c>
      <c r="S11" s="1546" t="e">
        <f t="shared" si="0"/>
        <v>#N/A</v>
      </c>
      <c r="T11" s="1545" t="s">
        <v>11</v>
      </c>
      <c r="U11" s="1546" t="e">
        <f t="shared" si="1"/>
        <v>#N/A</v>
      </c>
      <c r="V11" s="1545" t="s">
        <v>11</v>
      </c>
      <c r="W11" s="1546" t="e">
        <f t="shared" si="2"/>
        <v>#N/A</v>
      </c>
      <c r="X11" s="1547"/>
      <c r="Y11" s="3746"/>
      <c r="Z11" s="1137" t="str">
        <f t="shared" si="7"/>
        <v>容积率</v>
      </c>
      <c r="AA11" s="1548" t="e">
        <f t="shared" si="3"/>
        <v>#N/A</v>
      </c>
      <c r="AB11" s="1548" t="e">
        <f t="shared" si="4"/>
        <v>#N/A</v>
      </c>
      <c r="AC11" s="1548" t="e">
        <f t="shared" si="5"/>
        <v>#N/A</v>
      </c>
    </row>
    <row r="12" spans="1:29" s="1206" customFormat="1" ht="15">
      <c r="A12" s="2847"/>
      <c r="B12" s="2853">
        <v>111</v>
      </c>
      <c r="C12" s="528"/>
      <c r="D12" s="538">
        <v>100</v>
      </c>
      <c r="E12" s="528"/>
      <c r="F12" s="863">
        <f>SUMIF(70:70,E12,71:71)-SUMIF(70:70,C12,71:71)+100</f>
        <v>100</v>
      </c>
      <c r="G12" s="528"/>
      <c r="H12" s="255">
        <f>SUMIF(70:70,G12,71:71)-SUMIF(70:70,C12,71:71)+100</f>
        <v>100</v>
      </c>
      <c r="I12" s="528"/>
      <c r="J12" s="255">
        <f>SUMIF(70:70,I12,71:71)-SUMIF(70:70,C12,71:71)+100</f>
        <v>100</v>
      </c>
      <c r="K12" s="865"/>
      <c r="L12" s="2111"/>
      <c r="M12" s="2112"/>
      <c r="N12" s="2112"/>
      <c r="O12" s="2113"/>
      <c r="P12" s="3789"/>
      <c r="Q12" s="1138">
        <f t="shared" si="6"/>
        <v>111</v>
      </c>
      <c r="R12" s="1545" t="s">
        <v>11</v>
      </c>
      <c r="S12" s="1546">
        <f t="shared" si="0"/>
        <v>100</v>
      </c>
      <c r="T12" s="1545" t="s">
        <v>11</v>
      </c>
      <c r="U12" s="1546">
        <f t="shared" si="1"/>
        <v>100</v>
      </c>
      <c r="V12" s="1545" t="s">
        <v>11</v>
      </c>
      <c r="W12" s="1546">
        <f t="shared" si="2"/>
        <v>100</v>
      </c>
      <c r="X12" s="1547"/>
      <c r="Y12" s="3746"/>
      <c r="Z12" s="1137">
        <f t="shared" si="7"/>
        <v>111</v>
      </c>
      <c r="AA12" s="1548">
        <f>D12/F12</f>
        <v>1</v>
      </c>
      <c r="AB12" s="1548">
        <f>D12/H12</f>
        <v>1</v>
      </c>
      <c r="AC12" s="1548">
        <f>D12/J12</f>
        <v>1</v>
      </c>
    </row>
    <row r="13" spans="1:29" ht="15">
      <c r="A13" s="2847"/>
      <c r="B13" s="2853">
        <v>111</v>
      </c>
      <c r="C13" s="539"/>
      <c r="D13" s="540">
        <v>100</v>
      </c>
      <c r="E13" s="539"/>
      <c r="F13" s="863">
        <f>SUMIF(72:72,E13,73:73)-SUMIF(72:72,C13,73:73)+100</f>
        <v>100</v>
      </c>
      <c r="G13" s="539"/>
      <c r="H13" s="540">
        <f>SUMIF(72:72,G13,73:73)-SUMIF(72:72,C13,73:73)+100</f>
        <v>100</v>
      </c>
      <c r="I13" s="539"/>
      <c r="J13" s="540">
        <f>SUMIF(72:72,I13,73:73)-SUMIF(72:72,C13,73:73)+100</f>
        <v>100</v>
      </c>
      <c r="K13" s="865"/>
      <c r="L13" s="2118"/>
      <c r="M13" s="2110"/>
      <c r="N13" s="2110"/>
      <c r="O13" s="2117"/>
      <c r="P13" s="3789"/>
      <c r="Q13" s="1138">
        <f t="shared" si="6"/>
        <v>111</v>
      </c>
      <c r="R13" s="1545" t="s">
        <v>11</v>
      </c>
      <c r="S13" s="1546">
        <f t="shared" si="0"/>
        <v>100</v>
      </c>
      <c r="T13" s="1545" t="s">
        <v>11</v>
      </c>
      <c r="U13" s="1546">
        <f t="shared" si="1"/>
        <v>100</v>
      </c>
      <c r="V13" s="1545" t="s">
        <v>11</v>
      </c>
      <c r="W13" s="1546">
        <f t="shared" si="2"/>
        <v>100</v>
      </c>
      <c r="X13" s="1547"/>
      <c r="Y13" s="3746"/>
      <c r="Z13" s="1137">
        <f t="shared" si="7"/>
        <v>111</v>
      </c>
      <c r="AA13" s="1548">
        <f t="shared" si="3"/>
        <v>1</v>
      </c>
      <c r="AB13" s="1548">
        <f t="shared" si="4"/>
        <v>1</v>
      </c>
      <c r="AC13" s="1548">
        <f t="shared" si="5"/>
        <v>1</v>
      </c>
    </row>
    <row r="14" spans="1:29" ht="15.75" thickBot="1">
      <c r="A14" s="2848"/>
      <c r="B14" s="2854">
        <v>111</v>
      </c>
      <c r="C14" s="545"/>
      <c r="D14" s="546">
        <v>100</v>
      </c>
      <c r="E14" s="545"/>
      <c r="F14" s="866">
        <f>SUMIF(74:74,E14,75:75)-SUMIF(74:74,C14,75:75)+100</f>
        <v>100</v>
      </c>
      <c r="G14" s="545"/>
      <c r="H14" s="546">
        <f>SUMIF(74:74,G14,75:75)-SUMIF(74:74,C14,75:75)+100</f>
        <v>100</v>
      </c>
      <c r="I14" s="545"/>
      <c r="J14" s="546">
        <f>SUMIF(74:74,I14,75:75)-SUMIF(74:74,C14,75:75)+100</f>
        <v>100</v>
      </c>
      <c r="K14" s="865"/>
      <c r="L14" s="2118"/>
      <c r="M14" s="2110"/>
      <c r="N14" s="2110"/>
      <c r="O14" s="2117"/>
      <c r="P14" s="3789"/>
      <c r="Q14" s="1138">
        <f t="shared" si="6"/>
        <v>111</v>
      </c>
      <c r="R14" s="1545" t="s">
        <v>11</v>
      </c>
      <c r="S14" s="1546">
        <f t="shared" si="0"/>
        <v>100</v>
      </c>
      <c r="T14" s="1545" t="s">
        <v>11</v>
      </c>
      <c r="U14" s="1546">
        <f t="shared" si="1"/>
        <v>100</v>
      </c>
      <c r="V14" s="1545" t="s">
        <v>11</v>
      </c>
      <c r="W14" s="1546">
        <f t="shared" si="2"/>
        <v>100</v>
      </c>
      <c r="X14" s="1547"/>
      <c r="Y14" s="3746"/>
      <c r="Z14" s="1137">
        <f t="shared" si="7"/>
        <v>111</v>
      </c>
      <c r="AA14" s="1548">
        <f t="shared" si="3"/>
        <v>1</v>
      </c>
      <c r="AB14" s="1548">
        <f t="shared" si="4"/>
        <v>1</v>
      </c>
      <c r="AC14" s="1548">
        <f t="shared" si="5"/>
        <v>1</v>
      </c>
    </row>
    <row r="15" spans="1:29" ht="99.75">
      <c r="A15" s="2840" t="s">
        <v>2728</v>
      </c>
      <c r="B15" s="166" t="s">
        <v>294</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18"/>
      <c r="M15" s="2110"/>
      <c r="N15" s="2110"/>
      <c r="O15" s="2117"/>
      <c r="P15" s="3791" t="s">
        <v>539</v>
      </c>
      <c r="Q15" s="1549" t="str">
        <f t="shared" si="6"/>
        <v>居住社区成熟度</v>
      </c>
      <c r="R15" s="1550" t="s">
        <v>11</v>
      </c>
      <c r="S15" s="1551">
        <f t="shared" si="0"/>
        <v>100</v>
      </c>
      <c r="T15" s="1550" t="s">
        <v>11</v>
      </c>
      <c r="U15" s="1551">
        <f t="shared" si="1"/>
        <v>100</v>
      </c>
      <c r="V15" s="1550" t="s">
        <v>11</v>
      </c>
      <c r="W15" s="1551">
        <f t="shared" si="2"/>
        <v>100</v>
      </c>
      <c r="X15" s="1544"/>
      <c r="Y15" s="3791" t="s">
        <v>539</v>
      </c>
      <c r="Z15" s="1552" t="str">
        <f t="shared" si="7"/>
        <v>居住社区成熟度</v>
      </c>
      <c r="AA15" s="1553">
        <f t="shared" si="3"/>
        <v>1</v>
      </c>
      <c r="AB15" s="1553">
        <f t="shared" si="4"/>
        <v>1</v>
      </c>
      <c r="AC15" s="1553">
        <f t="shared" si="5"/>
        <v>1</v>
      </c>
    </row>
    <row r="16" spans="1:29" ht="15">
      <c r="A16" s="532"/>
      <c r="B16" s="869"/>
      <c r="C16" s="576"/>
      <c r="D16" s="555"/>
      <c r="E16" s="556"/>
      <c r="F16" s="557"/>
      <c r="G16" s="558"/>
      <c r="H16" s="559"/>
      <c r="I16" s="556"/>
      <c r="J16" s="555"/>
      <c r="K16" s="870"/>
      <c r="L16" s="2118"/>
      <c r="M16" s="2110"/>
      <c r="N16" s="2110"/>
      <c r="O16" s="2117"/>
      <c r="P16" s="3792"/>
      <c r="Q16" s="1549"/>
      <c r="R16" s="1550"/>
      <c r="S16" s="1551"/>
      <c r="T16" s="1550"/>
      <c r="U16" s="1551"/>
      <c r="V16" s="1550"/>
      <c r="W16" s="1551"/>
      <c r="X16" s="1544"/>
      <c r="Y16" s="3792"/>
      <c r="Z16" s="1552"/>
      <c r="AA16" s="1553">
        <v>1</v>
      </c>
      <c r="AB16" s="1553">
        <v>1</v>
      </c>
      <c r="AC16" s="1553">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18"/>
      <c r="M17" s="2110"/>
      <c r="N17" s="2110"/>
      <c r="O17" s="2117"/>
      <c r="P17" s="3792"/>
      <c r="Q17" s="1549" t="str">
        <f>B17</f>
        <v>交通便捷度</v>
      </c>
      <c r="R17" s="1550" t="s">
        <v>11</v>
      </c>
      <c r="S17" s="1551">
        <f>F17</f>
        <v>100</v>
      </c>
      <c r="T17" s="1550" t="s">
        <v>11</v>
      </c>
      <c r="U17" s="1551">
        <f>H17</f>
        <v>100</v>
      </c>
      <c r="V17" s="1550" t="s">
        <v>11</v>
      </c>
      <c r="W17" s="1551">
        <f>J17</f>
        <v>100</v>
      </c>
      <c r="X17" s="1544"/>
      <c r="Y17" s="3792"/>
      <c r="Z17" s="1552" t="str">
        <f>Q17</f>
        <v>交通便捷度</v>
      </c>
      <c r="AA17" s="1553">
        <f t="shared" si="3"/>
        <v>1</v>
      </c>
      <c r="AB17" s="1553">
        <f t="shared" si="4"/>
        <v>1</v>
      </c>
      <c r="AC17" s="1553">
        <f t="shared" si="5"/>
        <v>1</v>
      </c>
    </row>
    <row r="18" spans="1:29" ht="15">
      <c r="A18" s="532"/>
      <c r="B18" s="595"/>
      <c r="C18" s="873"/>
      <c r="D18" s="559"/>
      <c r="E18" s="568"/>
      <c r="F18" s="563"/>
      <c r="G18" s="569"/>
      <c r="H18" s="555"/>
      <c r="I18" s="568"/>
      <c r="J18" s="555"/>
      <c r="K18" s="870"/>
      <c r="L18" s="2118"/>
      <c r="M18" s="2110"/>
      <c r="N18" s="2110"/>
      <c r="O18" s="2117"/>
      <c r="P18" s="3792"/>
      <c r="Q18" s="1549"/>
      <c r="R18" s="1550"/>
      <c r="S18" s="1551"/>
      <c r="T18" s="1550"/>
      <c r="U18" s="1551"/>
      <c r="V18" s="1550"/>
      <c r="W18" s="1551"/>
      <c r="X18" s="1544"/>
      <c r="Y18" s="3792"/>
      <c r="Z18" s="1552"/>
      <c r="AA18" s="1553">
        <v>1</v>
      </c>
      <c r="AB18" s="1553">
        <v>1</v>
      </c>
      <c r="AC18" s="1553">
        <v>1</v>
      </c>
    </row>
    <row r="19" spans="1:29" ht="42.75">
      <c r="A19" s="532"/>
      <c r="B19" s="2539" t="s">
        <v>2521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18"/>
      <c r="M19" s="2110"/>
      <c r="N19" s="2110"/>
      <c r="O19" s="2117"/>
      <c r="P19" s="3792"/>
      <c r="Q19" s="1549" t="str">
        <f>B19</f>
        <v>公共配套设施</v>
      </c>
      <c r="R19" s="1550" t="s">
        <v>11</v>
      </c>
      <c r="S19" s="1551">
        <f>F19</f>
        <v>100</v>
      </c>
      <c r="T19" s="1550" t="s">
        <v>11</v>
      </c>
      <c r="U19" s="1551">
        <f>H19</f>
        <v>100</v>
      </c>
      <c r="V19" s="1550" t="s">
        <v>11</v>
      </c>
      <c r="W19" s="1551">
        <f>J19</f>
        <v>100</v>
      </c>
      <c r="X19" s="1544"/>
      <c r="Y19" s="3792"/>
      <c r="Z19" s="1552" t="str">
        <f>Q19</f>
        <v>公共配套设施</v>
      </c>
      <c r="AA19" s="1553">
        <f t="shared" si="3"/>
        <v>1</v>
      </c>
      <c r="AB19" s="1553">
        <f t="shared" si="4"/>
        <v>1</v>
      </c>
      <c r="AC19" s="1553">
        <f t="shared" si="5"/>
        <v>1</v>
      </c>
    </row>
    <row r="20" spans="1:29" ht="15">
      <c r="A20" s="532"/>
      <c r="B20" s="595"/>
      <c r="C20" s="576"/>
      <c r="D20" s="555"/>
      <c r="E20" s="556"/>
      <c r="F20" s="557"/>
      <c r="G20" s="558"/>
      <c r="H20" s="555"/>
      <c r="I20" s="556"/>
      <c r="J20" s="555"/>
      <c r="K20" s="870"/>
      <c r="L20" s="2118"/>
      <c r="M20" s="2110"/>
      <c r="N20" s="2110"/>
      <c r="O20" s="2117"/>
      <c r="P20" s="3792"/>
      <c r="Q20" s="1549"/>
      <c r="R20" s="1550"/>
      <c r="S20" s="1551"/>
      <c r="T20" s="1550"/>
      <c r="U20" s="1551"/>
      <c r="V20" s="1550"/>
      <c r="W20" s="1551"/>
      <c r="X20" s="1544"/>
      <c r="Y20" s="3792"/>
      <c r="Z20" s="1552"/>
      <c r="AA20" s="1553">
        <v>1</v>
      </c>
      <c r="AB20" s="1553">
        <v>1</v>
      </c>
      <c r="AC20" s="1553">
        <v>1</v>
      </c>
    </row>
    <row r="21" spans="1:29" ht="28.5">
      <c r="A21" s="532"/>
      <c r="B21" s="2532" t="s">
        <v>2533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18"/>
      <c r="M21" s="2110"/>
      <c r="N21" s="2110"/>
      <c r="O21" s="2117"/>
      <c r="P21" s="3792"/>
      <c r="Q21" s="2518" t="str">
        <f>B21</f>
        <v>基础设施水平</v>
      </c>
      <c r="R21" s="1550" t="s">
        <v>11</v>
      </c>
      <c r="S21" s="1551">
        <f>F21</f>
        <v>100</v>
      </c>
      <c r="T21" s="1550" t="s">
        <v>11</v>
      </c>
      <c r="U21" s="1551">
        <f>H21</f>
        <v>100</v>
      </c>
      <c r="V21" s="1550" t="s">
        <v>11</v>
      </c>
      <c r="W21" s="1551">
        <f>J21</f>
        <v>100</v>
      </c>
      <c r="X21" s="2520"/>
      <c r="Y21" s="3792"/>
      <c r="Z21" s="2519" t="str">
        <f>Q21</f>
        <v>基础设施水平</v>
      </c>
      <c r="AA21" s="1553">
        <f t="shared" ref="AA21" si="8">D21/F21</f>
        <v>1</v>
      </c>
      <c r="AB21" s="1553">
        <f t="shared" ref="AB21" si="9">D21/H21</f>
        <v>1</v>
      </c>
      <c r="AC21" s="1553">
        <f t="shared" ref="AC21" si="10">D21/J21</f>
        <v>1</v>
      </c>
    </row>
    <row r="22" spans="1:29" ht="15">
      <c r="A22" s="532"/>
      <c r="B22" s="913"/>
      <c r="C22" s="873"/>
      <c r="D22" s="555"/>
      <c r="E22" s="576"/>
      <c r="F22" s="557"/>
      <c r="G22" s="576"/>
      <c r="H22" s="555"/>
      <c r="I22" s="576"/>
      <c r="J22" s="555"/>
      <c r="K22" s="2538"/>
      <c r="L22" s="2118"/>
      <c r="M22" s="2110"/>
      <c r="N22" s="2110"/>
      <c r="O22" s="2117"/>
      <c r="P22" s="3792"/>
      <c r="Q22" s="2518"/>
      <c r="R22" s="1550"/>
      <c r="S22" s="1551"/>
      <c r="T22" s="1550"/>
      <c r="U22" s="1551"/>
      <c r="V22" s="1550"/>
      <c r="W22" s="1551"/>
      <c r="X22" s="2520"/>
      <c r="Y22" s="3792"/>
      <c r="Z22" s="2519"/>
      <c r="AA22" s="1553">
        <v>1</v>
      </c>
      <c r="AB22" s="1553">
        <v>1</v>
      </c>
      <c r="AC22" s="1553">
        <v>1</v>
      </c>
    </row>
    <row r="23" spans="1:29" ht="57">
      <c r="A23" s="532"/>
      <c r="B23" s="871" t="s">
        <v>296</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18"/>
      <c r="M23" s="2110"/>
      <c r="N23" s="2110"/>
      <c r="O23" s="2117"/>
      <c r="P23" s="3792"/>
      <c r="Q23" s="1549" t="str">
        <f>B23</f>
        <v>自然及人文环境</v>
      </c>
      <c r="R23" s="1550" t="s">
        <v>11</v>
      </c>
      <c r="S23" s="1551">
        <f>F23</f>
        <v>100</v>
      </c>
      <c r="T23" s="1550" t="s">
        <v>11</v>
      </c>
      <c r="U23" s="1551">
        <f>H23</f>
        <v>100</v>
      </c>
      <c r="V23" s="1550" t="s">
        <v>11</v>
      </c>
      <c r="W23" s="1551">
        <f>J23</f>
        <v>100</v>
      </c>
      <c r="X23" s="1544"/>
      <c r="Y23" s="3792"/>
      <c r="Z23" s="1552" t="str">
        <f>Q23</f>
        <v>自然及人文环境</v>
      </c>
      <c r="AA23" s="1553">
        <f t="shared" si="3"/>
        <v>1</v>
      </c>
      <c r="AB23" s="1553">
        <f t="shared" si="4"/>
        <v>1</v>
      </c>
      <c r="AC23" s="1553">
        <f t="shared" si="5"/>
        <v>1</v>
      </c>
    </row>
    <row r="24" spans="1:29" ht="15">
      <c r="A24" s="532"/>
      <c r="B24" s="595"/>
      <c r="C24" s="576"/>
      <c r="D24" s="555"/>
      <c r="E24" s="556"/>
      <c r="F24" s="557"/>
      <c r="G24" s="558"/>
      <c r="H24" s="555"/>
      <c r="I24" s="556"/>
      <c r="J24" s="555"/>
      <c r="K24" s="870"/>
      <c r="L24" s="2118"/>
      <c r="M24" s="2110"/>
      <c r="N24" s="2110"/>
      <c r="O24" s="2117"/>
      <c r="P24" s="3792"/>
      <c r="Q24" s="1549"/>
      <c r="R24" s="1550"/>
      <c r="S24" s="1551"/>
      <c r="T24" s="1550"/>
      <c r="U24" s="1551"/>
      <c r="V24" s="1550"/>
      <c r="W24" s="1551"/>
      <c r="X24" s="1544"/>
      <c r="Y24" s="3792"/>
      <c r="Z24" s="1552"/>
      <c r="AA24" s="1553">
        <v>1</v>
      </c>
      <c r="AB24" s="1553">
        <v>1</v>
      </c>
      <c r="AC24" s="1553">
        <v>1</v>
      </c>
    </row>
    <row r="25" spans="1:29" ht="15">
      <c r="A25" s="532"/>
      <c r="B25" s="1871" t="s">
        <v>2232</v>
      </c>
      <c r="C25" s="574"/>
      <c r="D25" s="540">
        <v>100</v>
      </c>
      <c r="E25" s="874"/>
      <c r="F25" s="575">
        <f>SUMIF(86:86,E25,87:87)-SUMIF(86:86,C25,87:87)+100</f>
        <v>100</v>
      </c>
      <c r="G25" s="599"/>
      <c r="H25" s="540">
        <f>SUMIF(86:86,G25,87:87)-SUMIF(86:86,C25,87:87)+100</f>
        <v>100</v>
      </c>
      <c r="I25" s="874"/>
      <c r="J25" s="540">
        <f>SUMIF(86:86,I25,87:87)-SUMIF(86:86,C25,87:87)+100</f>
        <v>100</v>
      </c>
      <c r="K25" s="864"/>
      <c r="L25" s="2118"/>
      <c r="M25" s="2110"/>
      <c r="N25" s="2110"/>
      <c r="O25" s="2117"/>
      <c r="P25" s="3792"/>
      <c r="Q25" s="1549" t="str">
        <f t="shared" ref="Q25:Q46" si="11">B25</f>
        <v>楼层-1</v>
      </c>
      <c r="R25" s="1550" t="s">
        <v>11</v>
      </c>
      <c r="S25" s="1551">
        <f>F25</f>
        <v>100</v>
      </c>
      <c r="T25" s="1550" t="s">
        <v>11</v>
      </c>
      <c r="U25" s="1551">
        <f>H25</f>
        <v>100</v>
      </c>
      <c r="V25" s="1550" t="s">
        <v>11</v>
      </c>
      <c r="W25" s="1551">
        <f>J25</f>
        <v>100</v>
      </c>
      <c r="X25" s="1544"/>
      <c r="Y25" s="3792"/>
      <c r="Z25" s="1552" t="str">
        <f>Q25</f>
        <v>楼层-1</v>
      </c>
      <c r="AA25" s="1553">
        <f t="shared" si="3"/>
        <v>1</v>
      </c>
      <c r="AB25" s="1553">
        <f t="shared" si="4"/>
        <v>1</v>
      </c>
      <c r="AC25" s="1553">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18"/>
      <c r="M26" s="2110"/>
      <c r="N26" s="2110"/>
      <c r="O26" s="2117"/>
      <c r="P26" s="3792"/>
      <c r="Q26" s="1549" t="str">
        <f t="shared" si="11"/>
        <v>朝向</v>
      </c>
      <c r="R26" s="1550" t="s">
        <v>11</v>
      </c>
      <c r="S26" s="1551">
        <f>F26</f>
        <v>100</v>
      </c>
      <c r="T26" s="1550" t="s">
        <v>11</v>
      </c>
      <c r="U26" s="1551">
        <f>H26</f>
        <v>100</v>
      </c>
      <c r="V26" s="1550" t="s">
        <v>11</v>
      </c>
      <c r="W26" s="1551">
        <f>J26</f>
        <v>100</v>
      </c>
      <c r="X26" s="1544"/>
      <c r="Y26" s="3792"/>
      <c r="Z26" s="1552" t="str">
        <f>Q26</f>
        <v>朝向</v>
      </c>
      <c r="AA26" s="1553">
        <f t="shared" si="3"/>
        <v>1</v>
      </c>
      <c r="AB26" s="1553">
        <f t="shared" si="4"/>
        <v>1</v>
      </c>
      <c r="AC26" s="1553">
        <f t="shared" si="5"/>
        <v>1</v>
      </c>
    </row>
    <row r="27" spans="1:29" s="120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11"/>
      <c r="M27" s="2112"/>
      <c r="N27" s="2112"/>
      <c r="O27" s="2113"/>
      <c r="P27" s="3792"/>
      <c r="Q27" s="1138" t="str">
        <f t="shared" si="11"/>
        <v>道路级别</v>
      </c>
      <c r="R27" s="1545" t="s">
        <v>11</v>
      </c>
      <c r="S27" s="1546">
        <f>F27</f>
        <v>100</v>
      </c>
      <c r="T27" s="1545" t="s">
        <v>11</v>
      </c>
      <c r="U27" s="1546">
        <f>H27</f>
        <v>100</v>
      </c>
      <c r="V27" s="1545" t="s">
        <v>11</v>
      </c>
      <c r="W27" s="1546">
        <f>J27</f>
        <v>100</v>
      </c>
      <c r="X27" s="1547"/>
      <c r="Y27" s="3792"/>
      <c r="Z27" s="1137" t="str">
        <f>Q27</f>
        <v>道路级别</v>
      </c>
      <c r="AA27" s="1553">
        <f>D27/F27</f>
        <v>1</v>
      </c>
      <c r="AB27" s="1553">
        <f>D27/H27</f>
        <v>1</v>
      </c>
      <c r="AC27" s="155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18"/>
      <c r="M28" s="2110"/>
      <c r="N28" s="2110"/>
      <c r="O28" s="2117"/>
      <c r="P28" s="3792"/>
      <c r="Q28" s="1549">
        <f t="shared" si="11"/>
        <v>111</v>
      </c>
      <c r="R28" s="1550" t="s">
        <v>11</v>
      </c>
      <c r="S28" s="1551">
        <f t="shared" ref="S28:S46" si="12">F28</f>
        <v>100</v>
      </c>
      <c r="T28" s="1550" t="s">
        <v>11</v>
      </c>
      <c r="U28" s="1551">
        <f t="shared" ref="U28:U46" si="13">H28</f>
        <v>100</v>
      </c>
      <c r="V28" s="1550" t="s">
        <v>11</v>
      </c>
      <c r="W28" s="1551">
        <f t="shared" ref="W28:W46" si="14">J28</f>
        <v>100</v>
      </c>
      <c r="X28" s="1544"/>
      <c r="Y28" s="3792"/>
      <c r="Z28" s="1552">
        <f t="shared" ref="Z28:Z46" si="15">Q28</f>
        <v>111</v>
      </c>
      <c r="AA28" s="1553">
        <f t="shared" si="3"/>
        <v>1</v>
      </c>
      <c r="AB28" s="1553">
        <f t="shared" si="4"/>
        <v>1</v>
      </c>
      <c r="AC28" s="155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18"/>
      <c r="M29" s="2110"/>
      <c r="N29" s="2110"/>
      <c r="O29" s="2117"/>
      <c r="P29" s="3792"/>
      <c r="Q29" s="1549">
        <f t="shared" si="11"/>
        <v>111</v>
      </c>
      <c r="R29" s="1550" t="s">
        <v>11</v>
      </c>
      <c r="S29" s="1551">
        <f t="shared" si="12"/>
        <v>100</v>
      </c>
      <c r="T29" s="1550" t="s">
        <v>11</v>
      </c>
      <c r="U29" s="1551">
        <f t="shared" si="13"/>
        <v>100</v>
      </c>
      <c r="V29" s="1550" t="s">
        <v>11</v>
      </c>
      <c r="W29" s="1551">
        <f t="shared" si="14"/>
        <v>100</v>
      </c>
      <c r="X29" s="1544"/>
      <c r="Y29" s="3792"/>
      <c r="Z29" s="1552">
        <f t="shared" si="15"/>
        <v>111</v>
      </c>
      <c r="AA29" s="1553">
        <f t="shared" si="3"/>
        <v>1</v>
      </c>
      <c r="AB29" s="1553">
        <f t="shared" si="4"/>
        <v>1</v>
      </c>
      <c r="AC29" s="155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18"/>
      <c r="M30" s="2110"/>
      <c r="N30" s="2110"/>
      <c r="O30" s="2117"/>
      <c r="P30" s="3792"/>
      <c r="Q30" s="1549">
        <f t="shared" si="11"/>
        <v>111</v>
      </c>
      <c r="R30" s="1550" t="s">
        <v>11</v>
      </c>
      <c r="S30" s="1551">
        <f t="shared" si="12"/>
        <v>100</v>
      </c>
      <c r="T30" s="1550" t="s">
        <v>11</v>
      </c>
      <c r="U30" s="1551">
        <f t="shared" si="13"/>
        <v>100</v>
      </c>
      <c r="V30" s="1550" t="s">
        <v>11</v>
      </c>
      <c r="W30" s="1551">
        <f t="shared" si="14"/>
        <v>100</v>
      </c>
      <c r="X30" s="1544"/>
      <c r="Y30" s="3792"/>
      <c r="Z30" s="1552">
        <f t="shared" si="15"/>
        <v>111</v>
      </c>
      <c r="AA30" s="1553">
        <f t="shared" si="3"/>
        <v>1</v>
      </c>
      <c r="AB30" s="1553">
        <f t="shared" si="4"/>
        <v>1</v>
      </c>
      <c r="AC30" s="155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18"/>
      <c r="M31" s="2110"/>
      <c r="N31" s="2110"/>
      <c r="O31" s="2117"/>
      <c r="P31" s="3792"/>
      <c r="Q31" s="1549">
        <f t="shared" si="11"/>
        <v>111</v>
      </c>
      <c r="R31" s="1550" t="s">
        <v>11</v>
      </c>
      <c r="S31" s="1551">
        <f t="shared" si="12"/>
        <v>100</v>
      </c>
      <c r="T31" s="1550" t="s">
        <v>11</v>
      </c>
      <c r="U31" s="1551">
        <f t="shared" si="13"/>
        <v>100</v>
      </c>
      <c r="V31" s="1550" t="s">
        <v>11</v>
      </c>
      <c r="W31" s="1551">
        <f t="shared" si="14"/>
        <v>100</v>
      </c>
      <c r="X31" s="1544"/>
      <c r="Y31" s="3792"/>
      <c r="Z31" s="1552">
        <f t="shared" si="15"/>
        <v>111</v>
      </c>
      <c r="AA31" s="1553">
        <f t="shared" si="3"/>
        <v>1</v>
      </c>
      <c r="AB31" s="1553">
        <f t="shared" si="4"/>
        <v>1</v>
      </c>
      <c r="AC31" s="1553">
        <f t="shared" si="5"/>
        <v>1</v>
      </c>
    </row>
    <row r="32" spans="1:29" ht="15">
      <c r="A32" s="2837" t="s">
        <v>2729</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18"/>
      <c r="M32" s="2110"/>
      <c r="N32" s="2110"/>
      <c r="O32" s="2117"/>
      <c r="P32" s="3793" t="s">
        <v>549</v>
      </c>
      <c r="Q32" s="1549" t="str">
        <f t="shared" si="11"/>
        <v>建筑类型</v>
      </c>
      <c r="R32" s="1550" t="s">
        <v>11</v>
      </c>
      <c r="S32" s="1551">
        <f t="shared" si="12"/>
        <v>100</v>
      </c>
      <c r="T32" s="1550" t="s">
        <v>11</v>
      </c>
      <c r="U32" s="1551">
        <f t="shared" si="13"/>
        <v>100</v>
      </c>
      <c r="V32" s="1550" t="s">
        <v>11</v>
      </c>
      <c r="W32" s="1551">
        <f t="shared" si="14"/>
        <v>100</v>
      </c>
      <c r="X32" s="1544"/>
      <c r="Y32" s="3794" t="s">
        <v>549</v>
      </c>
      <c r="Z32" s="1552" t="str">
        <f t="shared" si="15"/>
        <v>建筑类型</v>
      </c>
      <c r="AA32" s="1553">
        <f t="shared" si="3"/>
        <v>1</v>
      </c>
      <c r="AB32" s="1553">
        <f t="shared" si="4"/>
        <v>1</v>
      </c>
      <c r="AC32" s="1553">
        <f t="shared" si="5"/>
        <v>1</v>
      </c>
    </row>
    <row r="33" spans="1:29" s="1325"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16"/>
      <c r="M33" s="2147"/>
      <c r="N33" s="2147"/>
      <c r="O33" s="2119"/>
      <c r="P33" s="3794"/>
      <c r="Q33" s="1581" t="str">
        <f t="shared" si="11"/>
        <v>项目建筑规模</v>
      </c>
      <c r="R33" s="1554" t="s">
        <v>11</v>
      </c>
      <c r="S33" s="1555" t="e">
        <f t="shared" si="12"/>
        <v>#N/A</v>
      </c>
      <c r="T33" s="1554" t="s">
        <v>11</v>
      </c>
      <c r="U33" s="1555" t="e">
        <f t="shared" si="13"/>
        <v>#N/A</v>
      </c>
      <c r="V33" s="1554" t="s">
        <v>11</v>
      </c>
      <c r="W33" s="1555" t="e">
        <f t="shared" si="14"/>
        <v>#N/A</v>
      </c>
      <c r="X33" s="1556"/>
      <c r="Y33" s="3794"/>
      <c r="Z33" s="1557" t="str">
        <f t="shared" si="15"/>
        <v>项目建筑规模</v>
      </c>
      <c r="AA33" s="1553" t="e">
        <f t="shared" si="3"/>
        <v>#N/A</v>
      </c>
      <c r="AB33" s="1553" t="e">
        <f t="shared" si="4"/>
        <v>#N/A</v>
      </c>
      <c r="AC33" s="155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18"/>
      <c r="M34" s="2110"/>
      <c r="N34" s="2110"/>
      <c r="O34" s="2117"/>
      <c r="P34" s="3794"/>
      <c r="Q34" s="1549" t="str">
        <f t="shared" si="11"/>
        <v>建筑结构</v>
      </c>
      <c r="R34" s="1550" t="s">
        <v>11</v>
      </c>
      <c r="S34" s="1551">
        <f t="shared" si="12"/>
        <v>100</v>
      </c>
      <c r="T34" s="1550" t="s">
        <v>11</v>
      </c>
      <c r="U34" s="1551">
        <f t="shared" si="13"/>
        <v>100</v>
      </c>
      <c r="V34" s="1550" t="s">
        <v>11</v>
      </c>
      <c r="W34" s="1551">
        <f t="shared" si="14"/>
        <v>100</v>
      </c>
      <c r="X34" s="1544"/>
      <c r="Y34" s="3794"/>
      <c r="Z34" s="1552" t="str">
        <f t="shared" si="15"/>
        <v>建筑结构</v>
      </c>
      <c r="AA34" s="1553">
        <f t="shared" si="3"/>
        <v>1</v>
      </c>
      <c r="AB34" s="1553">
        <f t="shared" si="4"/>
        <v>1</v>
      </c>
      <c r="AC34" s="1553">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18"/>
      <c r="M35" s="2110"/>
      <c r="N35" s="2110"/>
      <c r="O35" s="2117"/>
      <c r="P35" s="3794"/>
      <c r="Q35" s="1549" t="str">
        <f t="shared" si="11"/>
        <v>建筑品质</v>
      </c>
      <c r="R35" s="1550" t="s">
        <v>11</v>
      </c>
      <c r="S35" s="1551">
        <f t="shared" si="12"/>
        <v>100</v>
      </c>
      <c r="T35" s="1550" t="s">
        <v>11</v>
      </c>
      <c r="U35" s="1551">
        <f t="shared" si="13"/>
        <v>100</v>
      </c>
      <c r="V35" s="1550" t="s">
        <v>11</v>
      </c>
      <c r="W35" s="1551">
        <f t="shared" si="14"/>
        <v>100</v>
      </c>
      <c r="X35" s="1544"/>
      <c r="Y35" s="3794"/>
      <c r="Z35" s="1552" t="str">
        <f t="shared" si="15"/>
        <v>建筑品质</v>
      </c>
      <c r="AA35" s="1553">
        <f t="shared" si="3"/>
        <v>1</v>
      </c>
      <c r="AB35" s="1553">
        <f t="shared" si="4"/>
        <v>1</v>
      </c>
      <c r="AC35" s="1553">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18"/>
      <c r="M36" s="2110"/>
      <c r="N36" s="2110"/>
      <c r="O36" s="2117"/>
      <c r="P36" s="3794"/>
      <c r="Q36" s="1549" t="str">
        <f t="shared" si="11"/>
        <v>公共部分装修</v>
      </c>
      <c r="R36" s="1550" t="s">
        <v>11</v>
      </c>
      <c r="S36" s="1551">
        <f t="shared" si="12"/>
        <v>100</v>
      </c>
      <c r="T36" s="1550" t="s">
        <v>11</v>
      </c>
      <c r="U36" s="1551">
        <f t="shared" si="13"/>
        <v>100</v>
      </c>
      <c r="V36" s="1550" t="s">
        <v>11</v>
      </c>
      <c r="W36" s="1551">
        <f t="shared" si="14"/>
        <v>100</v>
      </c>
      <c r="X36" s="1544"/>
      <c r="Y36" s="3794"/>
      <c r="Z36" s="1552" t="str">
        <f t="shared" si="15"/>
        <v>公共部分装修</v>
      </c>
      <c r="AA36" s="1553">
        <f t="shared" si="3"/>
        <v>1</v>
      </c>
      <c r="AB36" s="1553">
        <f t="shared" si="4"/>
        <v>1</v>
      </c>
      <c r="AC36" s="1553">
        <f t="shared" si="5"/>
        <v>1</v>
      </c>
    </row>
    <row r="37" spans="1:29" s="1206"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1"/>
      <c r="M37" s="2112"/>
      <c r="N37" s="2112"/>
      <c r="O37" s="2113"/>
      <c r="P37" s="3794"/>
      <c r="Q37" s="1138" t="str">
        <f t="shared" si="11"/>
        <v>成新度</v>
      </c>
      <c r="R37" s="1545" t="s">
        <v>11</v>
      </c>
      <c r="S37" s="1546" t="e">
        <f t="shared" si="12"/>
        <v>#N/A</v>
      </c>
      <c r="T37" s="1545" t="s">
        <v>11</v>
      </c>
      <c r="U37" s="1546" t="e">
        <f t="shared" si="13"/>
        <v>#N/A</v>
      </c>
      <c r="V37" s="1545" t="s">
        <v>11</v>
      </c>
      <c r="W37" s="1546" t="e">
        <f t="shared" si="14"/>
        <v>#N/A</v>
      </c>
      <c r="X37" s="1547"/>
      <c r="Y37" s="3794"/>
      <c r="Z37" s="1137" t="str">
        <f t="shared" si="15"/>
        <v>成新度</v>
      </c>
      <c r="AA37" s="1548" t="e">
        <f t="shared" si="3"/>
        <v>#N/A</v>
      </c>
      <c r="AB37" s="1548" t="e">
        <f t="shared" si="4"/>
        <v>#N/A</v>
      </c>
      <c r="AC37" s="1548"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18"/>
      <c r="M38" s="2110"/>
      <c r="N38" s="2110"/>
      <c r="O38" s="2117"/>
      <c r="P38" s="3794" t="s">
        <v>549</v>
      </c>
      <c r="Q38" s="1549" t="str">
        <f t="shared" si="11"/>
        <v>物业管理</v>
      </c>
      <c r="R38" s="1550" t="s">
        <v>11</v>
      </c>
      <c r="S38" s="1551">
        <f t="shared" si="12"/>
        <v>100</v>
      </c>
      <c r="T38" s="1550" t="s">
        <v>11</v>
      </c>
      <c r="U38" s="1551">
        <f t="shared" si="13"/>
        <v>100</v>
      </c>
      <c r="V38" s="1550" t="s">
        <v>11</v>
      </c>
      <c r="W38" s="1551">
        <f t="shared" si="14"/>
        <v>100</v>
      </c>
      <c r="X38" s="1544"/>
      <c r="Y38" s="3794" t="s">
        <v>549</v>
      </c>
      <c r="Z38" s="1552" t="str">
        <f t="shared" si="15"/>
        <v>物业管理</v>
      </c>
      <c r="AA38" s="1553">
        <f t="shared" si="3"/>
        <v>1</v>
      </c>
      <c r="AB38" s="1553">
        <f t="shared" si="4"/>
        <v>1</v>
      </c>
      <c r="AC38" s="1553">
        <f t="shared" si="5"/>
        <v>1</v>
      </c>
    </row>
    <row r="39" spans="1:29" ht="15">
      <c r="A39" s="594"/>
      <c r="B39" s="1871" t="s">
        <v>2539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18"/>
      <c r="M39" s="2110"/>
      <c r="N39" s="2110"/>
      <c r="O39" s="2117"/>
      <c r="P39" s="3794"/>
      <c r="Q39" s="1549" t="str">
        <f t="shared" si="11"/>
        <v>市政基础设施</v>
      </c>
      <c r="R39" s="1550" t="s">
        <v>11</v>
      </c>
      <c r="S39" s="1551">
        <f t="shared" si="12"/>
        <v>100</v>
      </c>
      <c r="T39" s="1550" t="s">
        <v>11</v>
      </c>
      <c r="U39" s="1551">
        <f t="shared" si="13"/>
        <v>100</v>
      </c>
      <c r="V39" s="1550" t="s">
        <v>11</v>
      </c>
      <c r="W39" s="1551">
        <f t="shared" si="14"/>
        <v>100</v>
      </c>
      <c r="X39" s="1544"/>
      <c r="Y39" s="3794"/>
      <c r="Z39" s="1552" t="str">
        <f t="shared" si="15"/>
        <v>市政基础设施</v>
      </c>
      <c r="AA39" s="1553">
        <f t="shared" si="3"/>
        <v>1</v>
      </c>
      <c r="AB39" s="1553">
        <f t="shared" si="4"/>
        <v>1</v>
      </c>
      <c r="AC39" s="1553">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18"/>
      <c r="M40" s="2110"/>
      <c r="N40" s="2110"/>
      <c r="O40" s="2117"/>
      <c r="P40" s="3794"/>
      <c r="Q40" s="1549" t="str">
        <f t="shared" si="11"/>
        <v>房型</v>
      </c>
      <c r="R40" s="1550" t="s">
        <v>11</v>
      </c>
      <c r="S40" s="1551">
        <f t="shared" si="12"/>
        <v>100</v>
      </c>
      <c r="T40" s="1550" t="s">
        <v>11</v>
      </c>
      <c r="U40" s="1551">
        <f t="shared" si="13"/>
        <v>100</v>
      </c>
      <c r="V40" s="1550" t="s">
        <v>11</v>
      </c>
      <c r="W40" s="1551">
        <f t="shared" si="14"/>
        <v>100</v>
      </c>
      <c r="X40" s="1544"/>
      <c r="Y40" s="3794"/>
      <c r="Z40" s="1552" t="str">
        <f t="shared" si="15"/>
        <v>房型</v>
      </c>
      <c r="AA40" s="1553">
        <f t="shared" si="3"/>
        <v>1</v>
      </c>
      <c r="AB40" s="1553">
        <f t="shared" si="4"/>
        <v>1</v>
      </c>
      <c r="AC40" s="1553">
        <f t="shared" si="5"/>
        <v>1</v>
      </c>
    </row>
    <row r="41" spans="1:29" s="1325"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16"/>
      <c r="M41" s="2147"/>
      <c r="N41" s="2147"/>
      <c r="O41" s="2119"/>
      <c r="P41" s="3794"/>
      <c r="Q41" s="1581" t="str">
        <f t="shared" si="11"/>
        <v>单套/主力户型建筑面积</v>
      </c>
      <c r="R41" s="1554" t="s">
        <v>11</v>
      </c>
      <c r="S41" s="1555">
        <f t="shared" si="12"/>
        <v>100</v>
      </c>
      <c r="T41" s="1554" t="s">
        <v>11</v>
      </c>
      <c r="U41" s="1555">
        <f t="shared" si="13"/>
        <v>100</v>
      </c>
      <c r="V41" s="1554" t="s">
        <v>11</v>
      </c>
      <c r="W41" s="1555">
        <f t="shared" si="14"/>
        <v>100</v>
      </c>
      <c r="X41" s="1556"/>
      <c r="Y41" s="3794"/>
      <c r="Z41" s="1557" t="str">
        <f t="shared" si="15"/>
        <v>单套/主力户型建筑面积</v>
      </c>
      <c r="AA41" s="1553">
        <f t="shared" si="3"/>
        <v>1</v>
      </c>
      <c r="AB41" s="1553">
        <f t="shared" si="4"/>
        <v>1</v>
      </c>
      <c r="AC41" s="1553">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18"/>
      <c r="M42" s="2110"/>
      <c r="N42" s="2110"/>
      <c r="O42" s="2117"/>
      <c r="P42" s="3794"/>
      <c r="Q42" s="1549" t="str">
        <f t="shared" si="11"/>
        <v>内部装修</v>
      </c>
      <c r="R42" s="1550" t="s">
        <v>11</v>
      </c>
      <c r="S42" s="1551">
        <f t="shared" si="12"/>
        <v>100</v>
      </c>
      <c r="T42" s="1550" t="s">
        <v>11</v>
      </c>
      <c r="U42" s="1551">
        <f t="shared" si="13"/>
        <v>100</v>
      </c>
      <c r="V42" s="1550" t="s">
        <v>11</v>
      </c>
      <c r="W42" s="1551">
        <f t="shared" si="14"/>
        <v>100</v>
      </c>
      <c r="X42" s="1544"/>
      <c r="Y42" s="3794"/>
      <c r="Z42" s="1552" t="str">
        <f t="shared" si="15"/>
        <v>内部装修</v>
      </c>
      <c r="AA42" s="1553">
        <f t="shared" si="3"/>
        <v>1</v>
      </c>
      <c r="AB42" s="1553">
        <f t="shared" si="4"/>
        <v>1</v>
      </c>
      <c r="AC42" s="1553">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18"/>
      <c r="M43" s="2110"/>
      <c r="N43" s="2110"/>
      <c r="O43" s="2117"/>
      <c r="P43" s="3794"/>
      <c r="Q43" s="1549" t="str">
        <f t="shared" si="11"/>
        <v>内部装修维护情况</v>
      </c>
      <c r="R43" s="1550" t="s">
        <v>11</v>
      </c>
      <c r="S43" s="1551">
        <f t="shared" si="12"/>
        <v>100</v>
      </c>
      <c r="T43" s="1550" t="s">
        <v>11</v>
      </c>
      <c r="U43" s="1551">
        <f t="shared" si="13"/>
        <v>100</v>
      </c>
      <c r="V43" s="1550" t="s">
        <v>11</v>
      </c>
      <c r="W43" s="1551">
        <f t="shared" si="14"/>
        <v>100</v>
      </c>
      <c r="X43" s="1544"/>
      <c r="Y43" s="3794"/>
      <c r="Z43" s="1552" t="str">
        <f t="shared" si="15"/>
        <v>内部装修维护情况</v>
      </c>
      <c r="AA43" s="1553">
        <f t="shared" si="3"/>
        <v>1</v>
      </c>
      <c r="AB43" s="1553">
        <f t="shared" si="4"/>
        <v>1</v>
      </c>
      <c r="AC43" s="1553">
        <f t="shared" si="5"/>
        <v>1</v>
      </c>
    </row>
    <row r="44" spans="1:29" s="120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1"/>
      <c r="M44" s="2112"/>
      <c r="N44" s="2112"/>
      <c r="O44" s="2113"/>
      <c r="P44" s="3794"/>
      <c r="Q44" s="1138">
        <f t="shared" si="11"/>
        <v>111</v>
      </c>
      <c r="R44" s="1545" t="s">
        <v>11</v>
      </c>
      <c r="S44" s="1546">
        <f t="shared" si="12"/>
        <v>100</v>
      </c>
      <c r="T44" s="1545" t="s">
        <v>11</v>
      </c>
      <c r="U44" s="1546">
        <f t="shared" si="13"/>
        <v>100</v>
      </c>
      <c r="V44" s="1545" t="s">
        <v>11</v>
      </c>
      <c r="W44" s="1546">
        <f t="shared" si="14"/>
        <v>100</v>
      </c>
      <c r="X44" s="1547"/>
      <c r="Y44" s="3794"/>
      <c r="Z44" s="1137">
        <f t="shared" si="15"/>
        <v>111</v>
      </c>
      <c r="AA44" s="1548">
        <f t="shared" si="3"/>
        <v>1</v>
      </c>
      <c r="AB44" s="1548">
        <f t="shared" si="4"/>
        <v>1</v>
      </c>
      <c r="AC44" s="154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18"/>
      <c r="M45" s="2110"/>
      <c r="N45" s="2110"/>
      <c r="O45" s="2117"/>
      <c r="P45" s="3794"/>
      <c r="Q45" s="1549">
        <f t="shared" si="11"/>
        <v>111</v>
      </c>
      <c r="R45" s="1550" t="s">
        <v>11</v>
      </c>
      <c r="S45" s="1551">
        <f t="shared" si="12"/>
        <v>100</v>
      </c>
      <c r="T45" s="1550" t="s">
        <v>11</v>
      </c>
      <c r="U45" s="1551">
        <f t="shared" si="13"/>
        <v>100</v>
      </c>
      <c r="V45" s="1550" t="s">
        <v>11</v>
      </c>
      <c r="W45" s="1551">
        <f t="shared" si="14"/>
        <v>100</v>
      </c>
      <c r="X45" s="1544"/>
      <c r="Y45" s="3794"/>
      <c r="Z45" s="1552">
        <f t="shared" si="15"/>
        <v>111</v>
      </c>
      <c r="AA45" s="1553">
        <f t="shared" si="3"/>
        <v>1</v>
      </c>
      <c r="AB45" s="1553">
        <f t="shared" si="4"/>
        <v>1</v>
      </c>
      <c r="AC45" s="155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18"/>
      <c r="M46" s="2110"/>
      <c r="N46" s="2110"/>
      <c r="O46" s="2117"/>
      <c r="P46" s="3961"/>
      <c r="Q46" s="1549">
        <f t="shared" si="11"/>
        <v>111</v>
      </c>
      <c r="R46" s="1550" t="s">
        <v>10</v>
      </c>
      <c r="S46" s="1551">
        <f t="shared" si="12"/>
        <v>100</v>
      </c>
      <c r="T46" s="1550" t="s">
        <v>10</v>
      </c>
      <c r="U46" s="1551">
        <f t="shared" si="13"/>
        <v>100</v>
      </c>
      <c r="V46" s="1550" t="s">
        <v>10</v>
      </c>
      <c r="W46" s="1551">
        <f t="shared" si="14"/>
        <v>100</v>
      </c>
      <c r="X46" s="1544"/>
      <c r="Y46" s="3961"/>
      <c r="Z46" s="1552">
        <f t="shared" si="15"/>
        <v>111</v>
      </c>
      <c r="AA46" s="1553">
        <f t="shared" si="3"/>
        <v>1</v>
      </c>
      <c r="AB46" s="1553">
        <f t="shared" si="4"/>
        <v>1</v>
      </c>
      <c r="AC46" s="1553">
        <f t="shared" si="5"/>
        <v>1</v>
      </c>
    </row>
    <row r="47" spans="1:29" ht="15">
      <c r="A47" s="607" t="s">
        <v>735</v>
      </c>
      <c r="B47" s="887"/>
      <c r="C47" s="2566" t="s">
        <v>9</v>
      </c>
      <c r="D47" s="2567"/>
      <c r="E47" s="2568"/>
      <c r="F47" s="2569"/>
      <c r="G47" s="2570"/>
      <c r="H47" s="2571"/>
      <c r="I47" s="2568"/>
      <c r="J47" s="2571"/>
      <c r="K47" s="1582"/>
      <c r="L47" s="2120"/>
      <c r="M47" s="2121"/>
      <c r="N47" s="2110"/>
      <c r="O47" s="2121"/>
      <c r="P47" s="3789" t="str">
        <f>A47</f>
        <v>成交单价（元/平方米）</v>
      </c>
      <c r="Q47" s="3789"/>
      <c r="R47" s="3960">
        <f>E47</f>
        <v>0</v>
      </c>
      <c r="S47" s="3960"/>
      <c r="T47" s="3960">
        <f>G47</f>
        <v>0</v>
      </c>
      <c r="U47" s="3960"/>
      <c r="V47" s="3960">
        <f>I47</f>
        <v>0</v>
      </c>
      <c r="W47" s="3960"/>
      <c r="X47" s="1536"/>
      <c r="Y47" s="1558"/>
      <c r="Z47" s="1536"/>
      <c r="AA47" s="1536"/>
      <c r="AB47" s="1536"/>
      <c r="AC47" s="1536"/>
    </row>
    <row r="48" spans="1:29" ht="15.75" thickBot="1">
      <c r="A48" s="615" t="s">
        <v>2734</v>
      </c>
      <c r="B48" s="888"/>
      <c r="C48" s="2572" t="e">
        <f>R49</f>
        <v>#DIV/0!</v>
      </c>
      <c r="D48" s="2573"/>
      <c r="E48" s="2574" t="e">
        <f>R48</f>
        <v>#DIV/0!</v>
      </c>
      <c r="F48" s="2574"/>
      <c r="G48" s="2572" t="e">
        <f>T48</f>
        <v>#DIV/0!</v>
      </c>
      <c r="H48" s="2573"/>
      <c r="I48" s="2574" t="e">
        <f>V48</f>
        <v>#DIV/0!</v>
      </c>
      <c r="J48" s="2573"/>
      <c r="K48" s="1583"/>
      <c r="L48" s="2120"/>
      <c r="M48" s="2121"/>
      <c r="N48" s="2121"/>
      <c r="O48" s="2121"/>
      <c r="P48" s="3789" t="str">
        <f>A48</f>
        <v>比较价格（元/平方米）</v>
      </c>
      <c r="Q48" s="3789"/>
      <c r="R48" s="3960" t="e">
        <f>IF(F1="售价",ROUND(PRODUCT(R47,AA7:AA46),0),ROUND(PRODUCT(R47,AA7:AA46),1))</f>
        <v>#DIV/0!</v>
      </c>
      <c r="S48" s="3960"/>
      <c r="T48" s="3960" t="e">
        <f>IF(F1="售价",ROUND(PRODUCT(T47,AB7:AB46),0),ROUND(PRODUCT(T47,AB7:AB46),1))</f>
        <v>#DIV/0!</v>
      </c>
      <c r="U48" s="3960"/>
      <c r="V48" s="3960" t="e">
        <f>IF(F1="售价",ROUND(PRODUCT(V47,AC7:AC46),0),ROUND(PRODUCT(V47,AC7:AC46),1))</f>
        <v>#DIV/0!</v>
      </c>
      <c r="W48" s="3960"/>
      <c r="X48" s="1536"/>
      <c r="Y48" s="1536"/>
      <c r="Z48" s="1536"/>
      <c r="AA48" s="1536"/>
      <c r="AB48" s="1536"/>
      <c r="AC48" s="1536"/>
    </row>
    <row r="49" spans="1:29" ht="15.75" thickBot="1">
      <c r="A49" s="621" t="s">
        <v>2911</v>
      </c>
      <c r="B49" s="622"/>
      <c r="C49" s="2575" t="e">
        <f>R49</f>
        <v>#DIV/0!</v>
      </c>
      <c r="D49" s="2575"/>
      <c r="E49" s="2575"/>
      <c r="F49" s="2575"/>
      <c r="G49" s="2575"/>
      <c r="H49" s="2575"/>
      <c r="I49" s="2575"/>
      <c r="J49" s="2575"/>
      <c r="K49" s="1584"/>
      <c r="L49" s="2120"/>
      <c r="M49" s="2121"/>
      <c r="N49" s="2121"/>
      <c r="O49" s="2121"/>
      <c r="P49" s="3810" t="str">
        <f>A49</f>
        <v>估价对象XX用房的比较价格（楼面单价，元/平方米）</v>
      </c>
      <c r="Q49" s="3811"/>
      <c r="R49" s="3959" t="e">
        <f>IF(F1="售价",ROUND(AVERAGE(R48:V48),0),ROUND(AVERAGE(R48:V48),1))</f>
        <v>#DIV/0!</v>
      </c>
      <c r="S49" s="3959"/>
      <c r="T49" s="3959"/>
      <c r="U49" s="3959"/>
      <c r="V49" s="3959"/>
      <c r="W49" s="3959"/>
      <c r="X49" s="1536"/>
      <c r="Y49" s="1536"/>
      <c r="Z49" s="1536"/>
      <c r="AA49" s="1536"/>
      <c r="AB49" s="1536"/>
      <c r="AC49" s="1536"/>
    </row>
    <row r="50" spans="1:29">
      <c r="A50" s="2121"/>
      <c r="B50" s="2121"/>
      <c r="C50" s="2121"/>
      <c r="D50" s="2121"/>
      <c r="E50" s="2121"/>
      <c r="F50" s="2121"/>
      <c r="G50" s="2124"/>
      <c r="H50" s="2121"/>
      <c r="I50" s="2121"/>
      <c r="J50" s="2121"/>
      <c r="K50" s="2125"/>
      <c r="L50" s="2126"/>
      <c r="M50" s="2121"/>
      <c r="N50" s="2121"/>
      <c r="O50" s="2121"/>
      <c r="P50" s="2121"/>
      <c r="Q50" s="2121"/>
      <c r="R50" s="2121"/>
      <c r="S50" s="2121"/>
      <c r="T50" s="2121"/>
      <c r="U50" s="2121"/>
      <c r="V50" s="2121"/>
      <c r="W50" s="2121"/>
      <c r="X50" s="2121"/>
      <c r="Y50" s="2121"/>
      <c r="Z50" s="2121"/>
      <c r="AA50" s="2121"/>
      <c r="AB50" s="2121"/>
      <c r="AC50" s="2121"/>
    </row>
    <row r="51" spans="1:29">
      <c r="A51" s="2121"/>
      <c r="B51" s="2121"/>
      <c r="C51" s="2121"/>
      <c r="D51" s="2121"/>
      <c r="E51" s="2121"/>
      <c r="F51" s="2121"/>
      <c r="G51" s="2121"/>
      <c r="H51" s="2121"/>
      <c r="I51" s="2121"/>
      <c r="J51" s="2121"/>
      <c r="K51" s="2125"/>
      <c r="L51" s="2126"/>
      <c r="M51" s="2121"/>
      <c r="N51" s="2121"/>
      <c r="O51" s="2121"/>
      <c r="P51" s="2121"/>
      <c r="Q51" s="2121"/>
      <c r="R51" s="2121"/>
      <c r="S51" s="2121"/>
      <c r="T51" s="2121"/>
      <c r="U51" s="2121"/>
      <c r="V51" s="2121"/>
      <c r="W51" s="2121"/>
      <c r="X51" s="2121"/>
      <c r="Y51" s="2121"/>
      <c r="Z51" s="2121"/>
      <c r="AA51" s="2121"/>
      <c r="AB51" s="2121"/>
      <c r="AC51" s="2121"/>
    </row>
    <row r="52" spans="1:29" ht="13.5" customHeight="1">
      <c r="A52" s="2121"/>
      <c r="B52" s="2121"/>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25"/>
      <c r="L52" s="2126"/>
      <c r="M52" s="2121"/>
      <c r="N52" s="2121"/>
      <c r="O52" s="2121"/>
      <c r="P52" s="2121"/>
      <c r="Q52" s="2121"/>
      <c r="R52" s="2121"/>
      <c r="S52" s="2121"/>
      <c r="T52" s="2121"/>
      <c r="U52" s="2121"/>
      <c r="V52" s="2121"/>
      <c r="W52" s="2121"/>
      <c r="X52" s="2121"/>
      <c r="Y52" s="2121"/>
      <c r="Z52" s="2121"/>
      <c r="AA52" s="2121"/>
      <c r="AB52" s="2121"/>
      <c r="AC52" s="2121"/>
    </row>
    <row r="53" spans="1:29" ht="13.5" customHeight="1">
      <c r="A53" s="2121"/>
      <c r="B53" s="2121"/>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25"/>
      <c r="L53" s="2126"/>
      <c r="M53" s="2121"/>
      <c r="N53" s="2121"/>
      <c r="O53" s="2121"/>
      <c r="P53" s="2121"/>
      <c r="Q53" s="2121"/>
      <c r="R53" s="2121"/>
      <c r="S53" s="2121"/>
      <c r="T53" s="2121"/>
      <c r="U53" s="2121"/>
      <c r="V53" s="2121"/>
      <c r="W53" s="2121"/>
      <c r="X53" s="2121"/>
      <c r="Y53" s="2121"/>
      <c r="Z53" s="2121"/>
      <c r="AA53" s="2121"/>
      <c r="AB53" s="2121"/>
      <c r="AC53" s="2121"/>
    </row>
    <row r="54" spans="1:29" s="1331" customFormat="1" ht="13.5" customHeight="1">
      <c r="A54" s="2122"/>
      <c r="B54" s="2122"/>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28"/>
      <c r="L54" s="2129"/>
      <c r="M54" s="2122"/>
      <c r="N54" s="2122"/>
      <c r="O54" s="2122"/>
      <c r="P54" s="2122"/>
      <c r="Q54" s="2122"/>
      <c r="R54" s="2122"/>
      <c r="S54" s="2122"/>
      <c r="T54" s="2122"/>
      <c r="U54" s="2122"/>
      <c r="V54" s="2122"/>
      <c r="W54" s="2122"/>
      <c r="X54" s="2122"/>
      <c r="Y54" s="2122"/>
      <c r="Z54" s="2122"/>
      <c r="AA54" s="2122"/>
      <c r="AB54" s="2122"/>
      <c r="AC54" s="2122"/>
    </row>
    <row r="55" spans="1:29" s="1331" customFormat="1">
      <c r="A55" s="2122"/>
      <c r="B55" s="2123"/>
      <c r="C55" s="2127"/>
      <c r="D55" s="2122"/>
      <c r="E55" s="2122"/>
      <c r="F55" s="2122"/>
      <c r="G55" s="2122"/>
      <c r="H55" s="2122"/>
      <c r="I55" s="2122"/>
      <c r="J55" s="2122"/>
      <c r="K55" s="2128"/>
      <c r="L55" s="2129"/>
      <c r="M55" s="2122"/>
      <c r="N55" s="2122"/>
      <c r="O55" s="2122"/>
      <c r="P55" s="2122"/>
      <c r="Q55" s="2122"/>
      <c r="R55" s="2122"/>
      <c r="S55" s="2122"/>
      <c r="T55" s="2122"/>
      <c r="U55" s="2122"/>
      <c r="V55" s="2122"/>
      <c r="W55" s="2122"/>
      <c r="X55" s="2122"/>
      <c r="Y55" s="2122"/>
      <c r="Z55" s="2122"/>
      <c r="AA55" s="2122"/>
      <c r="AB55" s="2122"/>
      <c r="AC55" s="2122"/>
    </row>
    <row r="56" spans="1:29">
      <c r="A56" s="2121"/>
      <c r="B56" s="2123"/>
      <c r="C56" s="2127"/>
      <c r="D56" s="2123"/>
      <c r="E56" s="2123"/>
      <c r="F56" s="2123"/>
      <c r="G56" s="2123"/>
      <c r="H56" s="2123"/>
      <c r="I56" s="2123"/>
      <c r="J56" s="2123"/>
      <c r="K56" s="2123"/>
      <c r="L56" s="2123"/>
      <c r="M56" s="2123"/>
      <c r="N56" s="2123"/>
      <c r="O56" s="2123"/>
      <c r="P56" s="2121"/>
      <c r="Q56" s="2121"/>
      <c r="R56" s="2121"/>
      <c r="S56" s="2121"/>
      <c r="T56" s="2121"/>
      <c r="U56" s="2121"/>
      <c r="V56" s="2121"/>
      <c r="W56" s="2121"/>
      <c r="X56" s="2121"/>
      <c r="Y56" s="2121"/>
      <c r="Z56" s="2121"/>
      <c r="AA56" s="2121"/>
      <c r="AB56" s="2121"/>
      <c r="AC56" s="2121"/>
    </row>
    <row r="57" spans="1:29" ht="21.75" thickBot="1">
      <c r="A57" s="1561" t="s">
        <v>573</v>
      </c>
      <c r="B57" s="1536"/>
      <c r="C57" s="1560"/>
      <c r="D57" s="1560"/>
      <c r="E57" s="1560"/>
      <c r="F57" s="1562"/>
      <c r="G57" s="1562"/>
      <c r="H57" s="1560"/>
      <c r="I57" s="1560"/>
      <c r="J57" s="1560"/>
      <c r="K57" s="1563"/>
      <c r="L57" s="1559"/>
      <c r="M57" s="1560"/>
      <c r="N57" s="1560"/>
      <c r="O57" s="1560"/>
      <c r="P57" s="2133"/>
      <c r="Q57" s="2134"/>
      <c r="R57" s="2121"/>
      <c r="S57" s="2121"/>
      <c r="T57" s="2121"/>
      <c r="U57" s="2121"/>
      <c r="V57" s="2121"/>
      <c r="W57" s="2121"/>
      <c r="X57" s="2121"/>
      <c r="Y57" s="2121"/>
      <c r="Z57" s="2121"/>
      <c r="AA57" s="2121"/>
      <c r="AB57" s="2121"/>
      <c r="AC57" s="2121"/>
    </row>
    <row r="58" spans="1:29" s="1333" customFormat="1" ht="15">
      <c r="A58" s="645" t="s">
        <v>528</v>
      </c>
      <c r="B58" s="646"/>
      <c r="C58" s="2734" t="str">
        <f>YEAR(C7)&amp;"-"&amp;MONTH(C7)</f>
        <v>2020-4</v>
      </c>
      <c r="D58" s="2734">
        <f>EDATE(C58,-1)</f>
        <v>43891</v>
      </c>
      <c r="E58" s="2734">
        <f t="shared" ref="E58:O58" si="16">EDATE(D58,-1)</f>
        <v>43862</v>
      </c>
      <c r="F58" s="2734">
        <f t="shared" si="16"/>
        <v>43831</v>
      </c>
      <c r="G58" s="2734">
        <f t="shared" si="16"/>
        <v>43800</v>
      </c>
      <c r="H58" s="2734">
        <f t="shared" si="16"/>
        <v>43770</v>
      </c>
      <c r="I58" s="2734">
        <f t="shared" si="16"/>
        <v>43739</v>
      </c>
      <c r="J58" s="2734">
        <f t="shared" si="16"/>
        <v>43709</v>
      </c>
      <c r="K58" s="2734">
        <f t="shared" si="16"/>
        <v>43678</v>
      </c>
      <c r="L58" s="2734">
        <f t="shared" si="16"/>
        <v>43647</v>
      </c>
      <c r="M58" s="2734">
        <f t="shared" si="16"/>
        <v>43617</v>
      </c>
      <c r="N58" s="2734">
        <f t="shared" si="16"/>
        <v>43586</v>
      </c>
      <c r="O58" s="2734">
        <f t="shared" si="16"/>
        <v>43556</v>
      </c>
      <c r="P58" s="2136"/>
      <c r="Q58" s="2137"/>
      <c r="R58" s="2137"/>
      <c r="S58" s="2137"/>
      <c r="T58" s="2137"/>
      <c r="U58" s="2137"/>
      <c r="V58" s="2137"/>
      <c r="W58" s="2137"/>
      <c r="X58" s="2137"/>
      <c r="Y58" s="2137"/>
      <c r="Z58" s="2137"/>
      <c r="AA58" s="2137"/>
      <c r="AB58" s="2137"/>
      <c r="AC58" s="2137"/>
    </row>
    <row r="59" spans="1:29" s="1206" customFormat="1" ht="15">
      <c r="A59" s="647"/>
      <c r="B59" s="648"/>
      <c r="C59" s="649">
        <v>100</v>
      </c>
      <c r="D59" s="650"/>
      <c r="E59" s="650"/>
      <c r="F59" s="650"/>
      <c r="G59" s="650"/>
      <c r="H59" s="650"/>
      <c r="I59" s="650"/>
      <c r="J59" s="650"/>
      <c r="K59" s="650"/>
      <c r="L59" s="650"/>
      <c r="M59" s="650"/>
      <c r="N59" s="650"/>
      <c r="O59" s="650"/>
      <c r="P59" s="2134"/>
      <c r="Q59" s="1969"/>
      <c r="R59" s="1969"/>
      <c r="S59" s="1969"/>
      <c r="T59" s="1969"/>
      <c r="U59" s="1969"/>
      <c r="V59" s="1969"/>
      <c r="W59" s="1969"/>
      <c r="X59" s="1969"/>
      <c r="Y59" s="1969"/>
      <c r="Z59" s="1969"/>
      <c r="AA59" s="1969"/>
      <c r="AB59" s="1969"/>
      <c r="AC59" s="1969"/>
    </row>
    <row r="60" spans="1:29" s="1206" customFormat="1" ht="15.75" thickBot="1">
      <c r="A60" s="653" t="s">
        <v>574</v>
      </c>
      <c r="B60" s="654"/>
      <c r="C60" s="655"/>
      <c r="D60" s="656"/>
      <c r="E60" s="656"/>
      <c r="F60" s="656"/>
      <c r="G60" s="656"/>
      <c r="H60" s="656"/>
      <c r="I60" s="656"/>
      <c r="J60" s="656"/>
      <c r="K60" s="656"/>
      <c r="L60" s="656"/>
      <c r="M60" s="657"/>
      <c r="N60" s="656"/>
      <c r="O60" s="658"/>
      <c r="P60" s="2134"/>
      <c r="Q60" s="2134"/>
      <c r="R60" s="1969"/>
      <c r="S60" s="1969"/>
      <c r="T60" s="1969"/>
      <c r="U60" s="1969"/>
      <c r="V60" s="1969"/>
      <c r="W60" s="1969"/>
      <c r="X60" s="1969"/>
      <c r="Y60" s="1969"/>
      <c r="Z60" s="1969"/>
      <c r="AA60" s="1969"/>
      <c r="AB60" s="1969"/>
      <c r="AC60" s="1969"/>
    </row>
    <row r="61" spans="1:29" s="1206" customFormat="1" ht="15">
      <c r="A61" s="659" t="s">
        <v>530</v>
      </c>
      <c r="B61" s="648"/>
      <c r="C61" s="660" t="s">
        <v>575</v>
      </c>
      <c r="D61" s="661"/>
      <c r="E61" s="661"/>
      <c r="F61" s="661"/>
      <c r="G61" s="661"/>
      <c r="H61" s="661"/>
      <c r="I61" s="661"/>
      <c r="J61" s="661"/>
      <c r="K61" s="661"/>
      <c r="L61" s="662"/>
      <c r="M61" s="663"/>
      <c r="N61" s="2138"/>
      <c r="O61" s="2138"/>
      <c r="P61" s="2139"/>
      <c r="Q61" s="2134"/>
      <c r="R61" s="1969"/>
      <c r="S61" s="1969"/>
      <c r="T61" s="1969"/>
      <c r="U61" s="1969"/>
      <c r="V61" s="1969"/>
      <c r="W61" s="1969"/>
      <c r="X61" s="1969"/>
      <c r="Y61" s="1969"/>
      <c r="Z61" s="1969"/>
      <c r="AA61" s="1969"/>
      <c r="AB61" s="1969"/>
      <c r="AC61" s="1969"/>
    </row>
    <row r="62" spans="1:29" s="1206" customFormat="1" ht="15.75" thickBot="1">
      <c r="A62" s="659"/>
      <c r="B62" s="648"/>
      <c r="C62" s="889">
        <v>100</v>
      </c>
      <c r="D62" s="650"/>
      <c r="E62" s="650"/>
      <c r="F62" s="650"/>
      <c r="G62" s="650"/>
      <c r="H62" s="650"/>
      <c r="I62" s="650"/>
      <c r="J62" s="650"/>
      <c r="K62" s="650"/>
      <c r="L62" s="650"/>
      <c r="M62" s="652"/>
      <c r="N62" s="2138"/>
      <c r="O62" s="2138"/>
      <c r="P62" s="2134"/>
      <c r="Q62" s="2134"/>
      <c r="R62" s="1969"/>
      <c r="S62" s="1969"/>
      <c r="T62" s="1969"/>
      <c r="U62" s="1969"/>
      <c r="V62" s="1969"/>
      <c r="W62" s="1969"/>
      <c r="X62" s="1969"/>
      <c r="Y62" s="1969"/>
      <c r="Z62" s="1969"/>
      <c r="AA62" s="1969"/>
      <c r="AB62" s="1969"/>
      <c r="AC62" s="1969"/>
    </row>
    <row r="63" spans="1:29">
      <c r="A63" s="664" t="s">
        <v>576</v>
      </c>
      <c r="B63" s="665" t="s">
        <v>533</v>
      </c>
      <c r="C63" s="704">
        <f>C9</f>
        <v>0</v>
      </c>
      <c r="D63" s="598"/>
      <c r="E63" s="598"/>
      <c r="F63" s="598"/>
      <c r="G63" s="598"/>
      <c r="H63" s="598"/>
      <c r="I63" s="598"/>
      <c r="J63" s="598"/>
      <c r="K63" s="666"/>
      <c r="L63" s="667"/>
      <c r="M63" s="668"/>
      <c r="N63" s="2140"/>
      <c r="O63" s="2140"/>
      <c r="P63" s="2141"/>
      <c r="Q63" s="2134"/>
      <c r="R63" s="2121"/>
      <c r="S63" s="2121"/>
      <c r="T63" s="2121"/>
      <c r="U63" s="2121"/>
      <c r="V63" s="2121"/>
      <c r="W63" s="2121"/>
      <c r="X63" s="2121"/>
      <c r="Y63" s="2121"/>
      <c r="Z63" s="2121"/>
      <c r="AA63" s="2121"/>
      <c r="AB63" s="2121"/>
      <c r="AC63" s="2121"/>
    </row>
    <row r="64" spans="1:29" ht="15.75" thickBot="1">
      <c r="A64" s="669"/>
      <c r="B64" s="670"/>
      <c r="C64" s="671"/>
      <c r="D64" s="671"/>
      <c r="E64" s="1585"/>
      <c r="F64" s="1585"/>
      <c r="G64" s="1585"/>
      <c r="H64" s="1585"/>
      <c r="I64" s="1585"/>
      <c r="J64" s="1585"/>
      <c r="K64" s="1585"/>
      <c r="L64" s="1585"/>
      <c r="M64" s="1586"/>
      <c r="N64" s="2142"/>
      <c r="O64" s="2142"/>
      <c r="P64" s="2141"/>
      <c r="Q64" s="2134"/>
      <c r="R64" s="2121"/>
      <c r="S64" s="2121"/>
      <c r="T64" s="2121"/>
      <c r="U64" s="2121"/>
      <c r="V64" s="2121"/>
      <c r="W64" s="2121"/>
      <c r="X64" s="2121"/>
      <c r="Y64" s="2121"/>
      <c r="Z64" s="2121"/>
      <c r="AA64" s="2121"/>
      <c r="AB64" s="2121"/>
      <c r="AC64" s="2121"/>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0"/>
      <c r="O65" s="2140"/>
      <c r="P65" s="2141"/>
      <c r="Q65" s="2134"/>
      <c r="R65" s="2121"/>
      <c r="S65" s="2121"/>
      <c r="T65" s="2121"/>
      <c r="U65" s="2121"/>
      <c r="V65" s="2121"/>
      <c r="W65" s="2121"/>
      <c r="X65" s="2121"/>
      <c r="Y65" s="2121"/>
      <c r="Z65" s="2121"/>
      <c r="AA65" s="2121"/>
      <c r="AB65" s="2121"/>
      <c r="AC65" s="212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42"/>
      <c r="O66" s="2142"/>
      <c r="P66" s="2141"/>
      <c r="Q66" s="2134"/>
      <c r="R66" s="2121"/>
      <c r="S66" s="2121"/>
      <c r="T66" s="2121"/>
      <c r="U66" s="2121"/>
      <c r="V66" s="2121"/>
      <c r="W66" s="2121"/>
      <c r="X66" s="2121"/>
      <c r="Y66" s="2121"/>
      <c r="Z66" s="2121"/>
      <c r="AA66" s="2121"/>
      <c r="AB66" s="2121"/>
      <c r="AC66" s="2121"/>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42"/>
      <c r="O67" s="2142"/>
      <c r="P67" s="2141"/>
      <c r="Q67" s="2134"/>
      <c r="R67" s="2121"/>
      <c r="S67" s="2121"/>
      <c r="T67" s="2121"/>
      <c r="U67" s="2121"/>
      <c r="V67" s="2121"/>
      <c r="W67" s="2121"/>
      <c r="X67" s="2121"/>
      <c r="Y67" s="2121"/>
      <c r="Z67" s="2121"/>
      <c r="AA67" s="2121"/>
      <c r="AB67" s="2121"/>
      <c r="AC67" s="2121"/>
    </row>
    <row r="68" spans="1:29" ht="15">
      <c r="A68" s="669"/>
      <c r="B68" s="683"/>
      <c r="C68" s="541"/>
      <c r="D68" s="541"/>
      <c r="E68" s="541"/>
      <c r="F68" s="541"/>
      <c r="G68" s="541"/>
      <c r="H68" s="541"/>
      <c r="I68" s="541"/>
      <c r="J68" s="541"/>
      <c r="K68" s="684"/>
      <c r="L68" s="685"/>
      <c r="M68" s="686"/>
      <c r="N68" s="2140"/>
      <c r="O68" s="2140"/>
      <c r="P68" s="2141"/>
      <c r="Q68" s="2134"/>
      <c r="R68" s="2121"/>
      <c r="S68" s="2121"/>
      <c r="T68" s="2121"/>
      <c r="U68" s="2121"/>
      <c r="V68" s="2121"/>
      <c r="W68" s="2121"/>
      <c r="X68" s="2121"/>
      <c r="Y68" s="2121"/>
      <c r="Z68" s="2121"/>
      <c r="AA68" s="2121"/>
      <c r="AB68" s="2121"/>
      <c r="AC68" s="212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42"/>
      <c r="O69" s="2142"/>
      <c r="P69" s="2141"/>
      <c r="Q69" s="2134"/>
      <c r="R69" s="2121"/>
      <c r="S69" s="2121"/>
      <c r="T69" s="2121"/>
      <c r="U69" s="2121"/>
      <c r="V69" s="2121"/>
      <c r="W69" s="2121"/>
      <c r="X69" s="2121"/>
      <c r="Y69" s="2121"/>
      <c r="Z69" s="2121"/>
      <c r="AA69" s="2121"/>
      <c r="AB69" s="2121"/>
      <c r="AC69" s="2121"/>
    </row>
    <row r="70" spans="1:29" s="1325" customFormat="1" ht="15.75" thickTop="1">
      <c r="A70" s="687"/>
      <c r="B70" s="673">
        <f>B12</f>
        <v>111</v>
      </c>
      <c r="C70" s="688"/>
      <c r="D70" s="688"/>
      <c r="E70" s="688"/>
      <c r="F70" s="688"/>
      <c r="G70" s="688"/>
      <c r="H70" s="689"/>
      <c r="I70" s="689"/>
      <c r="J70" s="689"/>
      <c r="K70" s="689"/>
      <c r="L70" s="690"/>
      <c r="M70" s="691"/>
      <c r="N70" s="2143"/>
      <c r="O70" s="2143"/>
      <c r="P70" s="2144"/>
      <c r="Q70" s="2145"/>
      <c r="R70" s="2146"/>
      <c r="S70" s="2146"/>
      <c r="T70" s="2146"/>
      <c r="U70" s="2146"/>
      <c r="V70" s="2146"/>
      <c r="W70" s="2146"/>
      <c r="X70" s="2146"/>
      <c r="Y70" s="2146"/>
      <c r="Z70" s="2146"/>
      <c r="AA70" s="2146"/>
      <c r="AB70" s="2146"/>
      <c r="AC70" s="2146"/>
    </row>
    <row r="71" spans="1:29" s="1325" customFormat="1" ht="15.75" thickBot="1">
      <c r="A71" s="687"/>
      <c r="B71" s="678"/>
      <c r="C71" s="692"/>
      <c r="D71" s="671"/>
      <c r="E71" s="671"/>
      <c r="F71" s="671"/>
      <c r="G71" s="671"/>
      <c r="H71" s="671"/>
      <c r="I71" s="671"/>
      <c r="J71" s="671"/>
      <c r="K71" s="671"/>
      <c r="L71" s="671"/>
      <c r="M71" s="672"/>
      <c r="N71" s="2142"/>
      <c r="O71" s="2142"/>
      <c r="P71" s="2144"/>
      <c r="Q71" s="2145"/>
      <c r="R71" s="2146"/>
      <c r="S71" s="2146"/>
      <c r="T71" s="2146"/>
      <c r="U71" s="2146"/>
      <c r="V71" s="2146"/>
      <c r="W71" s="2146"/>
      <c r="X71" s="2146"/>
      <c r="Y71" s="2146"/>
      <c r="Z71" s="2146"/>
      <c r="AA71" s="2146"/>
      <c r="AB71" s="2146"/>
      <c r="AC71" s="2146"/>
    </row>
    <row r="72" spans="1:29" s="1325" customFormat="1" ht="15.75" thickTop="1">
      <c r="A72" s="687"/>
      <c r="B72" s="673">
        <f>B13</f>
        <v>111</v>
      </c>
      <c r="C72" s="688"/>
      <c r="D72" s="688"/>
      <c r="E72" s="688"/>
      <c r="F72" s="688"/>
      <c r="G72" s="688"/>
      <c r="H72" s="689"/>
      <c r="I72" s="689"/>
      <c r="J72" s="689"/>
      <c r="K72" s="689"/>
      <c r="L72" s="690"/>
      <c r="M72" s="691"/>
      <c r="N72" s="2143"/>
      <c r="O72" s="2143"/>
      <c r="P72" s="2147"/>
      <c r="Q72" s="2148"/>
      <c r="R72" s="2146"/>
      <c r="S72" s="2146"/>
      <c r="T72" s="2146"/>
      <c r="U72" s="2146"/>
      <c r="V72" s="2146"/>
      <c r="W72" s="2146"/>
      <c r="X72" s="2146"/>
      <c r="Y72" s="2146"/>
      <c r="Z72" s="2146"/>
      <c r="AA72" s="2146"/>
      <c r="AB72" s="2146"/>
      <c r="AC72" s="2146"/>
    </row>
    <row r="73" spans="1:29" s="1325" customFormat="1" ht="15.75" thickBot="1">
      <c r="A73" s="687"/>
      <c r="B73" s="678"/>
      <c r="C73" s="692"/>
      <c r="D73" s="692"/>
      <c r="E73" s="692"/>
      <c r="F73" s="692"/>
      <c r="G73" s="692"/>
      <c r="H73" s="693"/>
      <c r="I73" s="693"/>
      <c r="J73" s="693"/>
      <c r="K73" s="693"/>
      <c r="L73" s="693"/>
      <c r="M73" s="694"/>
      <c r="N73" s="2143"/>
      <c r="O73" s="2143"/>
      <c r="P73" s="2144"/>
      <c r="Q73" s="2145"/>
      <c r="R73" s="2146"/>
      <c r="S73" s="2146"/>
      <c r="T73" s="2146"/>
      <c r="U73" s="2146"/>
      <c r="V73" s="2146"/>
      <c r="W73" s="2146"/>
      <c r="X73" s="2146"/>
      <c r="Y73" s="2146"/>
      <c r="Z73" s="2146"/>
      <c r="AA73" s="2146"/>
      <c r="AB73" s="2146"/>
      <c r="AC73" s="2146"/>
    </row>
    <row r="74" spans="1:29" s="1325" customFormat="1" ht="15.75" thickTop="1">
      <c r="A74" s="687"/>
      <c r="B74" s="681">
        <f>B14</f>
        <v>111</v>
      </c>
      <c r="C74" s="688"/>
      <c r="D74" s="688"/>
      <c r="E74" s="688"/>
      <c r="F74" s="688"/>
      <c r="G74" s="661"/>
      <c r="H74" s="695"/>
      <c r="I74" s="695"/>
      <c r="J74" s="695"/>
      <c r="K74" s="695"/>
      <c r="L74" s="696"/>
      <c r="M74" s="697"/>
      <c r="N74" s="2143"/>
      <c r="O74" s="2143"/>
      <c r="P74" s="2149"/>
      <c r="Q74" s="2145"/>
      <c r="R74" s="2146"/>
      <c r="S74" s="2146"/>
      <c r="T74" s="2146"/>
      <c r="U74" s="2146"/>
      <c r="V74" s="2146"/>
      <c r="W74" s="2146"/>
      <c r="X74" s="2146"/>
      <c r="Y74" s="2146"/>
      <c r="Z74" s="2146"/>
      <c r="AA74" s="2146"/>
      <c r="AB74" s="2146"/>
      <c r="AC74" s="2146"/>
    </row>
    <row r="75" spans="1:29" s="1325" customFormat="1" ht="15.75" thickBot="1">
      <c r="A75" s="698"/>
      <c r="B75" s="699"/>
      <c r="C75" s="700"/>
      <c r="D75" s="700"/>
      <c r="E75" s="700"/>
      <c r="F75" s="700"/>
      <c r="G75" s="700"/>
      <c r="H75" s="701"/>
      <c r="I75" s="701"/>
      <c r="J75" s="701"/>
      <c r="K75" s="701"/>
      <c r="L75" s="701"/>
      <c r="M75" s="702"/>
      <c r="N75" s="2143"/>
      <c r="O75" s="2143"/>
      <c r="P75" s="2144"/>
      <c r="Q75" s="2145"/>
      <c r="R75" s="2146"/>
      <c r="S75" s="2146"/>
      <c r="T75" s="2146"/>
      <c r="U75" s="2146"/>
      <c r="V75" s="2146"/>
      <c r="W75" s="2146"/>
      <c r="X75" s="2146"/>
      <c r="Y75" s="2146"/>
      <c r="Z75" s="2146"/>
      <c r="AA75" s="2146"/>
      <c r="AB75" s="2146"/>
      <c r="AC75" s="2146"/>
    </row>
    <row r="76" spans="1:29">
      <c r="A76" s="664" t="s">
        <v>538</v>
      </c>
      <c r="B76" s="665" t="s">
        <v>577</v>
      </c>
      <c r="C76" s="703" t="s">
        <v>578</v>
      </c>
      <c r="D76" s="703" t="s">
        <v>579</v>
      </c>
      <c r="E76" s="703" t="s">
        <v>580</v>
      </c>
      <c r="F76" s="703" t="s">
        <v>581</v>
      </c>
      <c r="G76" s="703" t="s">
        <v>582</v>
      </c>
      <c r="H76" s="704"/>
      <c r="I76" s="704"/>
      <c r="J76" s="704"/>
      <c r="K76" s="705"/>
      <c r="L76" s="706"/>
      <c r="M76" s="707"/>
      <c r="N76" s="2140"/>
      <c r="O76" s="2140"/>
      <c r="P76" s="2150"/>
      <c r="Q76" s="2134"/>
      <c r="R76" s="2121"/>
      <c r="S76" s="2121"/>
      <c r="T76" s="2121"/>
      <c r="U76" s="2121"/>
      <c r="V76" s="2121"/>
      <c r="W76" s="2121"/>
      <c r="X76" s="2121"/>
      <c r="Y76" s="2121"/>
      <c r="Z76" s="2121"/>
      <c r="AA76" s="2121"/>
      <c r="AB76" s="2121"/>
      <c r="AC76" s="212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2"/>
      <c r="O77" s="2142"/>
      <c r="P77" s="2141"/>
      <c r="Q77" s="2134"/>
      <c r="R77" s="2121"/>
      <c r="S77" s="2121"/>
      <c r="T77" s="2121"/>
      <c r="U77" s="2121"/>
      <c r="V77" s="2121"/>
      <c r="W77" s="2121"/>
      <c r="X77" s="2121"/>
      <c r="Y77" s="2121"/>
      <c r="Z77" s="2121"/>
      <c r="AA77" s="2121"/>
      <c r="AB77" s="2121"/>
      <c r="AC77" s="2121"/>
    </row>
    <row r="78" spans="1:29" ht="15.75" thickTop="1">
      <c r="A78" s="669"/>
      <c r="B78" s="673" t="s">
        <v>585</v>
      </c>
      <c r="C78" s="708" t="s">
        <v>578</v>
      </c>
      <c r="D78" s="708" t="s">
        <v>579</v>
      </c>
      <c r="E78" s="708" t="s">
        <v>580</v>
      </c>
      <c r="F78" s="708" t="s">
        <v>581</v>
      </c>
      <c r="G78" s="708" t="s">
        <v>582</v>
      </c>
      <c r="H78" s="674"/>
      <c r="I78" s="674"/>
      <c r="J78" s="674"/>
      <c r="K78" s="675"/>
      <c r="L78" s="676"/>
      <c r="M78" s="677"/>
      <c r="N78" s="2140"/>
      <c r="O78" s="2140"/>
      <c r="P78" s="2141"/>
      <c r="Q78" s="2134"/>
      <c r="R78" s="2121"/>
      <c r="S78" s="2121"/>
      <c r="T78" s="2121"/>
      <c r="U78" s="2121"/>
      <c r="V78" s="2121"/>
      <c r="W78" s="2121"/>
      <c r="X78" s="2121"/>
      <c r="Y78" s="2121"/>
      <c r="Z78" s="2121"/>
      <c r="AA78" s="2121"/>
      <c r="AB78" s="2121"/>
      <c r="AC78" s="212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2"/>
      <c r="O79" s="2142"/>
      <c r="P79" s="2141"/>
      <c r="Q79" s="2134"/>
      <c r="R79" s="2121"/>
      <c r="S79" s="2121"/>
      <c r="T79" s="2121"/>
      <c r="U79" s="2121"/>
      <c r="V79" s="2121"/>
      <c r="W79" s="2121"/>
      <c r="X79" s="2121"/>
      <c r="Y79" s="2121"/>
      <c r="Z79" s="2121"/>
      <c r="AA79" s="2121"/>
      <c r="AB79" s="2121"/>
      <c r="AC79" s="2121"/>
    </row>
    <row r="80" spans="1:29" ht="15.75" thickTop="1">
      <c r="A80" s="669"/>
      <c r="B80" s="1872" t="s">
        <v>2532</v>
      </c>
      <c r="C80" s="708" t="s">
        <v>578</v>
      </c>
      <c r="D80" s="708" t="s">
        <v>579</v>
      </c>
      <c r="E80" s="708" t="s">
        <v>580</v>
      </c>
      <c r="F80" s="708" t="s">
        <v>581</v>
      </c>
      <c r="G80" s="708" t="s">
        <v>582</v>
      </c>
      <c r="H80" s="674"/>
      <c r="I80" s="674"/>
      <c r="J80" s="674"/>
      <c r="K80" s="675"/>
      <c r="L80" s="676"/>
      <c r="M80" s="677"/>
      <c r="N80" s="2140"/>
      <c r="O80" s="2140"/>
      <c r="P80" s="2141"/>
      <c r="Q80" s="2134"/>
      <c r="R80" s="2121"/>
      <c r="S80" s="2121"/>
      <c r="T80" s="2121"/>
      <c r="U80" s="2121"/>
      <c r="V80" s="2121"/>
      <c r="W80" s="2121"/>
      <c r="X80" s="2121"/>
      <c r="Y80" s="2121"/>
      <c r="Z80" s="2121"/>
      <c r="AA80" s="2121"/>
      <c r="AB80" s="2121"/>
      <c r="AC80" s="212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2"/>
      <c r="O81" s="2142"/>
      <c r="P81" s="2141"/>
      <c r="Q81" s="2134"/>
      <c r="R81" s="2121"/>
      <c r="S81" s="2121"/>
      <c r="T81" s="2121"/>
      <c r="U81" s="2121"/>
      <c r="V81" s="2121"/>
      <c r="W81" s="2121"/>
      <c r="X81" s="2121"/>
      <c r="Y81" s="2121"/>
      <c r="Z81" s="2121"/>
      <c r="AA81" s="2121"/>
      <c r="AB81" s="2121"/>
      <c r="AC81" s="2121"/>
    </row>
    <row r="82" spans="1:29" ht="15.75" thickTop="1">
      <c r="A82" s="669"/>
      <c r="B82" s="2536" t="s">
        <v>2533</v>
      </c>
      <c r="C82" s="2537" t="s">
        <v>2534</v>
      </c>
      <c r="D82" s="2537" t="s">
        <v>2535</v>
      </c>
      <c r="E82" s="2537" t="s">
        <v>2536</v>
      </c>
      <c r="F82" s="2537" t="s">
        <v>2537</v>
      </c>
      <c r="G82" s="2537" t="s">
        <v>2538</v>
      </c>
      <c r="H82" s="674"/>
      <c r="I82" s="674"/>
      <c r="J82" s="674"/>
      <c r="K82" s="674"/>
      <c r="L82" s="674"/>
      <c r="M82" s="2540"/>
      <c r="N82" s="2142"/>
      <c r="O82" s="2142"/>
      <c r="P82" s="2141"/>
      <c r="Q82" s="2134"/>
      <c r="R82" s="2121"/>
      <c r="S82" s="2121"/>
      <c r="T82" s="2121"/>
      <c r="U82" s="2121"/>
      <c r="V82" s="2121"/>
      <c r="W82" s="2121"/>
      <c r="X82" s="2121"/>
      <c r="Y82" s="2121"/>
      <c r="Z82" s="2121"/>
      <c r="AA82" s="2121"/>
      <c r="AB82" s="2121"/>
      <c r="AC82" s="2121"/>
    </row>
    <row r="83" spans="1:29" ht="15.75" thickBot="1">
      <c r="A83" s="669"/>
      <c r="B83" s="681"/>
      <c r="C83" s="679">
        <v>100</v>
      </c>
      <c r="D83" s="679">
        <f>C83-$K21</f>
        <v>100</v>
      </c>
      <c r="E83" s="679">
        <f>D83-$K21</f>
        <v>100</v>
      </c>
      <c r="F83" s="679">
        <f>E83-$K21</f>
        <v>100</v>
      </c>
      <c r="G83" s="679">
        <f>F83-$K21</f>
        <v>100</v>
      </c>
      <c r="H83" s="926"/>
      <c r="I83" s="926"/>
      <c r="J83" s="926"/>
      <c r="K83" s="926"/>
      <c r="L83" s="926"/>
      <c r="M83" s="559"/>
      <c r="N83" s="2142"/>
      <c r="O83" s="2142"/>
      <c r="P83" s="2141"/>
      <c r="Q83" s="2134"/>
      <c r="R83" s="2121"/>
      <c r="S83" s="2121"/>
      <c r="T83" s="2121"/>
      <c r="U83" s="2121"/>
      <c r="V83" s="2121"/>
      <c r="W83" s="2121"/>
      <c r="X83" s="2121"/>
      <c r="Y83" s="2121"/>
      <c r="Z83" s="2121"/>
      <c r="AA83" s="2121"/>
      <c r="AB83" s="2121"/>
      <c r="AC83" s="2121"/>
    </row>
    <row r="84" spans="1:29" ht="15.75" thickTop="1">
      <c r="A84" s="669"/>
      <c r="B84" s="673" t="s">
        <v>743</v>
      </c>
      <c r="C84" s="708" t="s">
        <v>578</v>
      </c>
      <c r="D84" s="708" t="s">
        <v>579</v>
      </c>
      <c r="E84" s="708" t="s">
        <v>580</v>
      </c>
      <c r="F84" s="708" t="s">
        <v>581</v>
      </c>
      <c r="G84" s="708" t="s">
        <v>582</v>
      </c>
      <c r="H84" s="674"/>
      <c r="I84" s="674"/>
      <c r="J84" s="674"/>
      <c r="K84" s="675"/>
      <c r="L84" s="676"/>
      <c r="M84" s="677"/>
      <c r="N84" s="2140"/>
      <c r="O84" s="2140"/>
      <c r="P84" s="2141"/>
      <c r="Q84" s="2134"/>
      <c r="R84" s="2121"/>
      <c r="S84" s="2121"/>
      <c r="T84" s="2121"/>
      <c r="U84" s="2121"/>
      <c r="V84" s="2121"/>
      <c r="W84" s="2121"/>
      <c r="X84" s="2121"/>
      <c r="Y84" s="2121"/>
      <c r="Z84" s="2121"/>
      <c r="AA84" s="2121"/>
      <c r="AB84" s="2121"/>
      <c r="AC84" s="212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2"/>
      <c r="O85" s="2142"/>
      <c r="P85" s="2141"/>
      <c r="Q85" s="2134"/>
      <c r="R85" s="2121"/>
      <c r="S85" s="2121"/>
      <c r="T85" s="2121"/>
      <c r="U85" s="2121"/>
      <c r="V85" s="2121"/>
      <c r="W85" s="2121"/>
      <c r="X85" s="2121"/>
      <c r="Y85" s="2121"/>
      <c r="Z85" s="2121"/>
      <c r="AA85" s="2121"/>
      <c r="AB85" s="2121"/>
      <c r="AC85" s="2121"/>
    </row>
    <row r="86" spans="1:29" s="1206" customFormat="1" ht="15.75" thickTop="1">
      <c r="A86" s="709"/>
      <c r="B86" s="1872" t="s">
        <v>2233</v>
      </c>
      <c r="C86" s="688"/>
      <c r="D86" s="688"/>
      <c r="E86" s="688"/>
      <c r="F86" s="688"/>
      <c r="G86" s="688"/>
      <c r="H86" s="688"/>
      <c r="I86" s="688"/>
      <c r="J86" s="688"/>
      <c r="K86" s="688"/>
      <c r="L86" s="890"/>
      <c r="M86" s="891"/>
      <c r="N86" s="2138"/>
      <c r="O86" s="2138"/>
      <c r="P86" s="2141"/>
      <c r="Q86" s="2134"/>
      <c r="R86" s="1969"/>
      <c r="S86" s="1969"/>
      <c r="T86" s="1969"/>
      <c r="U86" s="1969"/>
      <c r="V86" s="1969"/>
      <c r="W86" s="1969"/>
      <c r="X86" s="1969"/>
      <c r="Y86" s="1969"/>
      <c r="Z86" s="1969"/>
      <c r="AA86" s="1969"/>
      <c r="AB86" s="1969"/>
      <c r="AC86" s="1969"/>
    </row>
    <row r="87" spans="1:29" s="120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2"/>
      <c r="O87" s="2142"/>
      <c r="P87" s="2141"/>
      <c r="Q87" s="2134"/>
      <c r="R87" s="1969"/>
      <c r="S87" s="1969"/>
      <c r="T87" s="1969"/>
      <c r="U87" s="1969"/>
      <c r="V87" s="1969"/>
      <c r="W87" s="1969"/>
      <c r="X87" s="1969"/>
      <c r="Y87" s="1969"/>
      <c r="Z87" s="1969"/>
      <c r="AA87" s="1969"/>
      <c r="AB87" s="1969"/>
      <c r="AC87" s="1969"/>
    </row>
    <row r="88" spans="1:29" s="1206" customFormat="1" ht="15.75" thickTop="1">
      <c r="A88" s="709"/>
      <c r="B88" s="673" t="s">
        <v>745</v>
      </c>
      <c r="C88" s="688"/>
      <c r="D88" s="688"/>
      <c r="E88" s="688"/>
      <c r="F88" s="892"/>
      <c r="G88" s="688"/>
      <c r="H88" s="688"/>
      <c r="I88" s="688"/>
      <c r="J88" s="688"/>
      <c r="K88" s="688"/>
      <c r="L88" s="688"/>
      <c r="M88" s="891"/>
      <c r="N88" s="2138"/>
      <c r="O88" s="2138"/>
      <c r="P88" s="2141"/>
      <c r="Q88" s="2134"/>
      <c r="R88" s="1969"/>
      <c r="S88" s="1969"/>
      <c r="T88" s="1969"/>
      <c r="U88" s="1969"/>
      <c r="V88" s="1969"/>
      <c r="W88" s="1969"/>
      <c r="X88" s="1969"/>
      <c r="Y88" s="1969"/>
      <c r="Z88" s="1969"/>
      <c r="AA88" s="1969"/>
      <c r="AB88" s="1969"/>
      <c r="AC88" s="1969"/>
    </row>
    <row r="89" spans="1:29" s="120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2"/>
      <c r="O89" s="2142"/>
      <c r="P89" s="2141"/>
      <c r="Q89" s="2134"/>
      <c r="R89" s="1969"/>
      <c r="S89" s="1969"/>
      <c r="T89" s="1969"/>
      <c r="U89" s="1969"/>
      <c r="V89" s="1969"/>
      <c r="W89" s="1969"/>
      <c r="X89" s="1969"/>
      <c r="Y89" s="1969"/>
      <c r="Z89" s="1969"/>
      <c r="AA89" s="1969"/>
      <c r="AB89" s="1969"/>
      <c r="AC89" s="1969"/>
    </row>
    <row r="90" spans="1:29" s="1325" customFormat="1" ht="15.75" thickTop="1">
      <c r="A90" s="687"/>
      <c r="B90" s="673" t="str">
        <f>B27</f>
        <v>道路级别</v>
      </c>
      <c r="C90" s="688"/>
      <c r="D90" s="688"/>
      <c r="E90" s="688"/>
      <c r="F90" s="688"/>
      <c r="G90" s="688"/>
      <c r="H90" s="689"/>
      <c r="I90" s="689"/>
      <c r="J90" s="689"/>
      <c r="K90" s="689"/>
      <c r="L90" s="690"/>
      <c r="M90" s="691"/>
      <c r="N90" s="2143"/>
      <c r="O90" s="2143"/>
      <c r="P90" s="2144"/>
      <c r="Q90" s="2145"/>
      <c r="R90" s="2146"/>
      <c r="S90" s="2146"/>
      <c r="T90" s="2146"/>
      <c r="U90" s="2146"/>
      <c r="V90" s="2146"/>
      <c r="W90" s="2146"/>
      <c r="X90" s="2146"/>
      <c r="Y90" s="2146"/>
      <c r="Z90" s="2146"/>
      <c r="AA90" s="2146"/>
      <c r="AB90" s="2146"/>
      <c r="AC90" s="2146"/>
    </row>
    <row r="91" spans="1:29" s="1325" customFormat="1" ht="15.75" thickBot="1">
      <c r="A91" s="687"/>
      <c r="B91" s="678"/>
      <c r="C91" s="692"/>
      <c r="D91" s="692"/>
      <c r="E91" s="692"/>
      <c r="F91" s="692"/>
      <c r="G91" s="692"/>
      <c r="H91" s="693"/>
      <c r="I91" s="693"/>
      <c r="J91" s="693"/>
      <c r="K91" s="693"/>
      <c r="L91" s="693"/>
      <c r="M91" s="694"/>
      <c r="N91" s="2143"/>
      <c r="O91" s="2143"/>
      <c r="P91" s="2144"/>
      <c r="Q91" s="2145"/>
      <c r="R91" s="2146"/>
      <c r="S91" s="2146"/>
      <c r="T91" s="2146"/>
      <c r="U91" s="2146"/>
      <c r="V91" s="2146"/>
      <c r="W91" s="2146"/>
      <c r="X91" s="2146"/>
      <c r="Y91" s="2146"/>
      <c r="Z91" s="2146"/>
      <c r="AA91" s="2146"/>
      <c r="AB91" s="2146"/>
      <c r="AC91" s="2146"/>
    </row>
    <row r="92" spans="1:29" ht="15.75" thickTop="1">
      <c r="A92" s="669"/>
      <c r="B92" s="673">
        <f>B28</f>
        <v>111</v>
      </c>
      <c r="C92" s="688"/>
      <c r="D92" s="688"/>
      <c r="E92" s="688"/>
      <c r="F92" s="688"/>
      <c r="G92" s="718"/>
      <c r="H92" s="718"/>
      <c r="I92" s="718"/>
      <c r="J92" s="718"/>
      <c r="K92" s="719"/>
      <c r="L92" s="720"/>
      <c r="M92" s="721"/>
      <c r="N92" s="2140"/>
      <c r="O92" s="2140"/>
      <c r="P92" s="2141"/>
      <c r="Q92" s="2134"/>
      <c r="R92" s="2121"/>
      <c r="S92" s="2121"/>
      <c r="T92" s="2121"/>
      <c r="U92" s="2121"/>
      <c r="V92" s="2121"/>
      <c r="W92" s="2121"/>
      <c r="X92" s="2121"/>
      <c r="Y92" s="2121"/>
      <c r="Z92" s="2121"/>
      <c r="AA92" s="2121"/>
      <c r="AB92" s="2121"/>
      <c r="AC92" s="2121"/>
    </row>
    <row r="93" spans="1:29" ht="15.75" thickBot="1">
      <c r="A93" s="669"/>
      <c r="B93" s="678"/>
      <c r="C93" s="692"/>
      <c r="D93" s="671"/>
      <c r="E93" s="671"/>
      <c r="F93" s="671"/>
      <c r="G93" s="671"/>
      <c r="H93" s="671"/>
      <c r="I93" s="671"/>
      <c r="J93" s="671"/>
      <c r="K93" s="671"/>
      <c r="L93" s="671"/>
      <c r="M93" s="672"/>
      <c r="N93" s="2142"/>
      <c r="O93" s="2142"/>
      <c r="P93" s="2141"/>
      <c r="Q93" s="2134"/>
      <c r="R93" s="2121"/>
      <c r="S93" s="2121"/>
      <c r="T93" s="2121"/>
      <c r="U93" s="2121"/>
      <c r="V93" s="2121"/>
      <c r="W93" s="2121"/>
      <c r="X93" s="2121"/>
      <c r="Y93" s="2121"/>
      <c r="Z93" s="2121"/>
      <c r="AA93" s="2121"/>
      <c r="AB93" s="2121"/>
      <c r="AC93" s="2121"/>
    </row>
    <row r="94" spans="1:29" ht="15.75" thickTop="1">
      <c r="A94" s="669"/>
      <c r="B94" s="673">
        <f>B29</f>
        <v>111</v>
      </c>
      <c r="C94" s="688"/>
      <c r="D94" s="688"/>
      <c r="E94" s="688"/>
      <c r="F94" s="688"/>
      <c r="G94" s="718"/>
      <c r="H94" s="718"/>
      <c r="I94" s="718"/>
      <c r="J94" s="718"/>
      <c r="K94" s="719"/>
      <c r="L94" s="720"/>
      <c r="M94" s="721"/>
      <c r="N94" s="2140"/>
      <c r="O94" s="2140"/>
      <c r="P94" s="2141"/>
      <c r="Q94" s="2134"/>
      <c r="R94" s="2121"/>
      <c r="S94" s="2121"/>
      <c r="T94" s="2121"/>
      <c r="U94" s="2121"/>
      <c r="V94" s="2121"/>
      <c r="W94" s="2121"/>
      <c r="X94" s="2121"/>
      <c r="Y94" s="2121"/>
      <c r="Z94" s="2121"/>
      <c r="AA94" s="2121"/>
      <c r="AB94" s="2121"/>
      <c r="AC94" s="2121"/>
    </row>
    <row r="95" spans="1:29" ht="15.75" thickBot="1">
      <c r="A95" s="669"/>
      <c r="B95" s="678"/>
      <c r="C95" s="692"/>
      <c r="D95" s="692"/>
      <c r="E95" s="692"/>
      <c r="F95" s="692"/>
      <c r="G95" s="671"/>
      <c r="H95" s="671"/>
      <c r="I95" s="671"/>
      <c r="J95" s="671"/>
      <c r="K95" s="671"/>
      <c r="L95" s="671"/>
      <c r="M95" s="672"/>
      <c r="N95" s="2142"/>
      <c r="O95" s="2142"/>
      <c r="P95" s="2141"/>
      <c r="Q95" s="2134"/>
      <c r="R95" s="2121"/>
      <c r="S95" s="2121"/>
      <c r="T95" s="2121"/>
      <c r="U95" s="2121"/>
      <c r="V95" s="2121"/>
      <c r="W95" s="2121"/>
      <c r="X95" s="2121"/>
      <c r="Y95" s="2121"/>
      <c r="Z95" s="2121"/>
      <c r="AA95" s="2121"/>
      <c r="AB95" s="2121"/>
      <c r="AC95" s="2121"/>
    </row>
    <row r="96" spans="1:29" ht="15.75" thickTop="1">
      <c r="A96" s="669"/>
      <c r="B96" s="673">
        <f>B30</f>
        <v>111</v>
      </c>
      <c r="C96" s="688"/>
      <c r="D96" s="688"/>
      <c r="E96" s="688"/>
      <c r="F96" s="688"/>
      <c r="G96" s="718"/>
      <c r="H96" s="718"/>
      <c r="I96" s="718"/>
      <c r="J96" s="718"/>
      <c r="K96" s="719"/>
      <c r="L96" s="720"/>
      <c r="M96" s="721"/>
      <c r="N96" s="2140"/>
      <c r="O96" s="2140"/>
      <c r="P96" s="2141"/>
      <c r="Q96" s="2134"/>
      <c r="R96" s="2121"/>
      <c r="S96" s="2121"/>
      <c r="T96" s="2121"/>
      <c r="U96" s="2121"/>
      <c r="V96" s="2121"/>
      <c r="W96" s="2121"/>
      <c r="X96" s="2121"/>
      <c r="Y96" s="2121"/>
      <c r="Z96" s="2121"/>
      <c r="AA96" s="2121"/>
      <c r="AB96" s="2121"/>
      <c r="AC96" s="2121"/>
    </row>
    <row r="97" spans="1:29" ht="15.75" thickBot="1">
      <c r="A97" s="669"/>
      <c r="B97" s="678"/>
      <c r="C97" s="700"/>
      <c r="D97" s="700"/>
      <c r="E97" s="700"/>
      <c r="F97" s="700"/>
      <c r="G97" s="671"/>
      <c r="H97" s="671"/>
      <c r="I97" s="671"/>
      <c r="J97" s="671"/>
      <c r="K97" s="671"/>
      <c r="L97" s="671"/>
      <c r="M97" s="672"/>
      <c r="N97" s="2142"/>
      <c r="O97" s="2142"/>
      <c r="P97" s="2141"/>
      <c r="Q97" s="2134"/>
      <c r="R97" s="2121"/>
      <c r="S97" s="2121"/>
      <c r="T97" s="2121"/>
      <c r="U97" s="2121"/>
      <c r="V97" s="2121"/>
      <c r="W97" s="2121"/>
      <c r="X97" s="2121"/>
      <c r="Y97" s="2121"/>
      <c r="Z97" s="2121"/>
      <c r="AA97" s="2121"/>
      <c r="AB97" s="2121"/>
      <c r="AC97" s="2121"/>
    </row>
    <row r="98" spans="1:29" ht="15.75" thickTop="1">
      <c r="A98" s="669"/>
      <c r="B98" s="681">
        <f>B31</f>
        <v>111</v>
      </c>
      <c r="C98" s="722"/>
      <c r="D98" s="722"/>
      <c r="E98" s="722"/>
      <c r="F98" s="722"/>
      <c r="G98" s="722"/>
      <c r="H98" s="722"/>
      <c r="I98" s="722"/>
      <c r="J98" s="722"/>
      <c r="K98" s="723"/>
      <c r="L98" s="724"/>
      <c r="M98" s="725"/>
      <c r="N98" s="2140"/>
      <c r="O98" s="2140"/>
      <c r="P98" s="2141"/>
      <c r="Q98" s="2134"/>
      <c r="R98" s="2121"/>
      <c r="S98" s="2121"/>
      <c r="T98" s="2121"/>
      <c r="U98" s="2121"/>
      <c r="V98" s="2121"/>
      <c r="W98" s="2121"/>
      <c r="X98" s="2121"/>
      <c r="Y98" s="2121"/>
      <c r="Z98" s="2121"/>
      <c r="AA98" s="2121"/>
      <c r="AB98" s="2121"/>
      <c r="AC98" s="2121"/>
    </row>
    <row r="99" spans="1:29" ht="15.75" thickBot="1">
      <c r="A99" s="893"/>
      <c r="B99" s="699"/>
      <c r="C99" s="726"/>
      <c r="D99" s="726"/>
      <c r="E99" s="726"/>
      <c r="F99" s="726"/>
      <c r="G99" s="726"/>
      <c r="H99" s="726"/>
      <c r="I99" s="726"/>
      <c r="J99" s="726"/>
      <c r="K99" s="726"/>
      <c r="L99" s="726"/>
      <c r="M99" s="727"/>
      <c r="N99" s="2142"/>
      <c r="O99" s="2142"/>
      <c r="P99" s="2141"/>
      <c r="Q99" s="2134"/>
      <c r="R99" s="2121"/>
      <c r="S99" s="2121"/>
      <c r="T99" s="2121"/>
      <c r="U99" s="2121"/>
      <c r="V99" s="2121"/>
      <c r="W99" s="2121"/>
      <c r="X99" s="2121"/>
      <c r="Y99" s="2121"/>
      <c r="Z99" s="2121"/>
      <c r="AA99" s="2121"/>
      <c r="AB99" s="2121"/>
      <c r="AC99" s="2121"/>
    </row>
    <row r="100" spans="1:29">
      <c r="A100" s="664" t="s">
        <v>550</v>
      </c>
      <c r="B100" s="665" t="s">
        <v>746</v>
      </c>
      <c r="C100" s="598"/>
      <c r="D100" s="598"/>
      <c r="E100" s="598"/>
      <c r="F100" s="598"/>
      <c r="G100" s="598"/>
      <c r="H100" s="598"/>
      <c r="I100" s="598"/>
      <c r="J100" s="598"/>
      <c r="K100" s="666"/>
      <c r="L100" s="667"/>
      <c r="M100" s="668"/>
      <c r="N100" s="2140"/>
      <c r="O100" s="2140"/>
      <c r="P100" s="2141"/>
      <c r="Q100" s="2134"/>
      <c r="R100" s="2121"/>
      <c r="S100" s="2121"/>
      <c r="T100" s="2121"/>
      <c r="U100" s="2121"/>
      <c r="V100" s="2121"/>
      <c r="W100" s="2121"/>
      <c r="X100" s="2121"/>
      <c r="Y100" s="2121"/>
      <c r="Z100" s="2121"/>
      <c r="AA100" s="2121"/>
      <c r="AB100" s="2121"/>
      <c r="AC100" s="212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42"/>
      <c r="O101" s="2142"/>
      <c r="P101" s="2141"/>
      <c r="Q101" s="2134"/>
      <c r="R101" s="2121"/>
      <c r="S101" s="2121"/>
      <c r="T101" s="2121"/>
      <c r="U101" s="2121"/>
      <c r="V101" s="2121"/>
      <c r="W101" s="2121"/>
      <c r="X101" s="2121"/>
      <c r="Y101" s="2121"/>
      <c r="Z101" s="2121"/>
      <c r="AA101" s="2121"/>
      <c r="AB101" s="2121"/>
      <c r="AC101" s="2121"/>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38"/>
      <c r="O102" s="2138"/>
      <c r="P102" s="2141"/>
      <c r="Q102" s="2134"/>
      <c r="R102" s="2121"/>
      <c r="S102" s="2121"/>
      <c r="T102" s="2121"/>
      <c r="U102" s="2121"/>
      <c r="V102" s="2121"/>
      <c r="W102" s="2121"/>
      <c r="X102" s="2121"/>
      <c r="Y102" s="2121"/>
      <c r="Z102" s="2121"/>
      <c r="AA102" s="2121"/>
      <c r="AB102" s="2121"/>
      <c r="AC102" s="2121"/>
    </row>
    <row r="103" spans="1:29" s="1325" customFormat="1">
      <c r="A103" s="728"/>
      <c r="B103" s="729"/>
      <c r="C103" s="730"/>
      <c r="D103" s="730"/>
      <c r="E103" s="730"/>
      <c r="F103" s="730"/>
      <c r="G103" s="730"/>
      <c r="H103" s="730"/>
      <c r="I103" s="730"/>
      <c r="J103" s="731"/>
      <c r="K103" s="731"/>
      <c r="L103" s="732"/>
      <c r="M103" s="733"/>
      <c r="N103" s="2143"/>
      <c r="O103" s="2143"/>
      <c r="P103" s="2144"/>
      <c r="Q103" s="2145"/>
      <c r="R103" s="2146"/>
      <c r="S103" s="2146"/>
      <c r="T103" s="2146"/>
      <c r="U103" s="2146"/>
      <c r="V103" s="2146"/>
      <c r="W103" s="2146"/>
      <c r="X103" s="2146"/>
      <c r="Y103" s="2146"/>
      <c r="Z103" s="2146"/>
      <c r="AA103" s="2146"/>
      <c r="AB103" s="2146"/>
      <c r="AC103" s="2146"/>
    </row>
    <row r="104" spans="1:29" s="1325" customFormat="1" ht="15.75" thickBot="1">
      <c r="A104" s="687"/>
      <c r="B104" s="678"/>
      <c r="C104" s="692"/>
      <c r="D104" s="671"/>
      <c r="E104" s="671"/>
      <c r="F104" s="671"/>
      <c r="G104" s="671"/>
      <c r="H104" s="671"/>
      <c r="I104" s="671"/>
      <c r="J104" s="671"/>
      <c r="K104" s="671"/>
      <c r="L104" s="671"/>
      <c r="M104" s="671"/>
      <c r="N104" s="2142"/>
      <c r="O104" s="2142"/>
      <c r="P104" s="2144"/>
      <c r="Q104" s="2145"/>
      <c r="R104" s="2146"/>
      <c r="S104" s="2146"/>
      <c r="T104" s="2146"/>
      <c r="U104" s="2146"/>
      <c r="V104" s="2146"/>
      <c r="W104" s="2146"/>
      <c r="X104" s="2146"/>
      <c r="Y104" s="2146"/>
      <c r="Z104" s="2146"/>
      <c r="AA104" s="2146"/>
      <c r="AB104" s="2146"/>
      <c r="AC104" s="2146"/>
    </row>
    <row r="105" spans="1:29" ht="15" thickTop="1">
      <c r="A105" s="735"/>
      <c r="B105" s="673" t="s">
        <v>748</v>
      </c>
      <c r="C105" s="688"/>
      <c r="D105" s="688"/>
      <c r="E105" s="718"/>
      <c r="F105" s="718"/>
      <c r="G105" s="718"/>
      <c r="H105" s="718"/>
      <c r="I105" s="718"/>
      <c r="J105" s="718"/>
      <c r="K105" s="719"/>
      <c r="L105" s="720"/>
      <c r="M105" s="721"/>
      <c r="N105" s="2140"/>
      <c r="O105" s="2140"/>
      <c r="P105" s="2141"/>
      <c r="Q105" s="2134"/>
      <c r="R105" s="2121"/>
      <c r="S105" s="2121"/>
      <c r="T105" s="2121"/>
      <c r="U105" s="2121"/>
      <c r="V105" s="2121"/>
      <c r="W105" s="2121"/>
      <c r="X105" s="2121"/>
      <c r="Y105" s="2121"/>
      <c r="Z105" s="2121"/>
      <c r="AA105" s="2121"/>
      <c r="AB105" s="2121"/>
      <c r="AC105" s="212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42"/>
      <c r="O106" s="2142"/>
      <c r="P106" s="2141"/>
      <c r="Q106" s="2134"/>
      <c r="R106" s="2121"/>
      <c r="S106" s="2121"/>
      <c r="T106" s="2121"/>
      <c r="U106" s="2121"/>
      <c r="V106" s="2121"/>
      <c r="W106" s="2121"/>
      <c r="X106" s="2121"/>
      <c r="Y106" s="2121"/>
      <c r="Z106" s="2121"/>
      <c r="AA106" s="2121"/>
      <c r="AB106" s="2121"/>
      <c r="AC106" s="2121"/>
    </row>
    <row r="107" spans="1:29" ht="15" thickTop="1">
      <c r="A107" s="735"/>
      <c r="B107" s="673" t="s">
        <v>749</v>
      </c>
      <c r="C107" s="718"/>
      <c r="D107" s="718"/>
      <c r="E107" s="718"/>
      <c r="F107" s="718"/>
      <c r="G107" s="718"/>
      <c r="H107" s="718"/>
      <c r="I107" s="718"/>
      <c r="J107" s="718"/>
      <c r="K107" s="719"/>
      <c r="L107" s="720"/>
      <c r="M107" s="721"/>
      <c r="N107" s="2140"/>
      <c r="O107" s="2140"/>
      <c r="P107" s="2141"/>
      <c r="Q107" s="2134"/>
      <c r="R107" s="2121"/>
      <c r="S107" s="2121"/>
      <c r="T107" s="2121"/>
      <c r="U107" s="2121"/>
      <c r="V107" s="2121"/>
      <c r="W107" s="2121"/>
      <c r="X107" s="2121"/>
      <c r="Y107" s="2121"/>
      <c r="Z107" s="2121"/>
      <c r="AA107" s="2121"/>
      <c r="AB107" s="2121"/>
      <c r="AC107" s="212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42"/>
      <c r="O108" s="2142"/>
      <c r="P108" s="2141"/>
      <c r="Q108" s="2134"/>
      <c r="R108" s="2121"/>
      <c r="S108" s="2121"/>
      <c r="T108" s="2121"/>
      <c r="U108" s="2121"/>
      <c r="V108" s="2121"/>
      <c r="W108" s="2121"/>
      <c r="X108" s="2121"/>
      <c r="Y108" s="2121"/>
      <c r="Z108" s="2121"/>
      <c r="AA108" s="2121"/>
      <c r="AB108" s="2121"/>
      <c r="AC108" s="2121"/>
    </row>
    <row r="109" spans="1:29" ht="15" thickTop="1">
      <c r="A109" s="735"/>
      <c r="B109" s="673" t="s">
        <v>750</v>
      </c>
      <c r="C109" s="688"/>
      <c r="D109" s="688"/>
      <c r="E109" s="688"/>
      <c r="F109" s="718"/>
      <c r="G109" s="718"/>
      <c r="H109" s="718"/>
      <c r="I109" s="718"/>
      <c r="J109" s="718"/>
      <c r="K109" s="719"/>
      <c r="L109" s="720"/>
      <c r="M109" s="721"/>
      <c r="N109" s="2140"/>
      <c r="O109" s="2140"/>
      <c r="P109" s="2141"/>
      <c r="Q109" s="2134"/>
      <c r="R109" s="2121"/>
      <c r="S109" s="2121"/>
      <c r="T109" s="2121"/>
      <c r="U109" s="2121"/>
      <c r="V109" s="2121"/>
      <c r="W109" s="2121"/>
      <c r="X109" s="2121"/>
      <c r="Y109" s="2121"/>
      <c r="Z109" s="2121"/>
      <c r="AA109" s="2121"/>
      <c r="AB109" s="2121"/>
      <c r="AC109" s="212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42"/>
      <c r="O110" s="2142"/>
      <c r="P110" s="2141"/>
      <c r="Q110" s="2134"/>
      <c r="R110" s="2121"/>
      <c r="S110" s="2121"/>
      <c r="T110" s="2121"/>
      <c r="U110" s="2121"/>
      <c r="V110" s="2121"/>
      <c r="W110" s="2121"/>
      <c r="X110" s="2121"/>
      <c r="Y110" s="2121"/>
      <c r="Z110" s="2121"/>
      <c r="AA110" s="2121"/>
      <c r="AB110" s="2121"/>
      <c r="AC110" s="2121"/>
    </row>
    <row r="111" spans="1:29" s="132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3"/>
      <c r="O111" s="2143"/>
      <c r="P111" s="2144"/>
      <c r="Q111" s="2145"/>
      <c r="R111" s="2146"/>
      <c r="S111" s="2146"/>
      <c r="T111" s="2146"/>
      <c r="U111" s="2146"/>
      <c r="V111" s="2146"/>
      <c r="W111" s="2146"/>
      <c r="X111" s="2146"/>
      <c r="Y111" s="2146"/>
      <c r="Z111" s="2146"/>
      <c r="AA111" s="2146"/>
      <c r="AB111" s="2146"/>
      <c r="AC111" s="2146"/>
    </row>
    <row r="112" spans="1:29" s="1325" customFormat="1">
      <c r="A112" s="728"/>
      <c r="B112" s="681"/>
      <c r="C112" s="894">
        <v>0.5</v>
      </c>
      <c r="D112" s="894">
        <v>0.6</v>
      </c>
      <c r="E112" s="894">
        <v>0.7</v>
      </c>
      <c r="F112" s="894">
        <v>0.8</v>
      </c>
      <c r="G112" s="894">
        <v>0.9</v>
      </c>
      <c r="H112" s="894">
        <v>1.0001</v>
      </c>
      <c r="I112" s="894"/>
      <c r="J112" s="895"/>
      <c r="K112" s="895"/>
      <c r="L112" s="896"/>
      <c r="M112" s="897"/>
      <c r="N112" s="2143"/>
      <c r="O112" s="2143"/>
      <c r="P112" s="2144"/>
      <c r="Q112" s="2145"/>
      <c r="R112" s="2146"/>
      <c r="S112" s="2146"/>
      <c r="T112" s="2146"/>
      <c r="U112" s="2146"/>
      <c r="V112" s="2146"/>
      <c r="W112" s="2146"/>
      <c r="X112" s="2146"/>
      <c r="Y112" s="2146"/>
      <c r="Z112" s="2146"/>
      <c r="AA112" s="2146"/>
      <c r="AB112" s="2146"/>
      <c r="AC112" s="2146"/>
    </row>
    <row r="113" spans="1:29" s="132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43"/>
      <c r="O113" s="2143"/>
      <c r="P113" s="2144"/>
      <c r="Q113" s="2145"/>
      <c r="R113" s="2146"/>
      <c r="S113" s="2146"/>
      <c r="T113" s="2146"/>
      <c r="U113" s="2146"/>
      <c r="V113" s="2146"/>
      <c r="W113" s="2146"/>
      <c r="X113" s="2146"/>
      <c r="Y113" s="2146"/>
      <c r="Z113" s="2146"/>
      <c r="AA113" s="2146"/>
      <c r="AB113" s="2146"/>
      <c r="AC113" s="2146"/>
    </row>
    <row r="114" spans="1:29" ht="15" thickTop="1">
      <c r="A114" s="735"/>
      <c r="B114" s="673" t="s">
        <v>752</v>
      </c>
      <c r="C114" s="688"/>
      <c r="D114" s="688"/>
      <c r="E114" s="718"/>
      <c r="F114" s="718"/>
      <c r="G114" s="718"/>
      <c r="H114" s="718"/>
      <c r="I114" s="718"/>
      <c r="J114" s="718"/>
      <c r="K114" s="719"/>
      <c r="L114" s="720"/>
      <c r="M114" s="721"/>
      <c r="N114" s="2140"/>
      <c r="O114" s="2140"/>
      <c r="P114" s="2141"/>
      <c r="Q114" s="2134"/>
      <c r="R114" s="2121"/>
      <c r="S114" s="2121"/>
      <c r="T114" s="2121"/>
      <c r="U114" s="2121"/>
      <c r="V114" s="2121"/>
      <c r="W114" s="2121"/>
      <c r="X114" s="2121"/>
      <c r="Y114" s="2121"/>
      <c r="Z114" s="2121"/>
      <c r="AA114" s="2121"/>
      <c r="AB114" s="2121"/>
      <c r="AC114" s="212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42"/>
      <c r="O115" s="2142"/>
      <c r="P115" s="2141"/>
      <c r="Q115" s="2134"/>
      <c r="R115" s="2121"/>
      <c r="S115" s="2121"/>
      <c r="T115" s="2121"/>
      <c r="U115" s="2121"/>
      <c r="V115" s="2121"/>
      <c r="W115" s="2121"/>
      <c r="X115" s="2121"/>
      <c r="Y115" s="2121"/>
      <c r="Z115" s="2121"/>
      <c r="AA115" s="2121"/>
      <c r="AB115" s="2121"/>
      <c r="AC115" s="2121"/>
    </row>
    <row r="116" spans="1:29" ht="15" thickTop="1">
      <c r="A116" s="735"/>
      <c r="B116" s="1872" t="s">
        <v>2531</v>
      </c>
      <c r="C116" s="688"/>
      <c r="D116" s="688"/>
      <c r="E116" s="688"/>
      <c r="F116" s="688"/>
      <c r="G116" s="688"/>
      <c r="H116" s="718"/>
      <c r="I116" s="718"/>
      <c r="J116" s="718"/>
      <c r="K116" s="719"/>
      <c r="L116" s="720"/>
      <c r="M116" s="721"/>
      <c r="N116" s="2140"/>
      <c r="O116" s="2140"/>
      <c r="P116" s="2141"/>
      <c r="Q116" s="2134"/>
      <c r="R116" s="2121"/>
      <c r="S116" s="2121"/>
      <c r="T116" s="2121"/>
      <c r="U116" s="2121"/>
      <c r="V116" s="2121"/>
      <c r="W116" s="2121"/>
      <c r="X116" s="2121"/>
      <c r="Y116" s="2121"/>
      <c r="Z116" s="2121"/>
      <c r="AA116" s="2121"/>
      <c r="AB116" s="2121"/>
      <c r="AC116" s="212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2"/>
      <c r="O117" s="2142"/>
      <c r="P117" s="2141"/>
      <c r="Q117" s="2134"/>
      <c r="R117" s="2121"/>
      <c r="S117" s="2121"/>
      <c r="T117" s="2121"/>
      <c r="U117" s="2121"/>
      <c r="V117" s="2121"/>
      <c r="W117" s="2121"/>
      <c r="X117" s="2121"/>
      <c r="Y117" s="2121"/>
      <c r="Z117" s="2121"/>
      <c r="AA117" s="2121"/>
      <c r="AB117" s="2121"/>
      <c r="AC117" s="2121"/>
    </row>
    <row r="118" spans="1:29" ht="15" thickTop="1">
      <c r="A118" s="735"/>
      <c r="B118" s="673" t="s">
        <v>753</v>
      </c>
      <c r="C118" s="718"/>
      <c r="D118" s="718"/>
      <c r="E118" s="718"/>
      <c r="F118" s="718"/>
      <c r="G118" s="718"/>
      <c r="H118" s="718"/>
      <c r="I118" s="718"/>
      <c r="J118" s="718"/>
      <c r="K118" s="719"/>
      <c r="L118" s="720"/>
      <c r="M118" s="721"/>
      <c r="N118" s="2140"/>
      <c r="O118" s="2140"/>
      <c r="P118" s="2141"/>
      <c r="Q118" s="2134"/>
      <c r="R118" s="2121"/>
      <c r="S118" s="2121"/>
      <c r="T118" s="2121"/>
      <c r="U118" s="2121"/>
      <c r="V118" s="2121"/>
      <c r="W118" s="2121"/>
      <c r="X118" s="2121"/>
      <c r="Y118" s="2121"/>
      <c r="Z118" s="2121"/>
      <c r="AA118" s="2121"/>
      <c r="AB118" s="2121"/>
      <c r="AC118" s="212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42"/>
      <c r="O119" s="2142"/>
      <c r="P119" s="2141"/>
      <c r="Q119" s="2134"/>
      <c r="R119" s="2121"/>
      <c r="S119" s="2121"/>
      <c r="T119" s="2121"/>
      <c r="U119" s="2121"/>
      <c r="V119" s="2121"/>
      <c r="W119" s="2121"/>
      <c r="X119" s="2121"/>
      <c r="Y119" s="2121"/>
      <c r="Z119" s="2121"/>
      <c r="AA119" s="2121"/>
      <c r="AB119" s="2121"/>
      <c r="AC119" s="2121"/>
    </row>
    <row r="120" spans="1:29" s="1325" customFormat="1" ht="28.5" thickTop="1">
      <c r="A120" s="728"/>
      <c r="B120" s="673" t="s">
        <v>732</v>
      </c>
      <c r="C120" s="688"/>
      <c r="D120" s="688"/>
      <c r="E120" s="688"/>
      <c r="F120" s="688"/>
      <c r="G120" s="688"/>
      <c r="H120" s="688"/>
      <c r="I120" s="688"/>
      <c r="J120" s="688"/>
      <c r="K120" s="688"/>
      <c r="L120" s="890"/>
      <c r="M120" s="891"/>
      <c r="N120" s="2143"/>
      <c r="O120" s="2143"/>
      <c r="P120" s="2144"/>
      <c r="Q120" s="2145"/>
      <c r="R120" s="2146"/>
      <c r="S120" s="2146"/>
      <c r="T120" s="2146"/>
      <c r="U120" s="2146"/>
      <c r="V120" s="2146"/>
      <c r="W120" s="2146"/>
      <c r="X120" s="2146"/>
      <c r="Y120" s="2146"/>
      <c r="Z120" s="2146"/>
      <c r="AA120" s="2146"/>
      <c r="AB120" s="2146"/>
      <c r="AC120" s="2146"/>
    </row>
    <row r="121" spans="1:29" s="1325" customFormat="1" ht="15.75" thickBot="1">
      <c r="A121" s="687"/>
      <c r="B121" s="670"/>
      <c r="C121" s="692"/>
      <c r="D121" s="671"/>
      <c r="E121" s="671"/>
      <c r="F121" s="671"/>
      <c r="G121" s="671"/>
      <c r="H121" s="671"/>
      <c r="I121" s="671"/>
      <c r="J121" s="671"/>
      <c r="K121" s="671"/>
      <c r="L121" s="671"/>
      <c r="M121" s="671"/>
      <c r="N121" s="2143"/>
      <c r="O121" s="2143"/>
      <c r="P121" s="2144"/>
      <c r="Q121" s="2145"/>
      <c r="R121" s="2146"/>
      <c r="S121" s="2146"/>
      <c r="T121" s="2146"/>
      <c r="U121" s="2146"/>
      <c r="V121" s="2146"/>
      <c r="W121" s="2146"/>
      <c r="X121" s="2146"/>
      <c r="Y121" s="2146"/>
      <c r="Z121" s="2146"/>
      <c r="AA121" s="2146"/>
      <c r="AB121" s="2146"/>
      <c r="AC121" s="2146"/>
    </row>
    <row r="122" spans="1:29" ht="15" thickTop="1">
      <c r="A122" s="735"/>
      <c r="B122" s="673" t="s">
        <v>754</v>
      </c>
      <c r="C122" s="688"/>
      <c r="D122" s="688"/>
      <c r="E122" s="688"/>
      <c r="F122" s="718"/>
      <c r="G122" s="718"/>
      <c r="H122" s="718"/>
      <c r="I122" s="718"/>
      <c r="J122" s="718"/>
      <c r="K122" s="719"/>
      <c r="L122" s="720"/>
      <c r="M122" s="721"/>
      <c r="N122" s="2140"/>
      <c r="O122" s="2140"/>
      <c r="P122" s="2141"/>
      <c r="Q122" s="2134"/>
      <c r="R122" s="2121"/>
      <c r="S122" s="2121"/>
      <c r="T122" s="2121"/>
      <c r="U122" s="2121"/>
      <c r="V122" s="2121"/>
      <c r="W122" s="2121"/>
      <c r="X122" s="2121"/>
      <c r="Y122" s="2121"/>
      <c r="Z122" s="2121"/>
      <c r="AA122" s="2121"/>
      <c r="AB122" s="2121"/>
      <c r="AC122" s="212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42"/>
      <c r="O123" s="2142"/>
      <c r="P123" s="2141"/>
      <c r="Q123" s="2134"/>
      <c r="R123" s="2121"/>
      <c r="S123" s="2121"/>
      <c r="T123" s="2121"/>
      <c r="U123" s="2121"/>
      <c r="V123" s="2121"/>
      <c r="W123" s="2121"/>
      <c r="X123" s="2121"/>
      <c r="Y123" s="2121"/>
      <c r="Z123" s="2121"/>
      <c r="AA123" s="2121"/>
      <c r="AB123" s="2121"/>
      <c r="AC123" s="2121"/>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0"/>
      <c r="O124" s="2140"/>
      <c r="P124" s="2144"/>
      <c r="Q124" s="2134"/>
      <c r="R124" s="2121"/>
      <c r="S124" s="2121"/>
      <c r="T124" s="2121"/>
      <c r="U124" s="2121"/>
      <c r="V124" s="2121"/>
      <c r="W124" s="2121"/>
      <c r="X124" s="2121"/>
      <c r="Y124" s="2121"/>
      <c r="Z124" s="2121"/>
      <c r="AA124" s="2121"/>
      <c r="AB124" s="2121"/>
      <c r="AC124" s="212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2"/>
      <c r="O125" s="2142"/>
      <c r="P125" s="2141"/>
      <c r="Q125" s="2134"/>
      <c r="R125" s="2121"/>
      <c r="S125" s="2121"/>
      <c r="T125" s="2121"/>
      <c r="U125" s="2121"/>
      <c r="V125" s="2121"/>
      <c r="W125" s="2121"/>
      <c r="X125" s="2121"/>
      <c r="Y125" s="2121"/>
      <c r="Z125" s="2121"/>
      <c r="AA125" s="2121"/>
      <c r="AB125" s="2121"/>
      <c r="AC125" s="2121"/>
    </row>
    <row r="126" spans="1:29" s="1325" customFormat="1" ht="15" thickTop="1">
      <c r="A126" s="728"/>
      <c r="B126" s="673">
        <f>B44</f>
        <v>111</v>
      </c>
      <c r="C126" s="688"/>
      <c r="D126" s="688"/>
      <c r="E126" s="688"/>
      <c r="F126" s="688"/>
      <c r="G126" s="688"/>
      <c r="H126" s="689"/>
      <c r="I126" s="689"/>
      <c r="J126" s="689"/>
      <c r="K126" s="689"/>
      <c r="L126" s="690"/>
      <c r="M126" s="691"/>
      <c r="N126" s="2143"/>
      <c r="O126" s="2143"/>
      <c r="P126" s="2144"/>
      <c r="Q126" s="2145"/>
      <c r="R126" s="2146"/>
      <c r="S126" s="2146"/>
      <c r="T126" s="2146"/>
      <c r="U126" s="2146"/>
      <c r="V126" s="2146"/>
      <c r="W126" s="2146"/>
      <c r="X126" s="2146"/>
      <c r="Y126" s="2146"/>
      <c r="Z126" s="2146"/>
      <c r="AA126" s="2146"/>
      <c r="AB126" s="2146"/>
      <c r="AC126" s="2146"/>
    </row>
    <row r="127" spans="1:29" s="1325" customFormat="1" ht="15.75" thickBot="1">
      <c r="A127" s="687"/>
      <c r="B127" s="678"/>
      <c r="C127" s="692"/>
      <c r="D127" s="671"/>
      <c r="E127" s="671"/>
      <c r="F127" s="671"/>
      <c r="G127" s="692"/>
      <c r="H127" s="693"/>
      <c r="I127" s="693"/>
      <c r="J127" s="693"/>
      <c r="K127" s="693"/>
      <c r="L127" s="693"/>
      <c r="M127" s="694"/>
      <c r="N127" s="2143"/>
      <c r="O127" s="2143"/>
      <c r="P127" s="2144"/>
      <c r="Q127" s="2145"/>
      <c r="R127" s="2146"/>
      <c r="S127" s="2146"/>
      <c r="T127" s="2146"/>
      <c r="U127" s="2146"/>
      <c r="V127" s="2146"/>
      <c r="W127" s="2146"/>
      <c r="X127" s="2146"/>
      <c r="Y127" s="2146"/>
      <c r="Z127" s="2146"/>
      <c r="AA127" s="2146"/>
      <c r="AB127" s="2146"/>
      <c r="AC127" s="2146"/>
    </row>
    <row r="128" spans="1:29" ht="15" thickTop="1">
      <c r="A128" s="735"/>
      <c r="B128" s="673">
        <f>B45</f>
        <v>111</v>
      </c>
      <c r="C128" s="688"/>
      <c r="D128" s="688"/>
      <c r="E128" s="688"/>
      <c r="F128" s="688"/>
      <c r="G128" s="718"/>
      <c r="H128" s="718"/>
      <c r="I128" s="718"/>
      <c r="J128" s="718"/>
      <c r="K128" s="719"/>
      <c r="L128" s="720"/>
      <c r="M128" s="721"/>
      <c r="N128" s="2140"/>
      <c r="O128" s="2140"/>
      <c r="P128" s="2141"/>
      <c r="Q128" s="2134"/>
      <c r="R128" s="2121"/>
      <c r="S128" s="2121"/>
      <c r="T128" s="2121"/>
      <c r="U128" s="2121"/>
      <c r="V128" s="2121"/>
      <c r="W128" s="2121"/>
      <c r="X128" s="2121"/>
      <c r="Y128" s="2121"/>
      <c r="Z128" s="2121"/>
      <c r="AA128" s="2121"/>
      <c r="AB128" s="2121"/>
      <c r="AC128" s="2121"/>
    </row>
    <row r="129" spans="1:29" ht="15.75" thickBot="1">
      <c r="A129" s="669"/>
      <c r="B129" s="678"/>
      <c r="C129" s="692"/>
      <c r="D129" s="692"/>
      <c r="E129" s="692"/>
      <c r="F129" s="692"/>
      <c r="G129" s="671"/>
      <c r="H129" s="671"/>
      <c r="I129" s="671"/>
      <c r="J129" s="671"/>
      <c r="K129" s="671"/>
      <c r="L129" s="671"/>
      <c r="M129" s="672"/>
      <c r="N129" s="2142"/>
      <c r="O129" s="2142"/>
      <c r="P129" s="2141"/>
      <c r="Q129" s="2134"/>
      <c r="R129" s="2121"/>
      <c r="S129" s="2121"/>
      <c r="T129" s="2121"/>
      <c r="U129" s="2121"/>
      <c r="V129" s="2121"/>
      <c r="W129" s="2121"/>
      <c r="X129" s="2121"/>
      <c r="Y129" s="2121"/>
      <c r="Z129" s="2121"/>
      <c r="AA129" s="2121"/>
      <c r="AB129" s="2121"/>
      <c r="AC129" s="2121"/>
    </row>
    <row r="130" spans="1:29" ht="15" thickTop="1">
      <c r="A130" s="735"/>
      <c r="B130" s="681">
        <f>B46</f>
        <v>111</v>
      </c>
      <c r="C130" s="688"/>
      <c r="D130" s="688"/>
      <c r="E130" s="688"/>
      <c r="F130" s="688"/>
      <c r="G130" s="722"/>
      <c r="H130" s="722"/>
      <c r="I130" s="722"/>
      <c r="J130" s="722"/>
      <c r="K130" s="661"/>
      <c r="L130" s="662"/>
      <c r="M130" s="725"/>
      <c r="N130" s="2140"/>
      <c r="O130" s="2140"/>
      <c r="P130" s="2141"/>
      <c r="Q130" s="2134"/>
      <c r="R130" s="2121"/>
      <c r="S130" s="2121"/>
      <c r="T130" s="2121"/>
      <c r="U130" s="2121"/>
      <c r="V130" s="2121"/>
      <c r="W130" s="2121"/>
      <c r="X130" s="2121"/>
      <c r="Y130" s="2121"/>
      <c r="Z130" s="2121"/>
      <c r="AA130" s="2121"/>
      <c r="AB130" s="2121"/>
      <c r="AC130" s="2121"/>
    </row>
    <row r="131" spans="1:29" ht="15.75" thickBot="1">
      <c r="A131" s="893"/>
      <c r="B131" s="699"/>
      <c r="C131" s="700"/>
      <c r="D131" s="700"/>
      <c r="E131" s="700"/>
      <c r="F131" s="700"/>
      <c r="G131" s="726"/>
      <c r="H131" s="726"/>
      <c r="I131" s="726"/>
      <c r="J131" s="726"/>
      <c r="K131" s="726"/>
      <c r="L131" s="726"/>
      <c r="M131" s="727"/>
      <c r="N131" s="2142"/>
      <c r="O131" s="2142"/>
      <c r="P131" s="2141"/>
      <c r="Q131" s="2134"/>
      <c r="R131" s="2121"/>
      <c r="S131" s="2121"/>
      <c r="T131" s="2121"/>
      <c r="U131" s="2121"/>
      <c r="V131" s="2121"/>
      <c r="W131" s="2121"/>
      <c r="X131" s="2121"/>
      <c r="Y131" s="2121"/>
      <c r="Z131" s="2121"/>
      <c r="AA131" s="2121"/>
      <c r="AB131" s="2121"/>
      <c r="AC131" s="2121"/>
    </row>
    <row r="132" spans="1:29">
      <c r="A132" s="2155"/>
      <c r="B132" s="2155"/>
      <c r="C132" s="2155"/>
      <c r="D132" s="2155"/>
      <c r="E132" s="2155"/>
      <c r="F132" s="2155"/>
      <c r="G132" s="2155"/>
      <c r="H132" s="2155"/>
      <c r="I132" s="2155"/>
      <c r="J132" s="2155"/>
      <c r="K132" s="2156"/>
      <c r="L132" s="2157"/>
      <c r="M132" s="2155"/>
      <c r="N132" s="2155"/>
      <c r="O132" s="2155"/>
      <c r="P132" s="2155"/>
      <c r="Q132" s="2155"/>
      <c r="R132" s="2155"/>
      <c r="S132" s="2155"/>
      <c r="T132" s="2155"/>
      <c r="U132" s="2155"/>
      <c r="V132" s="2155"/>
      <c r="W132" s="2155"/>
      <c r="X132" s="2155"/>
      <c r="Y132" s="2155"/>
      <c r="Z132" s="2155"/>
      <c r="AA132" s="2155"/>
      <c r="AB132" s="2155"/>
      <c r="AC132" s="2155"/>
    </row>
    <row r="133" spans="1:29">
      <c r="A133" s="2155"/>
      <c r="B133" s="2155"/>
      <c r="C133" s="2155"/>
      <c r="D133" s="2155"/>
      <c r="E133" s="2155"/>
      <c r="F133" s="2155"/>
      <c r="G133" s="2155"/>
      <c r="H133" s="2155"/>
      <c r="I133" s="2155"/>
      <c r="J133" s="2155"/>
      <c r="K133" s="2156"/>
      <c r="L133" s="2157"/>
      <c r="M133" s="2155"/>
      <c r="N133" s="2155"/>
      <c r="O133" s="2155"/>
      <c r="P133" s="2155"/>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55"/>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ht="15" thickBot="1">
      <c r="A136" s="2155"/>
      <c r="B136" s="1891" t="s">
        <v>2234</v>
      </c>
      <c r="C136" s="1892"/>
      <c r="D136" s="1892"/>
      <c r="E136" s="1892"/>
      <c r="F136" s="1892"/>
      <c r="G136" s="1892"/>
      <c r="H136" s="1892"/>
      <c r="I136" s="1892"/>
      <c r="J136" s="1892"/>
      <c r="K136" s="1893"/>
      <c r="L136" s="2157"/>
      <c r="M136" s="2155"/>
      <c r="N136" s="2155"/>
      <c r="O136" s="2155"/>
      <c r="P136" s="2155"/>
      <c r="Q136" s="2155"/>
      <c r="R136" s="2155"/>
      <c r="S136" s="2155"/>
      <c r="T136" s="2155"/>
      <c r="U136" s="2155"/>
      <c r="V136" s="2155"/>
      <c r="W136" s="2155"/>
      <c r="X136" s="2155"/>
      <c r="Y136" s="2155"/>
      <c r="Z136" s="2155"/>
      <c r="AA136" s="2155"/>
      <c r="AB136" s="2155"/>
      <c r="AC136" s="2155"/>
    </row>
    <row r="137" spans="1:29">
      <c r="A137" s="2155"/>
      <c r="B137" s="1894" t="s">
        <v>2235</v>
      </c>
      <c r="C137" s="1895"/>
      <c r="D137" s="1895"/>
      <c r="E137" s="1895"/>
      <c r="F137" s="1895"/>
      <c r="G137" s="1896"/>
      <c r="H137" s="1897"/>
      <c r="I137" s="1898" t="s">
        <v>2236</v>
      </c>
      <c r="J137" s="1895"/>
      <c r="K137" s="1899"/>
      <c r="L137" s="2157"/>
      <c r="M137" s="2155"/>
      <c r="N137" s="2155"/>
      <c r="O137" s="2155"/>
      <c r="P137" s="2155"/>
      <c r="Q137" s="2155"/>
      <c r="R137" s="2155"/>
      <c r="S137" s="2155"/>
      <c r="T137" s="2155"/>
      <c r="U137" s="2155"/>
      <c r="V137" s="2155"/>
      <c r="W137" s="2155"/>
      <c r="X137" s="2155"/>
      <c r="Y137" s="2155"/>
      <c r="Z137" s="2155"/>
      <c r="AA137" s="2155"/>
      <c r="AB137" s="2155"/>
      <c r="AC137" s="2155"/>
    </row>
    <row r="138" spans="1:29">
      <c r="A138" s="2155"/>
      <c r="B138" s="1900"/>
      <c r="C138" s="1901" t="s">
        <v>2237</v>
      </c>
      <c r="D138" s="1901" t="s">
        <v>2238</v>
      </c>
      <c r="E138" s="1902" t="s">
        <v>2239</v>
      </c>
      <c r="F138" s="1903" t="s">
        <v>2240</v>
      </c>
      <c r="G138" s="1901" t="s">
        <v>2241</v>
      </c>
      <c r="H138" s="1904" t="s">
        <v>2242</v>
      </c>
      <c r="I138" s="1905"/>
      <c r="J138" s="1901" t="s">
        <v>2243</v>
      </c>
      <c r="K138" s="1904" t="s">
        <v>2244</v>
      </c>
      <c r="L138" s="2157"/>
      <c r="M138" s="2155"/>
      <c r="N138" s="2155"/>
      <c r="O138" s="2155"/>
      <c r="P138" s="2155"/>
      <c r="Q138" s="2155"/>
      <c r="R138" s="2155"/>
      <c r="S138" s="2155"/>
      <c r="T138" s="2155"/>
      <c r="U138" s="2155"/>
      <c r="V138" s="2155"/>
      <c r="W138" s="2155"/>
      <c r="X138" s="2155"/>
      <c r="Y138" s="2155"/>
      <c r="Z138" s="2155"/>
      <c r="AA138" s="2155"/>
      <c r="AB138" s="2155"/>
      <c r="AC138" s="2155"/>
    </row>
    <row r="139" spans="1:29" ht="15">
      <c r="A139" s="2155"/>
      <c r="B139" s="1873">
        <v>6</v>
      </c>
      <c r="C139" s="1874">
        <v>96</v>
      </c>
      <c r="D139" s="1906" t="s">
        <v>2245</v>
      </c>
      <c r="E139" s="1875">
        <v>100</v>
      </c>
      <c r="F139" s="1876">
        <v>102.5</v>
      </c>
      <c r="G139" s="1906" t="s">
        <v>2246</v>
      </c>
      <c r="H139" s="1877">
        <v>105</v>
      </c>
      <c r="I139" s="1907" t="s">
        <v>2247</v>
      </c>
      <c r="J139" s="1874">
        <v>20</v>
      </c>
      <c r="K139" s="1878">
        <f>C145/(J139-2)</f>
        <v>4.0555555555555553E-3</v>
      </c>
      <c r="L139" s="2157"/>
      <c r="M139" s="2155"/>
      <c r="N139" s="2155"/>
      <c r="O139" s="2155"/>
      <c r="P139" s="2155"/>
      <c r="Q139" s="2155"/>
      <c r="R139" s="2155"/>
      <c r="S139" s="2155"/>
      <c r="T139" s="2155"/>
      <c r="U139" s="2155"/>
      <c r="V139" s="2155"/>
      <c r="W139" s="2155"/>
      <c r="X139" s="2155"/>
      <c r="Y139" s="2155"/>
      <c r="Z139" s="2155"/>
      <c r="AA139" s="2155"/>
      <c r="AB139" s="2155"/>
      <c r="AC139" s="2155"/>
    </row>
    <row r="140" spans="1:29" ht="15">
      <c r="A140" s="2155"/>
      <c r="B140" s="1879">
        <v>5</v>
      </c>
      <c r="C140" s="1880">
        <v>100</v>
      </c>
      <c r="D140" s="1908"/>
      <c r="E140" s="1881"/>
      <c r="F140" s="1882">
        <v>102</v>
      </c>
      <c r="G140" s="1908"/>
      <c r="H140" s="1883"/>
      <c r="I140" s="1909" t="s">
        <v>2248</v>
      </c>
      <c r="J140" s="846">
        <f>ROUNDUP((J139-1)/2,0)</f>
        <v>10</v>
      </c>
      <c r="K140" s="1884">
        <v>100</v>
      </c>
      <c r="L140" s="2157"/>
      <c r="M140" s="2155"/>
      <c r="N140" s="2155"/>
      <c r="O140" s="2155"/>
      <c r="P140" s="2155"/>
      <c r="Q140" s="2155"/>
      <c r="R140" s="2155"/>
      <c r="S140" s="2155"/>
      <c r="T140" s="2155"/>
      <c r="U140" s="2155"/>
      <c r="V140" s="2155"/>
      <c r="W140" s="2155"/>
      <c r="X140" s="2155"/>
      <c r="Y140" s="2155"/>
      <c r="Z140" s="2155"/>
      <c r="AA140" s="2155"/>
      <c r="AB140" s="2155"/>
      <c r="AC140" s="2155"/>
    </row>
    <row r="141" spans="1:29" ht="15">
      <c r="A141" s="2155"/>
      <c r="B141" s="1879">
        <v>4</v>
      </c>
      <c r="C141" s="1880">
        <v>102</v>
      </c>
      <c r="D141" s="1908"/>
      <c r="E141" s="1881"/>
      <c r="F141" s="1882">
        <v>101.5</v>
      </c>
      <c r="G141" s="1908"/>
      <c r="H141" s="1883"/>
      <c r="I141" s="1909" t="s">
        <v>2249</v>
      </c>
      <c r="J141" s="846">
        <v>1</v>
      </c>
      <c r="K141" s="1885">
        <f>ROUND(100+(J141-J140)*K139*100,1)</f>
        <v>96.4</v>
      </c>
      <c r="L141" s="2157"/>
      <c r="M141" s="2155"/>
      <c r="N141" s="2155"/>
      <c r="O141" s="2155"/>
      <c r="P141" s="2155"/>
      <c r="Q141" s="2155"/>
      <c r="R141" s="2155"/>
      <c r="S141" s="2155"/>
      <c r="T141" s="2155"/>
      <c r="U141" s="2155"/>
      <c r="V141" s="2155"/>
      <c r="W141" s="2155"/>
      <c r="X141" s="2155"/>
      <c r="Y141" s="2155"/>
      <c r="Z141" s="2155"/>
      <c r="AA141" s="2155"/>
      <c r="AB141" s="2155"/>
      <c r="AC141" s="2155"/>
    </row>
    <row r="142" spans="1:29" ht="15">
      <c r="A142" s="2155"/>
      <c r="B142" s="1879">
        <v>3</v>
      </c>
      <c r="C142" s="1880">
        <v>103</v>
      </c>
      <c r="D142" s="1908"/>
      <c r="E142" s="1881"/>
      <c r="F142" s="1882">
        <v>101</v>
      </c>
      <c r="G142" s="1908"/>
      <c r="H142" s="1883"/>
      <c r="I142" s="1909" t="s">
        <v>2250</v>
      </c>
      <c r="J142" s="846">
        <f>J139</f>
        <v>20</v>
      </c>
      <c r="K142" s="1886">
        <v>95</v>
      </c>
      <c r="L142" s="2157"/>
      <c r="M142" s="2155"/>
      <c r="N142" s="2155"/>
      <c r="O142" s="2155"/>
      <c r="P142" s="2155"/>
      <c r="Q142" s="2155"/>
      <c r="R142" s="2155"/>
      <c r="S142" s="2155"/>
      <c r="T142" s="2155"/>
      <c r="U142" s="2155"/>
      <c r="V142" s="2155"/>
      <c r="W142" s="2155"/>
      <c r="X142" s="2155"/>
      <c r="Y142" s="2155"/>
      <c r="Z142" s="2155"/>
      <c r="AA142" s="2155"/>
      <c r="AB142" s="2155"/>
      <c r="AC142" s="2155"/>
    </row>
    <row r="143" spans="1:29" ht="15">
      <c r="A143" s="2155"/>
      <c r="B143" s="1879">
        <v>2</v>
      </c>
      <c r="C143" s="1880">
        <v>100</v>
      </c>
      <c r="D143" s="1908"/>
      <c r="E143" s="1881"/>
      <c r="F143" s="1882">
        <v>100.5</v>
      </c>
      <c r="G143" s="1908"/>
      <c r="H143" s="1883"/>
      <c r="I143" s="1909" t="s">
        <v>2251</v>
      </c>
      <c r="J143" s="1880">
        <v>15</v>
      </c>
      <c r="K143" s="1885">
        <f>ROUND(100+(J143-J140)*K139*100,1)</f>
        <v>102</v>
      </c>
      <c r="L143" s="2157"/>
      <c r="M143" s="2155"/>
      <c r="N143" s="2155"/>
      <c r="O143" s="2155"/>
      <c r="P143" s="2155"/>
      <c r="Q143" s="2155"/>
      <c r="R143" s="2155"/>
      <c r="S143" s="2155"/>
      <c r="T143" s="2155"/>
      <c r="U143" s="2155"/>
      <c r="V143" s="2155"/>
      <c r="W143" s="2155"/>
      <c r="X143" s="2155"/>
      <c r="Y143" s="2155"/>
      <c r="Z143" s="2155"/>
      <c r="AA143" s="2155"/>
      <c r="AB143" s="2155"/>
      <c r="AC143" s="2155"/>
    </row>
    <row r="144" spans="1:29" ht="15">
      <c r="A144" s="2155"/>
      <c r="B144" s="1879">
        <v>1</v>
      </c>
      <c r="C144" s="1880">
        <v>98</v>
      </c>
      <c r="D144" s="1910" t="s">
        <v>2252</v>
      </c>
      <c r="E144" s="1881">
        <v>102</v>
      </c>
      <c r="F144" s="1887">
        <v>100</v>
      </c>
      <c r="G144" s="1910" t="s">
        <v>2252</v>
      </c>
      <c r="H144" s="1883">
        <v>105</v>
      </c>
      <c r="I144" s="1909" t="s">
        <v>2251</v>
      </c>
      <c r="J144" s="1880">
        <v>18</v>
      </c>
      <c r="K144" s="1885">
        <f>ROUND(100+(J144-J140)*K139*100,1)</f>
        <v>103.2</v>
      </c>
      <c r="L144" s="2157"/>
      <c r="M144" s="2155"/>
      <c r="N144" s="2155"/>
      <c r="O144" s="2155"/>
      <c r="P144" s="2155"/>
      <c r="Q144" s="2155"/>
      <c r="R144" s="2155"/>
      <c r="S144" s="2155"/>
      <c r="T144" s="2155"/>
      <c r="U144" s="2155"/>
      <c r="V144" s="2155"/>
      <c r="W144" s="2155"/>
      <c r="X144" s="2155"/>
      <c r="Y144" s="2155"/>
      <c r="Z144" s="2155"/>
      <c r="AA144" s="2155"/>
      <c r="AB144" s="2155"/>
      <c r="AC144" s="2155"/>
    </row>
    <row r="145" spans="1:29" ht="15.75" thickBot="1">
      <c r="A145" s="2155"/>
      <c r="B145" s="1911" t="s">
        <v>2253</v>
      </c>
      <c r="C145" s="1888">
        <f>ROUND(MAX(C139:C144)/MIN(C139:C144)-1,3)</f>
        <v>7.2999999999999995E-2</v>
      </c>
      <c r="D145" s="1912"/>
      <c r="E145" s="1912"/>
      <c r="F145" s="1913" t="s">
        <v>2254</v>
      </c>
      <c r="G145" s="1914"/>
      <c r="H145" s="1915"/>
      <c r="I145" s="1916" t="s">
        <v>2251</v>
      </c>
      <c r="J145" s="1889">
        <v>8</v>
      </c>
      <c r="K145" s="1890">
        <f>ROUND(100+(J145-J140)*K139*100,1)</f>
        <v>99.2</v>
      </c>
      <c r="L145" s="2157"/>
      <c r="M145" s="2155"/>
      <c r="N145" s="2155"/>
      <c r="O145" s="2155"/>
      <c r="P145" s="2155"/>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c r="A147" s="2155"/>
      <c r="B147" s="1935" t="s">
        <v>2263</v>
      </c>
      <c r="L147" s="2157"/>
      <c r="M147" s="2155"/>
      <c r="N147" s="2155"/>
      <c r="O147" s="2155"/>
      <c r="P147" s="2155"/>
      <c r="Q147" s="2155"/>
      <c r="R147" s="2155"/>
      <c r="S147" s="2155"/>
      <c r="T147" s="2155"/>
      <c r="U147" s="2155"/>
      <c r="V147" s="2155"/>
      <c r="W147" s="2155"/>
      <c r="X147" s="2155"/>
      <c r="Y147" s="2155"/>
      <c r="Z147" s="2155"/>
      <c r="AA147" s="2155"/>
      <c r="AB147" s="2155"/>
      <c r="AC147" s="2155"/>
    </row>
    <row r="148" spans="1:29">
      <c r="A148" s="2155"/>
      <c r="B148" s="1935" t="s">
        <v>2264</v>
      </c>
      <c r="L148" s="2157"/>
      <c r="M148" s="2155"/>
      <c r="N148" s="2155"/>
      <c r="O148" s="2155"/>
      <c r="P148" s="2155"/>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c r="A256" s="2155"/>
      <c r="B256" s="2155"/>
      <c r="C256" s="2155"/>
      <c r="D256" s="2155"/>
      <c r="E256" s="2155"/>
      <c r="F256" s="2155"/>
      <c r="G256" s="2155"/>
      <c r="H256" s="2155"/>
      <c r="I256" s="2155"/>
      <c r="J256" s="2155"/>
      <c r="K256" s="2156"/>
      <c r="L256" s="2157"/>
      <c r="M256" s="2155"/>
      <c r="N256" s="2155"/>
      <c r="O256" s="2155"/>
      <c r="P256" s="2155"/>
      <c r="Q256" s="2155"/>
      <c r="R256" s="2155"/>
      <c r="S256" s="2155"/>
      <c r="T256" s="2155"/>
      <c r="U256" s="2155"/>
      <c r="V256" s="2155"/>
      <c r="W256" s="2155"/>
      <c r="X256" s="2155"/>
      <c r="Y256" s="2155"/>
      <c r="Z256" s="2155"/>
      <c r="AA256" s="2155"/>
      <c r="AB256" s="2155"/>
      <c r="AC256" s="2155"/>
    </row>
    <row r="257" spans="1:29">
      <c r="A257" s="2155"/>
      <c r="B257" s="2155"/>
      <c r="C257" s="2155"/>
      <c r="D257" s="2155"/>
      <c r="E257" s="2155"/>
      <c r="F257" s="2155"/>
      <c r="G257" s="2155"/>
      <c r="H257" s="2155"/>
      <c r="I257" s="2155"/>
      <c r="J257" s="2155"/>
      <c r="K257" s="2156"/>
      <c r="L257" s="2157"/>
      <c r="M257" s="2155"/>
      <c r="N257" s="2155"/>
      <c r="O257" s="2155"/>
      <c r="P257" s="2155"/>
      <c r="Q257" s="2155"/>
      <c r="R257" s="2155"/>
      <c r="S257" s="2155"/>
      <c r="T257" s="2155"/>
      <c r="U257" s="2155"/>
      <c r="V257" s="2155"/>
      <c r="W257" s="2155"/>
      <c r="X257" s="2155"/>
      <c r="Y257" s="2155"/>
      <c r="Z257" s="2155"/>
      <c r="AA257" s="2155"/>
      <c r="AB257" s="2155"/>
      <c r="AC257" s="2155"/>
    </row>
    <row r="258" spans="1:29">
      <c r="A258" s="2155"/>
      <c r="B258" s="2155"/>
      <c r="C258" s="2155"/>
      <c r="D258" s="2155"/>
      <c r="E258" s="2155"/>
      <c r="F258" s="2155"/>
      <c r="G258" s="2155"/>
      <c r="H258" s="2155"/>
      <c r="I258" s="2155"/>
      <c r="J258" s="2155"/>
      <c r="K258" s="2156"/>
      <c r="L258" s="2157"/>
      <c r="M258" s="2155"/>
      <c r="N258" s="2155"/>
      <c r="O258" s="2155"/>
      <c r="P258" s="2155"/>
      <c r="Q258" s="2155"/>
      <c r="R258" s="2155"/>
      <c r="S258" s="2155"/>
      <c r="T258" s="2155"/>
      <c r="U258" s="2155"/>
      <c r="V258" s="2155"/>
      <c r="W258" s="2155"/>
      <c r="X258" s="2155"/>
      <c r="Y258" s="2155"/>
      <c r="Z258" s="2155"/>
      <c r="AA258" s="2155"/>
      <c r="AB258" s="2155"/>
      <c r="AC258" s="2155"/>
    </row>
    <row r="259" spans="1:29">
      <c r="A259" s="2155"/>
      <c r="B259" s="2155"/>
      <c r="C259" s="2155"/>
      <c r="D259" s="2155"/>
      <c r="E259" s="2155"/>
      <c r="F259" s="2155"/>
      <c r="G259" s="2155"/>
      <c r="H259" s="2155"/>
      <c r="I259" s="2155"/>
      <c r="J259" s="2155"/>
      <c r="K259" s="2156"/>
      <c r="L259" s="2157"/>
      <c r="M259" s="2155"/>
      <c r="N259" s="2155"/>
      <c r="O259" s="2155"/>
      <c r="P259" s="2155"/>
      <c r="Q259" s="2155"/>
      <c r="R259" s="2155"/>
      <c r="S259" s="2155"/>
      <c r="T259" s="2155"/>
      <c r="U259" s="2155"/>
      <c r="V259" s="2155"/>
      <c r="W259" s="2155"/>
      <c r="X259" s="2155"/>
      <c r="Y259" s="2155"/>
      <c r="Z259" s="2155"/>
      <c r="AA259" s="2155"/>
      <c r="AB259" s="2155"/>
      <c r="AC259" s="2155"/>
    </row>
    <row r="260" spans="1:29">
      <c r="A260" s="2155"/>
      <c r="B260" s="2155"/>
      <c r="C260" s="2155"/>
      <c r="D260" s="2155"/>
      <c r="E260" s="2155"/>
      <c r="F260" s="2155"/>
      <c r="G260" s="2155"/>
      <c r="H260" s="2155"/>
      <c r="I260" s="2155"/>
      <c r="J260" s="2155"/>
      <c r="K260" s="2156"/>
      <c r="L260" s="2157"/>
      <c r="M260" s="2155"/>
      <c r="N260" s="2155"/>
      <c r="O260" s="2155"/>
      <c r="P260" s="2155"/>
      <c r="Q260" s="2155"/>
      <c r="R260" s="2155"/>
      <c r="S260" s="2155"/>
      <c r="T260" s="2155"/>
      <c r="U260" s="2155"/>
      <c r="V260" s="2155"/>
      <c r="W260" s="2155"/>
      <c r="X260" s="2155"/>
      <c r="Y260" s="2155"/>
      <c r="Z260" s="2155"/>
      <c r="AA260" s="2155"/>
      <c r="AB260" s="2155"/>
      <c r="AC260" s="2155"/>
    </row>
    <row r="261" spans="1:29">
      <c r="A261" s="2155"/>
      <c r="B261" s="2155"/>
      <c r="C261" s="2155"/>
      <c r="D261" s="2155"/>
      <c r="E261" s="2155"/>
      <c r="F261" s="2155"/>
      <c r="G261" s="2155"/>
      <c r="H261" s="2155"/>
      <c r="I261" s="2155"/>
      <c r="J261" s="2155"/>
      <c r="K261" s="2156"/>
      <c r="L261" s="2157"/>
      <c r="M261" s="2155"/>
      <c r="N261" s="2155"/>
      <c r="O261" s="2155"/>
      <c r="P261" s="2155"/>
      <c r="Q261" s="2155"/>
      <c r="R261" s="2155"/>
      <c r="S261" s="2155"/>
      <c r="T261" s="2155"/>
      <c r="U261" s="2155"/>
      <c r="V261" s="2155"/>
      <c r="W261" s="2155"/>
      <c r="X261" s="2155"/>
      <c r="Y261" s="2155"/>
      <c r="Z261" s="2155"/>
      <c r="AA261" s="2155"/>
      <c r="AB261" s="2155"/>
      <c r="AC261" s="2155"/>
    </row>
    <row r="262" spans="1:29">
      <c r="A262" s="2155"/>
      <c r="B262" s="2155"/>
      <c r="C262" s="2155"/>
      <c r="D262" s="2155"/>
      <c r="E262" s="2155"/>
      <c r="F262" s="2155"/>
      <c r="G262" s="2155"/>
      <c r="H262" s="2155"/>
      <c r="I262" s="2155"/>
      <c r="J262" s="2155"/>
      <c r="K262" s="2156"/>
      <c r="L262" s="2157"/>
      <c r="M262" s="2155"/>
      <c r="N262" s="2155"/>
      <c r="O262" s="2155"/>
      <c r="P262" s="2155"/>
      <c r="Q262" s="2155"/>
      <c r="R262" s="2155"/>
      <c r="S262" s="2155"/>
      <c r="T262" s="2155"/>
      <c r="U262" s="2155"/>
      <c r="V262" s="2155"/>
      <c r="W262" s="2155"/>
      <c r="X262" s="2155"/>
      <c r="Y262" s="2155"/>
      <c r="Z262" s="2155"/>
      <c r="AA262" s="2155"/>
      <c r="AB262" s="2155"/>
      <c r="AC262" s="2155"/>
    </row>
    <row r="263" spans="1:29">
      <c r="A263" s="2155"/>
      <c r="B263" s="2155"/>
      <c r="C263" s="2155"/>
      <c r="D263" s="2155"/>
      <c r="E263" s="2155"/>
      <c r="F263" s="2155"/>
      <c r="G263" s="2155"/>
      <c r="H263" s="2155"/>
      <c r="I263" s="2155"/>
      <c r="J263" s="2155"/>
      <c r="K263" s="2156"/>
      <c r="L263" s="2157"/>
      <c r="M263" s="2155"/>
      <c r="N263" s="2155"/>
      <c r="O263" s="2155"/>
      <c r="P263" s="2155"/>
      <c r="Q263" s="2155"/>
      <c r="R263" s="2155"/>
      <c r="S263" s="2155"/>
      <c r="T263" s="2155"/>
      <c r="U263" s="2155"/>
      <c r="V263" s="2155"/>
      <c r="W263" s="2155"/>
      <c r="X263" s="2155"/>
      <c r="Y263" s="2155"/>
      <c r="Z263" s="2155"/>
      <c r="AA263" s="2155"/>
      <c r="AB263" s="2155"/>
      <c r="AC263" s="2155"/>
    </row>
    <row r="264" spans="1:29">
      <c r="A264" s="2155"/>
      <c r="B264" s="2155"/>
      <c r="C264" s="2155"/>
      <c r="D264" s="2155"/>
      <c r="E264" s="2155"/>
      <c r="F264" s="2155"/>
      <c r="G264" s="2155"/>
      <c r="H264" s="2155"/>
      <c r="I264" s="2155"/>
      <c r="J264" s="2155"/>
      <c r="K264" s="2156"/>
      <c r="L264" s="2157"/>
      <c r="M264" s="2155"/>
      <c r="N264" s="2155"/>
      <c r="O264" s="2155"/>
      <c r="P264" s="2155"/>
      <c r="Q264" s="2155"/>
      <c r="R264" s="2155"/>
      <c r="S264" s="2155"/>
      <c r="T264" s="2155"/>
      <c r="U264" s="2155"/>
      <c r="V264" s="2155"/>
      <c r="W264" s="2155"/>
      <c r="X264" s="2155"/>
      <c r="Y264" s="2155"/>
      <c r="Z264" s="2155"/>
      <c r="AA264" s="2155"/>
      <c r="AB264" s="2155"/>
      <c r="AC264" s="2155"/>
    </row>
    <row r="265" spans="1:29">
      <c r="A265" s="2155"/>
      <c r="B265" s="2155"/>
      <c r="C265" s="2155"/>
      <c r="D265" s="2155"/>
      <c r="E265" s="2155"/>
      <c r="F265" s="2155"/>
      <c r="G265" s="2155"/>
      <c r="H265" s="2155"/>
      <c r="I265" s="2155"/>
      <c r="J265" s="2155"/>
      <c r="K265" s="2156"/>
      <c r="L265" s="2157"/>
      <c r="M265" s="2155"/>
      <c r="N265" s="2155"/>
      <c r="O265" s="2155"/>
      <c r="P265" s="2155"/>
      <c r="Q265" s="2155"/>
      <c r="R265" s="2155"/>
      <c r="S265" s="2155"/>
      <c r="T265" s="2155"/>
      <c r="U265" s="2155"/>
      <c r="V265" s="2155"/>
      <c r="W265" s="2155"/>
      <c r="X265" s="2155"/>
      <c r="Y265" s="2155"/>
      <c r="Z265" s="2155"/>
      <c r="AA265" s="2155"/>
      <c r="AB265" s="2155"/>
      <c r="AC265" s="2155"/>
    </row>
    <row r="266" spans="1:29">
      <c r="A266" s="2155"/>
      <c r="B266" s="2155"/>
      <c r="C266" s="2155"/>
      <c r="D266" s="2155"/>
      <c r="E266" s="2155"/>
      <c r="F266" s="2155"/>
      <c r="G266" s="2155"/>
      <c r="H266" s="2155"/>
      <c r="I266" s="2155"/>
      <c r="J266" s="2155"/>
      <c r="K266" s="2156"/>
      <c r="L266" s="2157"/>
      <c r="M266" s="2155"/>
      <c r="N266" s="2155"/>
      <c r="O266" s="2155"/>
      <c r="P266" s="2155"/>
      <c r="Q266" s="2155"/>
      <c r="R266" s="2155"/>
      <c r="S266" s="2155"/>
      <c r="T266" s="2155"/>
      <c r="U266" s="2155"/>
      <c r="V266" s="2155"/>
      <c r="W266" s="2155"/>
      <c r="X266" s="2155"/>
      <c r="Y266" s="2155"/>
      <c r="Z266" s="2155"/>
      <c r="AA266" s="2155"/>
      <c r="AB266" s="2155"/>
      <c r="AC266" s="2155"/>
    </row>
    <row r="267" spans="1:29">
      <c r="A267" s="2155"/>
      <c r="B267" s="2155"/>
      <c r="C267" s="2155"/>
      <c r="D267" s="2155"/>
      <c r="E267" s="2155"/>
      <c r="F267" s="2155"/>
      <c r="G267" s="2155"/>
      <c r="H267" s="2155"/>
      <c r="I267" s="2155"/>
      <c r="J267" s="2155"/>
      <c r="K267" s="2156"/>
      <c r="L267" s="2157"/>
      <c r="M267" s="2155"/>
      <c r="N267" s="2155"/>
      <c r="O267" s="2155"/>
      <c r="P267" s="2155"/>
      <c r="Q267" s="2155"/>
      <c r="R267" s="2155"/>
      <c r="S267" s="2155"/>
      <c r="T267" s="2155"/>
      <c r="U267" s="2155"/>
      <c r="V267" s="2155"/>
      <c r="W267" s="2155"/>
      <c r="X267" s="2155"/>
      <c r="Y267" s="2155"/>
      <c r="Z267" s="2155"/>
      <c r="AA267" s="2155"/>
      <c r="AB267" s="2155"/>
      <c r="AC267" s="2155"/>
    </row>
    <row r="268" spans="1:29">
      <c r="A268" s="2155"/>
      <c r="B268" s="2155"/>
      <c r="C268" s="2155"/>
      <c r="D268" s="2155"/>
      <c r="E268" s="2155"/>
      <c r="F268" s="2155"/>
      <c r="G268" s="2155"/>
      <c r="H268" s="2155"/>
      <c r="I268" s="2155"/>
      <c r="J268" s="2155"/>
      <c r="K268" s="2156"/>
      <c r="L268" s="2157"/>
      <c r="M268" s="2155"/>
      <c r="N268" s="2155"/>
      <c r="O268" s="2155"/>
      <c r="P268" s="2155"/>
      <c r="Q268" s="2155"/>
      <c r="R268" s="2155"/>
      <c r="S268" s="2155"/>
      <c r="T268" s="2155"/>
      <c r="U268" s="2155"/>
      <c r="V268" s="2155"/>
      <c r="W268" s="2155"/>
      <c r="X268" s="2155"/>
      <c r="Y268" s="2155"/>
      <c r="Z268" s="2155"/>
      <c r="AA268" s="2155"/>
      <c r="AB268" s="2155"/>
      <c r="AC268" s="215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57" priority="15" stopIfTrue="1" operator="containsText" text="超过">
      <formula>NOT(ISERROR(SEARCH("超过",F52)))</formula>
    </cfRule>
  </conditionalFormatting>
  <conditionalFormatting sqref="J54">
    <cfRule type="containsText" dxfId="56" priority="14" stopIfTrue="1" operator="containsText" text="超过">
      <formula>NOT(ISERROR(SEARCH("超过",J54)))</formula>
    </cfRule>
  </conditionalFormatting>
  <conditionalFormatting sqref="H54">
    <cfRule type="containsText" dxfId="55" priority="13" stopIfTrue="1" operator="containsText" text="超过">
      <formula>NOT(ISERROR(SEARCH("超过",H54)))</formula>
    </cfRule>
  </conditionalFormatting>
  <conditionalFormatting sqref="F54">
    <cfRule type="containsText" dxfId="54" priority="12" stopIfTrue="1" operator="containsText" text="超过">
      <formula>NOT(ISERROR(SEARCH("超过",F54)))</formula>
    </cfRule>
  </conditionalFormatting>
  <conditionalFormatting sqref="F53 H53 J53">
    <cfRule type="containsText" dxfId="53" priority="11" stopIfTrue="1" operator="containsText" text="超过">
      <formula>NOT(ISERROR(SEARCH("超过",F53)))</formula>
    </cfRule>
  </conditionalFormatting>
  <conditionalFormatting sqref="E52">
    <cfRule type="expression" dxfId="52" priority="10" stopIfTrue="1">
      <formula>$F$52="超过30%"</formula>
    </cfRule>
  </conditionalFormatting>
  <conditionalFormatting sqref="G54">
    <cfRule type="expression" dxfId="51" priority="8" stopIfTrue="1">
      <formula>$H$54="超过30%"</formula>
    </cfRule>
  </conditionalFormatting>
  <conditionalFormatting sqref="E53">
    <cfRule type="expression" dxfId="50" priority="7" stopIfTrue="1">
      <formula>$F$53="超过20%"</formula>
    </cfRule>
  </conditionalFormatting>
  <conditionalFormatting sqref="E54">
    <cfRule type="expression" dxfId="49" priority="6" stopIfTrue="1">
      <formula>$F$54="超过30%"</formula>
    </cfRule>
  </conditionalFormatting>
  <conditionalFormatting sqref="G52">
    <cfRule type="expression" dxfId="48" priority="5" stopIfTrue="1">
      <formula>$H$52="超过30%"</formula>
    </cfRule>
  </conditionalFormatting>
  <conditionalFormatting sqref="G53">
    <cfRule type="expression" dxfId="47" priority="4" stopIfTrue="1">
      <formula>$H$53="超过20%"</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3" customWidth="1"/>
    <col min="2" max="2" width="15.625" style="1323" customWidth="1"/>
    <col min="3" max="3" width="14.375" style="1323" customWidth="1"/>
    <col min="4" max="4" width="12.125" style="1323" customWidth="1"/>
    <col min="5" max="5" width="14.375" style="1323" customWidth="1"/>
    <col min="6" max="6" width="12.125" style="1323" customWidth="1"/>
    <col min="7" max="7" width="14.5" style="1323" customWidth="1"/>
    <col min="8" max="8" width="12.125" style="1323" customWidth="1"/>
    <col min="9" max="9" width="14.5" style="1323" customWidth="1"/>
    <col min="10" max="10" width="12.125" style="1323" customWidth="1"/>
    <col min="11" max="11" width="12.125" style="1329" customWidth="1"/>
    <col min="12" max="12" width="12.125" style="1330" customWidth="1"/>
    <col min="13" max="15" width="12.125" style="1323" customWidth="1"/>
    <col min="16" max="16" width="4.625" style="1323" customWidth="1"/>
    <col min="17" max="17" width="19.5" style="1323" customWidth="1"/>
    <col min="18" max="22" width="6.125" style="1323" customWidth="1"/>
    <col min="23" max="23" width="5.625" style="1323" customWidth="1"/>
    <col min="24" max="24" width="4.125" style="1323" customWidth="1"/>
    <col min="25" max="25" width="3.5" style="1323" customWidth="1"/>
    <col min="26" max="26" width="19.625" style="1323" customWidth="1"/>
    <col min="27" max="28" width="9.375" style="1323" customWidth="1"/>
    <col min="29" max="16384" width="9" style="1323"/>
  </cols>
  <sheetData>
    <row r="1" spans="1:29" s="1322" customFormat="1" ht="28.5" customHeight="1">
      <c r="A1" s="502" t="s">
        <v>717</v>
      </c>
      <c r="B1" s="503" t="s">
        <v>766</v>
      </c>
      <c r="C1" s="504" t="s">
        <v>719</v>
      </c>
      <c r="D1" s="849"/>
      <c r="E1" s="506"/>
      <c r="F1" s="2737"/>
      <c r="G1" s="1577" t="s">
        <v>720</v>
      </c>
      <c r="H1" s="506"/>
      <c r="I1" s="506"/>
      <c r="J1" s="506"/>
      <c r="K1" s="507"/>
      <c r="L1" s="1539"/>
      <c r="M1" s="1540"/>
      <c r="N1" s="1540"/>
      <c r="O1" s="1540"/>
      <c r="P1" s="1541"/>
      <c r="Q1" s="1541"/>
      <c r="R1" s="1541"/>
      <c r="S1" s="1541"/>
      <c r="T1" s="1541"/>
      <c r="U1" s="1541"/>
      <c r="V1" s="1541"/>
      <c r="W1" s="1541"/>
      <c r="X1" s="1541"/>
      <c r="Y1" s="1541"/>
      <c r="Z1" s="1541"/>
      <c r="AA1" s="1541"/>
      <c r="AB1" s="1541"/>
      <c r="AC1" s="428"/>
    </row>
    <row r="2" spans="1:29" s="1322" customFormat="1" ht="28.5" customHeight="1">
      <c r="A2" s="423" t="s">
        <v>466</v>
      </c>
      <c r="B2" s="850" t="e">
        <f>ROUND(B3*D3/10000,0)</f>
        <v>#DIV/0!</v>
      </c>
      <c r="C2" s="2103"/>
      <c r="D2" s="2103"/>
      <c r="E2" s="2104"/>
      <c r="F2" s="2105"/>
      <c r="G2" s="2104"/>
      <c r="H2" s="2104"/>
      <c r="I2" s="2104"/>
      <c r="J2" s="2104"/>
      <c r="K2" s="2104"/>
      <c r="L2" s="2107"/>
      <c r="M2" s="2108"/>
      <c r="N2" s="2108"/>
      <c r="O2" s="2108"/>
      <c r="P2" s="1541"/>
      <c r="Q2" s="1541"/>
      <c r="R2" s="1541"/>
      <c r="S2" s="1541"/>
      <c r="T2" s="1541"/>
      <c r="U2" s="1541"/>
      <c r="V2" s="1541"/>
      <c r="W2" s="1541"/>
      <c r="X2" s="1541"/>
      <c r="Y2" s="1541"/>
      <c r="Z2" s="1541"/>
      <c r="AA2" s="1541"/>
      <c r="AB2" s="1541"/>
      <c r="AC2" s="428"/>
    </row>
    <row r="3" spans="1:29" s="1322" customFormat="1" ht="28.5" customHeight="1" thickBot="1">
      <c r="A3" s="509" t="s">
        <v>518</v>
      </c>
      <c r="B3" s="510" t="e">
        <f>C43</f>
        <v>#DIV/0!</v>
      </c>
      <c r="C3" s="852" t="s">
        <v>721</v>
      </c>
      <c r="D3" s="851">
        <f>SUMIF('数据-汇总表'!$C19:$C33,D1,'数据-汇总表'!$E19:$E33)</f>
        <v>0</v>
      </c>
      <c r="E3" s="2104"/>
      <c r="F3" s="2105"/>
      <c r="G3" s="2104"/>
      <c r="H3" s="2104"/>
      <c r="I3" s="2104"/>
      <c r="J3" s="2104"/>
      <c r="K3" s="2106"/>
      <c r="L3" s="2107"/>
      <c r="M3" s="2108"/>
      <c r="N3" s="2108"/>
      <c r="O3" s="2108"/>
      <c r="P3" s="1541"/>
      <c r="Q3" s="1541"/>
      <c r="R3" s="1541"/>
      <c r="S3" s="1541"/>
      <c r="T3" s="1541"/>
      <c r="U3" s="1541"/>
      <c r="V3" s="1541"/>
      <c r="W3" s="1541"/>
      <c r="X3" s="1541"/>
      <c r="Y3" s="1541"/>
      <c r="Z3" s="1541"/>
      <c r="AA3" s="1541"/>
      <c r="AB3" s="1543"/>
      <c r="AC3" s="428"/>
    </row>
    <row r="4" spans="1:29" ht="15">
      <c r="A4" s="512" t="s">
        <v>520</v>
      </c>
      <c r="B4" s="513"/>
      <c r="C4" s="3795" t="s">
        <v>521</v>
      </c>
      <c r="D4" s="3796"/>
      <c r="E4" s="3819" t="s">
        <v>522</v>
      </c>
      <c r="F4" s="3820"/>
      <c r="G4" s="3795" t="s">
        <v>523</v>
      </c>
      <c r="H4" s="3796"/>
      <c r="I4" s="3795" t="s">
        <v>524</v>
      </c>
      <c r="J4" s="3796"/>
      <c r="K4" s="514" t="s">
        <v>525</v>
      </c>
      <c r="L4" s="2109"/>
      <c r="M4" s="2110"/>
      <c r="N4" s="2110"/>
      <c r="O4" s="2110"/>
      <c r="P4" s="3797" t="s">
        <v>526</v>
      </c>
      <c r="Q4" s="3798"/>
      <c r="R4" s="3783" t="s">
        <v>522</v>
      </c>
      <c r="S4" s="3784"/>
      <c r="T4" s="3783" t="s">
        <v>523</v>
      </c>
      <c r="U4" s="3784"/>
      <c r="V4" s="3803" t="s">
        <v>524</v>
      </c>
      <c r="W4" s="3803"/>
      <c r="X4" s="1544"/>
      <c r="Y4" s="3783" t="s">
        <v>526</v>
      </c>
      <c r="Z4" s="3784"/>
      <c r="AA4" s="3778" t="s">
        <v>522</v>
      </c>
      <c r="AB4" s="3779" t="s">
        <v>523</v>
      </c>
      <c r="AC4" s="3778" t="s">
        <v>524</v>
      </c>
    </row>
    <row r="5" spans="1:29" ht="15">
      <c r="A5" s="515"/>
      <c r="B5" s="516"/>
      <c r="C5" s="3806" t="s">
        <v>2905</v>
      </c>
      <c r="D5" s="3807"/>
      <c r="E5" s="3821" t="s">
        <v>2906</v>
      </c>
      <c r="F5" s="3822"/>
      <c r="G5" s="3806" t="s">
        <v>2907</v>
      </c>
      <c r="H5" s="3807"/>
      <c r="I5" s="3806" t="s">
        <v>2908</v>
      </c>
      <c r="J5" s="3807"/>
      <c r="K5" s="514"/>
      <c r="L5" s="2109"/>
      <c r="M5" s="2110"/>
      <c r="N5" s="2110"/>
      <c r="O5" s="2110"/>
      <c r="P5" s="3799"/>
      <c r="Q5" s="3800"/>
      <c r="R5" s="3785"/>
      <c r="S5" s="3786"/>
      <c r="T5" s="3785"/>
      <c r="U5" s="3786"/>
      <c r="V5" s="3803"/>
      <c r="W5" s="3803"/>
      <c r="X5" s="1544"/>
      <c r="Y5" s="3785"/>
      <c r="Z5" s="3786"/>
      <c r="AA5" s="3779"/>
      <c r="AB5" s="3779"/>
      <c r="AC5" s="3779"/>
    </row>
    <row r="6" spans="1:29" ht="15.75" thickBot="1">
      <c r="A6" s="517"/>
      <c r="B6" s="518"/>
      <c r="C6" s="3804" t="s">
        <v>2909</v>
      </c>
      <c r="D6" s="3805"/>
      <c r="E6" s="3823" t="s">
        <v>2909</v>
      </c>
      <c r="F6" s="3824"/>
      <c r="G6" s="3804" t="s">
        <v>2909</v>
      </c>
      <c r="H6" s="3805"/>
      <c r="I6" s="3804" t="s">
        <v>2909</v>
      </c>
      <c r="J6" s="3805"/>
      <c r="K6" s="514" t="s">
        <v>527</v>
      </c>
      <c r="L6" s="2109"/>
      <c r="M6" s="2110"/>
      <c r="N6" s="2110"/>
      <c r="O6" s="2110"/>
      <c r="P6" s="3801"/>
      <c r="Q6" s="3802"/>
      <c r="R6" s="3785"/>
      <c r="S6" s="3786"/>
      <c r="T6" s="3787"/>
      <c r="U6" s="3788"/>
      <c r="V6" s="3803"/>
      <c r="W6" s="3803"/>
      <c r="X6" s="1544"/>
      <c r="Y6" s="3787"/>
      <c r="Z6" s="3788"/>
      <c r="AA6" s="3780"/>
      <c r="AB6" s="3780"/>
      <c r="AC6" s="3780"/>
    </row>
    <row r="7" spans="1:29" s="1206" customFormat="1" ht="15.75" thickBot="1">
      <c r="A7" s="2842"/>
      <c r="B7" s="2849" t="s">
        <v>528</v>
      </c>
      <c r="C7" s="519">
        <f>'数据-取费表'!B2</f>
        <v>43933</v>
      </c>
      <c r="D7" s="520">
        <v>100</v>
      </c>
      <c r="E7" s="521"/>
      <c r="F7" s="522">
        <f>SUMIF(52:52,YEAR(E7)&amp;"-"&amp;MONTH(E7),53:53)</f>
        <v>0</v>
      </c>
      <c r="G7" s="521"/>
      <c r="H7" s="520">
        <f>SUMIF(52:52,YEAR(G7)&amp;"-"&amp;MONTH(G7),53:53)</f>
        <v>0</v>
      </c>
      <c r="I7" s="521"/>
      <c r="J7" s="520">
        <f>SUMIF(52:52,YEAR(I7)&amp;"-"&amp;MONTH(I7),53:53)</f>
        <v>0</v>
      </c>
      <c r="K7" s="524"/>
      <c r="L7" s="2111"/>
      <c r="M7" s="2112"/>
      <c r="N7" s="2112"/>
      <c r="O7" s="2112"/>
      <c r="P7" s="3781" t="s">
        <v>529</v>
      </c>
      <c r="Q7" s="3790"/>
      <c r="R7" s="1545" t="s">
        <v>8</v>
      </c>
      <c r="S7" s="1546">
        <f t="shared" ref="S7:S15" si="0">F7</f>
        <v>0</v>
      </c>
      <c r="T7" s="1545" t="s">
        <v>8</v>
      </c>
      <c r="U7" s="1546">
        <f t="shared" ref="U7:U15" si="1">H7</f>
        <v>0</v>
      </c>
      <c r="V7" s="1545" t="s">
        <v>8</v>
      </c>
      <c r="W7" s="1546">
        <f t="shared" ref="W7:W15" si="2">J7</f>
        <v>0</v>
      </c>
      <c r="X7" s="1547"/>
      <c r="Y7" s="3781" t="s">
        <v>529</v>
      </c>
      <c r="Z7" s="3782"/>
      <c r="AA7" s="1548" t="e">
        <f>D7/F7</f>
        <v>#DIV/0!</v>
      </c>
      <c r="AB7" s="1548" t="e">
        <f>D7/H7</f>
        <v>#DIV/0!</v>
      </c>
      <c r="AC7" s="1548" t="e">
        <f>D7/J7</f>
        <v>#DIV/0!</v>
      </c>
    </row>
    <row r="8" spans="1:29" s="1206" customFormat="1" ht="15.75" thickBot="1">
      <c r="A8" s="2843"/>
      <c r="B8" s="2850" t="s">
        <v>530</v>
      </c>
      <c r="C8" s="525" t="s">
        <v>575</v>
      </c>
      <c r="D8" s="520">
        <v>100</v>
      </c>
      <c r="E8" s="525"/>
      <c r="F8" s="522">
        <f>SUMIF(55:55,E8,56:56)-SUMIF(55:55,C8,56:56)+100</f>
        <v>0</v>
      </c>
      <c r="G8" s="525"/>
      <c r="H8" s="520">
        <f>SUMIF(55:55,G8,56:56)-SUMIF(55:55,C8,56:56)+100</f>
        <v>0</v>
      </c>
      <c r="I8" s="525"/>
      <c r="J8" s="520">
        <f>SUMIF(55:55,I8,56:56)-SUMIF(55:55,C8,56:56)+100</f>
        <v>0</v>
      </c>
      <c r="K8" s="524"/>
      <c r="L8" s="2111"/>
      <c r="M8" s="2112"/>
      <c r="N8" s="2112"/>
      <c r="O8" s="2112"/>
      <c r="P8" s="3781" t="s">
        <v>532</v>
      </c>
      <c r="Q8" s="3782"/>
      <c r="R8" s="1545" t="s">
        <v>8</v>
      </c>
      <c r="S8" s="1546">
        <f t="shared" si="0"/>
        <v>0</v>
      </c>
      <c r="T8" s="1545" t="s">
        <v>8</v>
      </c>
      <c r="U8" s="1546">
        <f t="shared" si="1"/>
        <v>0</v>
      </c>
      <c r="V8" s="1545" t="s">
        <v>8</v>
      </c>
      <c r="W8" s="1546">
        <f t="shared" si="2"/>
        <v>0</v>
      </c>
      <c r="X8" s="1547"/>
      <c r="Y8" s="3781" t="s">
        <v>532</v>
      </c>
      <c r="Z8" s="3782"/>
      <c r="AA8" s="1548" t="e">
        <f t="shared" ref="AA8:AA40" si="3">D8/F8</f>
        <v>#DIV/0!</v>
      </c>
      <c r="AB8" s="1548" t="e">
        <f t="shared" ref="AB8:AB40" si="4">D8/H8</f>
        <v>#DIV/0!</v>
      </c>
      <c r="AC8" s="1548" t="e">
        <f t="shared" ref="AC8:AC40" si="5">D8/J8</f>
        <v>#DIV/0!</v>
      </c>
    </row>
    <row r="9" spans="1:29" s="1206" customFormat="1" ht="15">
      <c r="A9" s="2844"/>
      <c r="B9" s="2851" t="s">
        <v>2730</v>
      </c>
      <c r="C9" s="857"/>
      <c r="D9" s="254">
        <v>100</v>
      </c>
      <c r="E9" s="860"/>
      <c r="F9" s="254">
        <f>SUMIF(57:57,E9,58:58)-SUMIF(57:57,C9,58:58)+100</f>
        <v>100</v>
      </c>
      <c r="G9" s="858"/>
      <c r="H9" s="254">
        <f>SUMIF(57:57,G9,58:58)-SUMIF(57:57,C9,58:58)+100</f>
        <v>100</v>
      </c>
      <c r="I9" s="858"/>
      <c r="J9" s="254">
        <f>SUMIF(57:57,I9,58:58)-SUMIF(57:57,C9,58:58)+100</f>
        <v>100</v>
      </c>
      <c r="K9" s="524"/>
      <c r="L9" s="2111"/>
      <c r="M9" s="2112"/>
      <c r="N9" s="2112"/>
      <c r="O9" s="2113"/>
      <c r="P9" s="3789" t="s">
        <v>534</v>
      </c>
      <c r="Q9" s="1138" t="str">
        <f t="shared" ref="Q9:Q15" si="6">B9</f>
        <v>用途</v>
      </c>
      <c r="R9" s="1545" t="s">
        <v>8</v>
      </c>
      <c r="S9" s="1546">
        <f t="shared" si="0"/>
        <v>100</v>
      </c>
      <c r="T9" s="1545" t="s">
        <v>8</v>
      </c>
      <c r="U9" s="1546">
        <f t="shared" si="1"/>
        <v>100</v>
      </c>
      <c r="V9" s="1545" t="s">
        <v>8</v>
      </c>
      <c r="W9" s="1546">
        <f t="shared" si="2"/>
        <v>100</v>
      </c>
      <c r="X9" s="1547"/>
      <c r="Y9" s="3746" t="s">
        <v>535</v>
      </c>
      <c r="Z9" s="1137" t="str">
        <f t="shared" ref="Z9:Z15" si="7">Q9</f>
        <v>用途</v>
      </c>
      <c r="AA9" s="1548">
        <f t="shared" si="3"/>
        <v>1</v>
      </c>
      <c r="AB9" s="1548">
        <f t="shared" si="4"/>
        <v>1</v>
      </c>
      <c r="AC9" s="1548">
        <f t="shared" si="5"/>
        <v>1</v>
      </c>
    </row>
    <row r="10" spans="1:29" s="1324" customFormat="1" ht="27">
      <c r="A10" s="2845"/>
      <c r="B10" s="2850" t="s">
        <v>2731</v>
      </c>
      <c r="C10" s="861"/>
      <c r="D10" s="255">
        <v>100</v>
      </c>
      <c r="E10" s="861"/>
      <c r="F10" s="255">
        <f>SUMIF(59:59,E10,60:60)-SUMIF(59:59,C10,60:60)+100</f>
        <v>100</v>
      </c>
      <c r="G10" s="862"/>
      <c r="H10" s="255">
        <f>SUMIF(59:59,G10,60:60)-SUMIF(59:59,C10,60:60)+100</f>
        <v>100</v>
      </c>
      <c r="I10" s="861"/>
      <c r="J10" s="255">
        <f>SUMIF(59:59,I10,60:60)-SUMIF(59:59,C10,60:60)+100</f>
        <v>100</v>
      </c>
      <c r="K10" s="584"/>
      <c r="L10" s="2114"/>
      <c r="M10" s="2154"/>
      <c r="N10" s="2154"/>
      <c r="O10" s="2115"/>
      <c r="P10" s="3789"/>
      <c r="Q10" s="1138" t="str">
        <f t="shared" si="6"/>
        <v>土地使用年限（年）</v>
      </c>
      <c r="R10" s="1545" t="s">
        <v>8</v>
      </c>
      <c r="S10" s="1546">
        <f t="shared" si="0"/>
        <v>100</v>
      </c>
      <c r="T10" s="1545" t="s">
        <v>8</v>
      </c>
      <c r="U10" s="1546">
        <f t="shared" si="1"/>
        <v>100</v>
      </c>
      <c r="V10" s="1545" t="s">
        <v>8</v>
      </c>
      <c r="W10" s="1546">
        <f t="shared" si="2"/>
        <v>100</v>
      </c>
      <c r="X10" s="1547"/>
      <c r="Y10" s="3746"/>
      <c r="Z10" s="1137" t="str">
        <f t="shared" si="7"/>
        <v>土地使用年限（年）</v>
      </c>
      <c r="AA10" s="1548">
        <f t="shared" si="3"/>
        <v>1</v>
      </c>
      <c r="AB10" s="1548">
        <f t="shared" si="4"/>
        <v>1</v>
      </c>
      <c r="AC10" s="1548">
        <f t="shared" si="5"/>
        <v>1</v>
      </c>
    </row>
    <row r="11" spans="1:29" ht="15">
      <c r="A11" s="2846"/>
      <c r="B11" s="2850" t="s">
        <v>2732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16"/>
      <c r="M11" s="2110"/>
      <c r="N11" s="2110"/>
      <c r="O11" s="2117"/>
      <c r="P11" s="3789"/>
      <c r="Q11" s="1138" t="str">
        <f t="shared" si="6"/>
        <v>容积率</v>
      </c>
      <c r="R11" s="1545" t="s">
        <v>8</v>
      </c>
      <c r="S11" s="1546" t="e">
        <f t="shared" si="0"/>
        <v>#N/A</v>
      </c>
      <c r="T11" s="1545" t="s">
        <v>8</v>
      </c>
      <c r="U11" s="1546" t="e">
        <f t="shared" si="1"/>
        <v>#N/A</v>
      </c>
      <c r="V11" s="1545" t="s">
        <v>8</v>
      </c>
      <c r="W11" s="1546" t="e">
        <f t="shared" si="2"/>
        <v>#N/A</v>
      </c>
      <c r="X11" s="1547"/>
      <c r="Y11" s="3746"/>
      <c r="Z11" s="1137" t="str">
        <f t="shared" si="7"/>
        <v>容积率</v>
      </c>
      <c r="AA11" s="1548" t="e">
        <f t="shared" si="3"/>
        <v>#N/A</v>
      </c>
      <c r="AB11" s="1548" t="e">
        <f t="shared" si="4"/>
        <v>#N/A</v>
      </c>
      <c r="AC11" s="1548" t="e">
        <f t="shared" si="5"/>
        <v>#N/A</v>
      </c>
    </row>
    <row r="12" spans="1:29" s="1206" customFormat="1" ht="15">
      <c r="A12" s="2847"/>
      <c r="B12" s="2853">
        <v>111</v>
      </c>
      <c r="C12" s="528"/>
      <c r="D12" s="538">
        <v>100</v>
      </c>
      <c r="E12" s="539"/>
      <c r="F12" s="255">
        <f>SUMIF(64:64,E12,65:65)-SUMIF(64:64,C12,65:65)+100</f>
        <v>100</v>
      </c>
      <c r="G12" s="911"/>
      <c r="H12" s="255">
        <f>SUMIF(64:64,G12,65:65)-SUMIF(64:64,C12,65:65)+100</f>
        <v>100</v>
      </c>
      <c r="I12" s="880"/>
      <c r="J12" s="255">
        <f>SUMIF(64:64,I12,65:65)-SUMIF(64:64,C12,65:65)+100</f>
        <v>100</v>
      </c>
      <c r="K12" s="581"/>
      <c r="L12" s="2111"/>
      <c r="M12" s="2112"/>
      <c r="N12" s="2112"/>
      <c r="O12" s="2113"/>
      <c r="P12" s="3789"/>
      <c r="Q12" s="1138">
        <f t="shared" si="6"/>
        <v>111</v>
      </c>
      <c r="R12" s="1545" t="s">
        <v>8</v>
      </c>
      <c r="S12" s="1546">
        <f t="shared" si="0"/>
        <v>100</v>
      </c>
      <c r="T12" s="1545" t="s">
        <v>8</v>
      </c>
      <c r="U12" s="1546">
        <f t="shared" si="1"/>
        <v>100</v>
      </c>
      <c r="V12" s="1545" t="s">
        <v>8</v>
      </c>
      <c r="W12" s="1546">
        <f t="shared" si="2"/>
        <v>100</v>
      </c>
      <c r="X12" s="1547"/>
      <c r="Y12" s="3746"/>
      <c r="Z12" s="1137">
        <f t="shared" si="7"/>
        <v>111</v>
      </c>
      <c r="AA12" s="1548">
        <f>D12/F12</f>
        <v>1</v>
      </c>
      <c r="AB12" s="1548">
        <f>D12/H12</f>
        <v>1</v>
      </c>
      <c r="AC12" s="1548">
        <f>D12/J12</f>
        <v>1</v>
      </c>
    </row>
    <row r="13" spans="1:29" ht="15">
      <c r="A13" s="2847"/>
      <c r="B13" s="2853">
        <v>111</v>
      </c>
      <c r="C13" s="539"/>
      <c r="D13" s="540">
        <v>100</v>
      </c>
      <c r="E13" s="539"/>
      <c r="F13" s="255">
        <f>SUMIF(66:66,E13,67:67)-SUMIF(66:66,C13,67:67)+100</f>
        <v>100</v>
      </c>
      <c r="G13" s="911"/>
      <c r="H13" s="540">
        <f>SUMIF(66:66,G13,67:67)-SUMIF(66:66,C13,67:67)+100</f>
        <v>100</v>
      </c>
      <c r="I13" s="880"/>
      <c r="J13" s="540">
        <f>SUMIF(66:66,I13,67:67)-SUMIF(66:66,C13,67:67)+100</f>
        <v>100</v>
      </c>
      <c r="K13" s="581"/>
      <c r="L13" s="2118"/>
      <c r="M13" s="2110"/>
      <c r="N13" s="2110"/>
      <c r="O13" s="2117"/>
      <c r="P13" s="3789"/>
      <c r="Q13" s="1138">
        <f t="shared" si="6"/>
        <v>111</v>
      </c>
      <c r="R13" s="1545" t="s">
        <v>8</v>
      </c>
      <c r="S13" s="1546">
        <f t="shared" si="0"/>
        <v>100</v>
      </c>
      <c r="T13" s="1545" t="s">
        <v>8</v>
      </c>
      <c r="U13" s="1546">
        <f t="shared" si="1"/>
        <v>100</v>
      </c>
      <c r="V13" s="1545" t="s">
        <v>8</v>
      </c>
      <c r="W13" s="1546">
        <f t="shared" si="2"/>
        <v>100</v>
      </c>
      <c r="X13" s="1547"/>
      <c r="Y13" s="3746"/>
      <c r="Z13" s="1137">
        <f t="shared" si="7"/>
        <v>111</v>
      </c>
      <c r="AA13" s="1548">
        <f t="shared" si="3"/>
        <v>1</v>
      </c>
      <c r="AB13" s="1548">
        <f t="shared" si="4"/>
        <v>1</v>
      </c>
      <c r="AC13" s="1548">
        <f t="shared" si="5"/>
        <v>1</v>
      </c>
    </row>
    <row r="14" spans="1:29" ht="15.75" thickBot="1">
      <c r="A14" s="2848"/>
      <c r="B14" s="2854">
        <v>111</v>
      </c>
      <c r="C14" s="545"/>
      <c r="D14" s="546">
        <v>100</v>
      </c>
      <c r="E14" s="545"/>
      <c r="F14" s="546">
        <f>SUMIF(68:68,E14,69:69)-SUMIF(68:68,C14,69:69)+100</f>
        <v>100</v>
      </c>
      <c r="G14" s="911"/>
      <c r="H14" s="546">
        <f>SUMIF(68:68,G14,69:69)-SUMIF(68:68,C14,69:69)+100</f>
        <v>100</v>
      </c>
      <c r="I14" s="880"/>
      <c r="J14" s="546">
        <f>SUMIF(68:68,I14,69:69)-SUMIF(68:68,C14,69:69)+100</f>
        <v>100</v>
      </c>
      <c r="K14" s="581"/>
      <c r="L14" s="2118"/>
      <c r="M14" s="2110"/>
      <c r="N14" s="2110"/>
      <c r="O14" s="2117"/>
      <c r="P14" s="3789"/>
      <c r="Q14" s="1138">
        <f t="shared" si="6"/>
        <v>111</v>
      </c>
      <c r="R14" s="1545" t="s">
        <v>8</v>
      </c>
      <c r="S14" s="1546">
        <f t="shared" si="0"/>
        <v>100</v>
      </c>
      <c r="T14" s="1545" t="s">
        <v>8</v>
      </c>
      <c r="U14" s="1546">
        <f t="shared" si="1"/>
        <v>100</v>
      </c>
      <c r="V14" s="1545" t="s">
        <v>8</v>
      </c>
      <c r="W14" s="1546">
        <f t="shared" si="2"/>
        <v>100</v>
      </c>
      <c r="X14" s="1547"/>
      <c r="Y14" s="3746"/>
      <c r="Z14" s="1137">
        <f t="shared" si="7"/>
        <v>111</v>
      </c>
      <c r="AA14" s="1548">
        <f t="shared" si="3"/>
        <v>1</v>
      </c>
      <c r="AB14" s="1548">
        <f t="shared" si="4"/>
        <v>1</v>
      </c>
      <c r="AC14" s="1548">
        <f t="shared" si="5"/>
        <v>1</v>
      </c>
    </row>
    <row r="15" spans="1:29" ht="57">
      <c r="A15" s="2840" t="s">
        <v>2728</v>
      </c>
      <c r="B15" s="166" t="s">
        <v>767</v>
      </c>
      <c r="C15" s="912"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18"/>
      <c r="M15" s="2110"/>
      <c r="N15" s="2110"/>
      <c r="O15" s="2117"/>
      <c r="P15" s="3791" t="s">
        <v>539</v>
      </c>
      <c r="Q15" s="1549" t="str">
        <f t="shared" si="6"/>
        <v>产业集聚程度</v>
      </c>
      <c r="R15" s="1550" t="s">
        <v>8</v>
      </c>
      <c r="S15" s="1551">
        <f t="shared" si="0"/>
        <v>100</v>
      </c>
      <c r="T15" s="1550" t="s">
        <v>8</v>
      </c>
      <c r="U15" s="1551">
        <f t="shared" si="1"/>
        <v>100</v>
      </c>
      <c r="V15" s="1550" t="s">
        <v>8</v>
      </c>
      <c r="W15" s="1551">
        <f t="shared" si="2"/>
        <v>100</v>
      </c>
      <c r="X15" s="1544"/>
      <c r="Y15" s="3791" t="s">
        <v>539</v>
      </c>
      <c r="Z15" s="1552" t="str">
        <f t="shared" si="7"/>
        <v>产业集聚程度</v>
      </c>
      <c r="AA15" s="1553">
        <f t="shared" si="3"/>
        <v>1</v>
      </c>
      <c r="AB15" s="1553">
        <f t="shared" si="4"/>
        <v>1</v>
      </c>
      <c r="AC15" s="1553">
        <f t="shared" si="5"/>
        <v>1</v>
      </c>
    </row>
    <row r="16" spans="1:29" ht="15">
      <c r="A16" s="532"/>
      <c r="B16" s="869"/>
      <c r="C16" s="576"/>
      <c r="D16" s="555"/>
      <c r="E16" s="576"/>
      <c r="F16" s="557"/>
      <c r="G16" s="576"/>
      <c r="H16" s="559"/>
      <c r="I16" s="576"/>
      <c r="J16" s="555"/>
      <c r="K16" s="899"/>
      <c r="L16" s="2118"/>
      <c r="M16" s="2110"/>
      <c r="N16" s="2110"/>
      <c r="O16" s="2117"/>
      <c r="P16" s="3792"/>
      <c r="Q16" s="1549"/>
      <c r="R16" s="1550"/>
      <c r="S16" s="1551"/>
      <c r="T16" s="1550"/>
      <c r="U16" s="1551"/>
      <c r="V16" s="1550"/>
      <c r="W16" s="1551"/>
      <c r="X16" s="1544"/>
      <c r="Y16" s="3792"/>
      <c r="Z16" s="1552"/>
      <c r="AA16" s="1553">
        <v>1</v>
      </c>
      <c r="AB16" s="1553">
        <v>1</v>
      </c>
      <c r="AC16" s="1553">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18"/>
      <c r="M17" s="2110"/>
      <c r="N17" s="2110"/>
      <c r="O17" s="2117"/>
      <c r="P17" s="3792"/>
      <c r="Q17" s="1549" t="str">
        <f>B17</f>
        <v>交通便捷度</v>
      </c>
      <c r="R17" s="1550" t="s">
        <v>8</v>
      </c>
      <c r="S17" s="1551">
        <f>F17</f>
        <v>100</v>
      </c>
      <c r="T17" s="1550" t="s">
        <v>8</v>
      </c>
      <c r="U17" s="1551">
        <f>H17</f>
        <v>100</v>
      </c>
      <c r="V17" s="1550" t="s">
        <v>8</v>
      </c>
      <c r="W17" s="1551">
        <f>J17</f>
        <v>100</v>
      </c>
      <c r="X17" s="1544"/>
      <c r="Y17" s="3792"/>
      <c r="Z17" s="1552" t="str">
        <f>Q17</f>
        <v>交通便捷度</v>
      </c>
      <c r="AA17" s="1553">
        <f t="shared" si="3"/>
        <v>1</v>
      </c>
      <c r="AB17" s="1553">
        <f t="shared" si="4"/>
        <v>1</v>
      </c>
      <c r="AC17" s="1553">
        <f t="shared" si="5"/>
        <v>1</v>
      </c>
    </row>
    <row r="18" spans="1:29" ht="15">
      <c r="A18" s="532"/>
      <c r="B18" s="595"/>
      <c r="C18" s="873"/>
      <c r="D18" s="559"/>
      <c r="E18" s="568"/>
      <c r="F18" s="563"/>
      <c r="G18" s="569"/>
      <c r="H18" s="555"/>
      <c r="I18" s="568"/>
      <c r="J18" s="555"/>
      <c r="K18" s="899"/>
      <c r="L18" s="2118"/>
      <c r="M18" s="2110"/>
      <c r="N18" s="2110"/>
      <c r="O18" s="2117"/>
      <c r="P18" s="3792"/>
      <c r="Q18" s="1549"/>
      <c r="R18" s="1550"/>
      <c r="S18" s="1551"/>
      <c r="T18" s="1550"/>
      <c r="U18" s="1551"/>
      <c r="V18" s="1550"/>
      <c r="W18" s="1551"/>
      <c r="X18" s="1544"/>
      <c r="Y18" s="3792"/>
      <c r="Z18" s="1552"/>
      <c r="AA18" s="1553">
        <v>1</v>
      </c>
      <c r="AB18" s="1553">
        <v>1</v>
      </c>
      <c r="AC18" s="1553">
        <v>1</v>
      </c>
    </row>
    <row r="19" spans="1:29" ht="42.75">
      <c r="A19" s="532"/>
      <c r="B19" s="2542" t="s">
        <v>2521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18"/>
      <c r="M19" s="2110"/>
      <c r="N19" s="2110"/>
      <c r="O19" s="2117"/>
      <c r="P19" s="3792"/>
      <c r="Q19" s="1549" t="str">
        <f>B19</f>
        <v>公共配套设施</v>
      </c>
      <c r="R19" s="1550" t="s">
        <v>8</v>
      </c>
      <c r="S19" s="1551">
        <f>F19</f>
        <v>100</v>
      </c>
      <c r="T19" s="1550" t="s">
        <v>8</v>
      </c>
      <c r="U19" s="1551">
        <f>H19</f>
        <v>100</v>
      </c>
      <c r="V19" s="1550" t="s">
        <v>8</v>
      </c>
      <c r="W19" s="1551">
        <f>J19</f>
        <v>100</v>
      </c>
      <c r="X19" s="1544"/>
      <c r="Y19" s="3792"/>
      <c r="Z19" s="1552" t="str">
        <f>Q19</f>
        <v>公共配套设施</v>
      </c>
      <c r="AA19" s="1553">
        <f t="shared" si="3"/>
        <v>1</v>
      </c>
      <c r="AB19" s="1553">
        <f t="shared" si="4"/>
        <v>1</v>
      </c>
      <c r="AC19" s="1553">
        <f t="shared" si="5"/>
        <v>1</v>
      </c>
    </row>
    <row r="20" spans="1:29" ht="15">
      <c r="A20" s="532"/>
      <c r="B20" s="566"/>
      <c r="C20" s="576"/>
      <c r="D20" s="555"/>
      <c r="E20" s="556"/>
      <c r="F20" s="557"/>
      <c r="G20" s="558"/>
      <c r="H20" s="555"/>
      <c r="I20" s="556"/>
      <c r="J20" s="555"/>
      <c r="K20" s="899"/>
      <c r="L20" s="2118"/>
      <c r="M20" s="2110"/>
      <c r="N20" s="2110"/>
      <c r="O20" s="2117"/>
      <c r="P20" s="3792"/>
      <c r="Q20" s="1549"/>
      <c r="R20" s="1550"/>
      <c r="S20" s="1551"/>
      <c r="T20" s="1550"/>
      <c r="U20" s="1551"/>
      <c r="V20" s="1550"/>
      <c r="W20" s="1551"/>
      <c r="X20" s="1544"/>
      <c r="Y20" s="3792"/>
      <c r="Z20" s="1552"/>
      <c r="AA20" s="1553">
        <v>1</v>
      </c>
      <c r="AB20" s="1553">
        <v>1</v>
      </c>
      <c r="AC20" s="1553">
        <v>1</v>
      </c>
    </row>
    <row r="21" spans="1:29" ht="28.5">
      <c r="A21" s="532"/>
      <c r="B21" s="2530" t="s">
        <v>2533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18"/>
      <c r="M21" s="2110"/>
      <c r="N21" s="2110"/>
      <c r="O21" s="2117"/>
      <c r="P21" s="3792"/>
      <c r="Q21" s="2518" t="str">
        <f>B21</f>
        <v>基础设施水平</v>
      </c>
      <c r="R21" s="1550" t="s">
        <v>8</v>
      </c>
      <c r="S21" s="1551">
        <f>F21</f>
        <v>100</v>
      </c>
      <c r="T21" s="1550" t="s">
        <v>8</v>
      </c>
      <c r="U21" s="1551">
        <f>H21</f>
        <v>100</v>
      </c>
      <c r="V21" s="1550" t="s">
        <v>8</v>
      </c>
      <c r="W21" s="1551">
        <f>J21</f>
        <v>100</v>
      </c>
      <c r="X21" s="2520"/>
      <c r="Y21" s="3792"/>
      <c r="Z21" s="2519" t="str">
        <f>Q21</f>
        <v>基础设施水平</v>
      </c>
      <c r="AA21" s="1553">
        <f t="shared" ref="AA21" si="8">D21/F21</f>
        <v>1</v>
      </c>
      <c r="AB21" s="1553">
        <f t="shared" ref="AB21" si="9">D21/H21</f>
        <v>1</v>
      </c>
      <c r="AC21" s="1553">
        <f t="shared" ref="AC21" si="10">D21/J21</f>
        <v>1</v>
      </c>
    </row>
    <row r="22" spans="1:29" ht="15">
      <c r="A22" s="532"/>
      <c r="B22" s="578"/>
      <c r="C22" s="873"/>
      <c r="D22" s="555"/>
      <c r="E22" s="576"/>
      <c r="F22" s="557"/>
      <c r="G22" s="576"/>
      <c r="H22" s="555"/>
      <c r="I22" s="576"/>
      <c r="J22" s="555"/>
      <c r="K22" s="2541"/>
      <c r="L22" s="2118"/>
      <c r="M22" s="2110"/>
      <c r="N22" s="2110"/>
      <c r="O22" s="2117"/>
      <c r="P22" s="3792"/>
      <c r="Q22" s="2518"/>
      <c r="R22" s="1550"/>
      <c r="S22" s="1551"/>
      <c r="T22" s="1550"/>
      <c r="U22" s="1551"/>
      <c r="V22" s="1550"/>
      <c r="W22" s="1551"/>
      <c r="X22" s="2520"/>
      <c r="Y22" s="3792"/>
      <c r="Z22" s="2519"/>
      <c r="AA22" s="1553">
        <v>1</v>
      </c>
      <c r="AB22" s="1553">
        <v>1</v>
      </c>
      <c r="AC22" s="1553">
        <v>1</v>
      </c>
    </row>
    <row r="23" spans="1:29" ht="71.25">
      <c r="A23" s="532"/>
      <c r="B23" s="871" t="s">
        <v>762</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18"/>
      <c r="M23" s="2110"/>
      <c r="N23" s="2110"/>
      <c r="O23" s="2117"/>
      <c r="P23" s="3792"/>
      <c r="Q23" s="1549" t="str">
        <f>B23</f>
        <v>环境质量</v>
      </c>
      <c r="R23" s="1550" t="s">
        <v>8</v>
      </c>
      <c r="S23" s="1551">
        <f>F23</f>
        <v>100</v>
      </c>
      <c r="T23" s="1550" t="s">
        <v>8</v>
      </c>
      <c r="U23" s="1551">
        <f>H23</f>
        <v>100</v>
      </c>
      <c r="V23" s="1550" t="s">
        <v>8</v>
      </c>
      <c r="W23" s="1551">
        <f>J23</f>
        <v>100</v>
      </c>
      <c r="X23" s="1544"/>
      <c r="Y23" s="3792"/>
      <c r="Z23" s="1552" t="str">
        <f>Q23</f>
        <v>环境质量</v>
      </c>
      <c r="AA23" s="1553">
        <f t="shared" si="3"/>
        <v>1</v>
      </c>
      <c r="AB23" s="1553">
        <f t="shared" si="4"/>
        <v>1</v>
      </c>
      <c r="AC23" s="1553">
        <f t="shared" si="5"/>
        <v>1</v>
      </c>
    </row>
    <row r="24" spans="1:29" ht="15">
      <c r="A24" s="532"/>
      <c r="B24" s="913"/>
      <c r="C24" s="576"/>
      <c r="D24" s="555"/>
      <c r="E24" s="556"/>
      <c r="F24" s="557"/>
      <c r="G24" s="558"/>
      <c r="H24" s="555"/>
      <c r="I24" s="556"/>
      <c r="J24" s="555"/>
      <c r="K24" s="899"/>
      <c r="L24" s="2118"/>
      <c r="M24" s="2110"/>
      <c r="N24" s="2110"/>
      <c r="O24" s="2117"/>
      <c r="P24" s="3792"/>
      <c r="Q24" s="1549"/>
      <c r="R24" s="1550"/>
      <c r="S24" s="1551"/>
      <c r="T24" s="1550"/>
      <c r="U24" s="1551"/>
      <c r="V24" s="1550"/>
      <c r="W24" s="1551"/>
      <c r="X24" s="1544"/>
      <c r="Y24" s="3792"/>
      <c r="Z24" s="1552"/>
      <c r="AA24" s="1553">
        <v>1</v>
      </c>
      <c r="AB24" s="1553">
        <v>1</v>
      </c>
      <c r="AC24" s="155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18"/>
      <c r="M25" s="2110"/>
      <c r="N25" s="2110"/>
      <c r="O25" s="2117"/>
      <c r="P25" s="3792"/>
      <c r="Q25" s="1549">
        <f>B25</f>
        <v>111</v>
      </c>
      <c r="R25" s="1550" t="s">
        <v>8</v>
      </c>
      <c r="S25" s="1551">
        <f>F25</f>
        <v>100</v>
      </c>
      <c r="T25" s="1550" t="s">
        <v>8</v>
      </c>
      <c r="U25" s="1551">
        <f>H25</f>
        <v>100</v>
      </c>
      <c r="V25" s="1550" t="s">
        <v>8</v>
      </c>
      <c r="W25" s="1551">
        <f>J25</f>
        <v>100</v>
      </c>
      <c r="X25" s="1544"/>
      <c r="Y25" s="3792"/>
      <c r="Z25" s="1552">
        <f>Q25</f>
        <v>111</v>
      </c>
      <c r="AA25" s="1553">
        <f t="shared" si="3"/>
        <v>1</v>
      </c>
      <c r="AB25" s="1553">
        <f t="shared" si="4"/>
        <v>1</v>
      </c>
      <c r="AC25" s="155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18"/>
      <c r="M26" s="2110"/>
      <c r="N26" s="2110"/>
      <c r="O26" s="2117"/>
      <c r="P26" s="3792"/>
      <c r="Q26" s="1549">
        <f t="shared" ref="Q26:Q40" si="11">B26</f>
        <v>111</v>
      </c>
      <c r="R26" s="1550" t="s">
        <v>8</v>
      </c>
      <c r="S26" s="1551">
        <f>F26</f>
        <v>100</v>
      </c>
      <c r="T26" s="1550" t="s">
        <v>8</v>
      </c>
      <c r="U26" s="1551">
        <f>H26</f>
        <v>100</v>
      </c>
      <c r="V26" s="1550" t="s">
        <v>8</v>
      </c>
      <c r="W26" s="1551">
        <f>J26</f>
        <v>100</v>
      </c>
      <c r="X26" s="1544"/>
      <c r="Y26" s="3792"/>
      <c r="Z26" s="1552">
        <f>Q26</f>
        <v>111</v>
      </c>
      <c r="AA26" s="1553">
        <f t="shared" si="3"/>
        <v>1</v>
      </c>
      <c r="AB26" s="1553">
        <f t="shared" si="4"/>
        <v>1</v>
      </c>
      <c r="AC26" s="1553">
        <f t="shared" si="5"/>
        <v>1</v>
      </c>
    </row>
    <row r="27" spans="1:29" s="120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1"/>
      <c r="M27" s="2112"/>
      <c r="N27" s="2112"/>
      <c r="O27" s="2113"/>
      <c r="P27" s="3792"/>
      <c r="Q27" s="1138">
        <f t="shared" si="11"/>
        <v>111</v>
      </c>
      <c r="R27" s="1545" t="s">
        <v>8</v>
      </c>
      <c r="S27" s="1546">
        <f>F27</f>
        <v>100</v>
      </c>
      <c r="T27" s="1545" t="s">
        <v>8</v>
      </c>
      <c r="U27" s="1546">
        <f>H27</f>
        <v>100</v>
      </c>
      <c r="V27" s="1545" t="s">
        <v>8</v>
      </c>
      <c r="W27" s="1546">
        <f>J27</f>
        <v>100</v>
      </c>
      <c r="X27" s="1547"/>
      <c r="Y27" s="3792"/>
      <c r="Z27" s="1137">
        <f>Q27</f>
        <v>111</v>
      </c>
      <c r="AA27" s="1553">
        <f>D27/F27</f>
        <v>1</v>
      </c>
      <c r="AB27" s="1553">
        <f>D27/H27</f>
        <v>1</v>
      </c>
      <c r="AC27" s="155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18"/>
      <c r="M28" s="2110"/>
      <c r="N28" s="2110"/>
      <c r="O28" s="2117"/>
      <c r="P28" s="3792"/>
      <c r="Q28" s="1549">
        <f t="shared" si="11"/>
        <v>111</v>
      </c>
      <c r="R28" s="1550" t="s">
        <v>8</v>
      </c>
      <c r="S28" s="1551">
        <f t="shared" ref="S28:S40" si="12">F28</f>
        <v>100</v>
      </c>
      <c r="T28" s="1550" t="s">
        <v>8</v>
      </c>
      <c r="U28" s="1551">
        <f t="shared" ref="U28:U40" si="13">H28</f>
        <v>100</v>
      </c>
      <c r="V28" s="1550" t="s">
        <v>8</v>
      </c>
      <c r="W28" s="1551">
        <f t="shared" ref="W28:W40" si="14">J28</f>
        <v>100</v>
      </c>
      <c r="X28" s="1544"/>
      <c r="Y28" s="3792"/>
      <c r="Z28" s="1552">
        <f t="shared" ref="Z28:Z40" si="15">Q28</f>
        <v>111</v>
      </c>
      <c r="AA28" s="1553">
        <f t="shared" si="3"/>
        <v>1</v>
      </c>
      <c r="AB28" s="1553">
        <f t="shared" si="4"/>
        <v>1</v>
      </c>
      <c r="AC28" s="1553">
        <f t="shared" si="5"/>
        <v>1</v>
      </c>
    </row>
    <row r="29" spans="1:29" ht="15">
      <c r="A29" s="2837" t="s">
        <v>2729</v>
      </c>
      <c r="B29" s="172" t="s">
        <v>763</v>
      </c>
      <c r="C29" s="909"/>
      <c r="D29" s="597">
        <v>100</v>
      </c>
      <c r="E29" s="909"/>
      <c r="F29" s="575">
        <f>SUMIF(88:88,E29,89:89)-SUMIF(88:88,C29,89:89)+100</f>
        <v>100</v>
      </c>
      <c r="G29" s="909"/>
      <c r="H29" s="540">
        <f>SUMIF(88:88,G29,89:89)-SUMIF(88:88,C29,89:89)+100</f>
        <v>100</v>
      </c>
      <c r="I29" s="909"/>
      <c r="J29" s="597">
        <f>SUMIF(88:88,I29,89:89)-SUMIF(88:88,C29,89:89)+100</f>
        <v>100</v>
      </c>
      <c r="K29" s="584"/>
      <c r="L29" s="2118"/>
      <c r="M29" s="2110"/>
      <c r="N29" s="2110"/>
      <c r="O29" s="2117"/>
      <c r="P29" s="3793" t="s">
        <v>549</v>
      </c>
      <c r="Q29" s="1549" t="str">
        <f t="shared" si="11"/>
        <v>建筑类型</v>
      </c>
      <c r="R29" s="1550" t="s">
        <v>8</v>
      </c>
      <c r="S29" s="1551">
        <f t="shared" si="12"/>
        <v>100</v>
      </c>
      <c r="T29" s="1550" t="s">
        <v>8</v>
      </c>
      <c r="U29" s="1551">
        <f t="shared" si="13"/>
        <v>100</v>
      </c>
      <c r="V29" s="1550" t="s">
        <v>8</v>
      </c>
      <c r="W29" s="1551">
        <f t="shared" si="14"/>
        <v>100</v>
      </c>
      <c r="X29" s="1544"/>
      <c r="Y29" s="3794" t="s">
        <v>549</v>
      </c>
      <c r="Z29" s="1552" t="str">
        <f t="shared" si="15"/>
        <v>建筑类型</v>
      </c>
      <c r="AA29" s="1553">
        <f t="shared" si="3"/>
        <v>1</v>
      </c>
      <c r="AB29" s="1553">
        <f t="shared" si="4"/>
        <v>1</v>
      </c>
      <c r="AC29" s="1553">
        <f t="shared" si="5"/>
        <v>1</v>
      </c>
    </row>
    <row r="30" spans="1:29" s="132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16"/>
      <c r="M30" s="2147"/>
      <c r="N30" s="2147"/>
      <c r="O30" s="2119"/>
      <c r="P30" s="3794"/>
      <c r="Q30" s="1581" t="str">
        <f t="shared" si="11"/>
        <v>项目建筑规模</v>
      </c>
      <c r="R30" s="1554" t="s">
        <v>8</v>
      </c>
      <c r="S30" s="1555" t="e">
        <f t="shared" si="12"/>
        <v>#N/A</v>
      </c>
      <c r="T30" s="1554" t="s">
        <v>8</v>
      </c>
      <c r="U30" s="1555" t="e">
        <f t="shared" si="13"/>
        <v>#N/A</v>
      </c>
      <c r="V30" s="1554" t="s">
        <v>8</v>
      </c>
      <c r="W30" s="1555" t="e">
        <f t="shared" si="14"/>
        <v>#N/A</v>
      </c>
      <c r="X30" s="1556"/>
      <c r="Y30" s="3794"/>
      <c r="Z30" s="1557" t="str">
        <f t="shared" si="15"/>
        <v>项目建筑规模</v>
      </c>
      <c r="AA30" s="1553" t="e">
        <f t="shared" si="3"/>
        <v>#N/A</v>
      </c>
      <c r="AB30" s="1553" t="e">
        <f t="shared" si="4"/>
        <v>#N/A</v>
      </c>
      <c r="AC30" s="1553"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18"/>
      <c r="M31" s="2110"/>
      <c r="N31" s="2110"/>
      <c r="O31" s="2117"/>
      <c r="P31" s="3794"/>
      <c r="Q31" s="1549" t="str">
        <f t="shared" si="11"/>
        <v>建筑结构</v>
      </c>
      <c r="R31" s="1550" t="s">
        <v>8</v>
      </c>
      <c r="S31" s="1551">
        <f t="shared" si="12"/>
        <v>100</v>
      </c>
      <c r="T31" s="1550" t="s">
        <v>8</v>
      </c>
      <c r="U31" s="1551">
        <f t="shared" si="13"/>
        <v>100</v>
      </c>
      <c r="V31" s="1550" t="s">
        <v>8</v>
      </c>
      <c r="W31" s="1551">
        <f t="shared" si="14"/>
        <v>100</v>
      </c>
      <c r="X31" s="1544"/>
      <c r="Y31" s="3794"/>
      <c r="Z31" s="1552" t="str">
        <f t="shared" si="15"/>
        <v>建筑结构</v>
      </c>
      <c r="AA31" s="1553">
        <f t="shared" si="3"/>
        <v>1</v>
      </c>
      <c r="AB31" s="1553">
        <f t="shared" si="4"/>
        <v>1</v>
      </c>
      <c r="AC31" s="1553">
        <f t="shared" si="5"/>
        <v>1</v>
      </c>
    </row>
    <row r="32" spans="1:29" ht="15">
      <c r="A32" s="594"/>
      <c r="B32" s="527" t="s">
        <v>757</v>
      </c>
      <c r="C32" s="574"/>
      <c r="D32" s="540">
        <v>100</v>
      </c>
      <c r="E32" s="574"/>
      <c r="F32" s="575">
        <f>SUMIF(95:95,E32,96:96)-SUMIF(95:95,C32,96:96)+100</f>
        <v>100</v>
      </c>
      <c r="G32" s="574"/>
      <c r="H32" s="540">
        <f>SUMIF(95:95,G32,96:96)-SUMIF(95:95,C32,96:96)+100</f>
        <v>100</v>
      </c>
      <c r="I32" s="574"/>
      <c r="J32" s="540">
        <f>SUMIF(95:95,I32,96:96)-SUMIF(95:95,C32,96:96)+100</f>
        <v>100</v>
      </c>
      <c r="K32" s="584"/>
      <c r="L32" s="2118"/>
      <c r="M32" s="2110"/>
      <c r="N32" s="2110"/>
      <c r="O32" s="2117"/>
      <c r="P32" s="3794"/>
      <c r="Q32" s="1549" t="str">
        <f t="shared" si="11"/>
        <v>公共部分装修</v>
      </c>
      <c r="R32" s="1550" t="s">
        <v>8</v>
      </c>
      <c r="S32" s="1551">
        <f t="shared" si="12"/>
        <v>100</v>
      </c>
      <c r="T32" s="1550" t="s">
        <v>8</v>
      </c>
      <c r="U32" s="1551">
        <f t="shared" si="13"/>
        <v>100</v>
      </c>
      <c r="V32" s="1550" t="s">
        <v>8</v>
      </c>
      <c r="W32" s="1551">
        <f t="shared" si="14"/>
        <v>100</v>
      </c>
      <c r="X32" s="1544"/>
      <c r="Y32" s="3794"/>
      <c r="Z32" s="1552" t="str">
        <f t="shared" si="15"/>
        <v>公共部分装修</v>
      </c>
      <c r="AA32" s="1553">
        <f t="shared" si="3"/>
        <v>1</v>
      </c>
      <c r="AB32" s="1553">
        <f t="shared" si="4"/>
        <v>1</v>
      </c>
      <c r="AC32" s="1553">
        <f t="shared" si="5"/>
        <v>1</v>
      </c>
    </row>
    <row r="33" spans="1:29" ht="15">
      <c r="A33" s="594"/>
      <c r="B33" s="527" t="s">
        <v>758</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18"/>
      <c r="M33" s="2110"/>
      <c r="N33" s="2110"/>
      <c r="O33" s="2117"/>
      <c r="P33" s="3794"/>
      <c r="Q33" s="1549" t="str">
        <f t="shared" si="11"/>
        <v>成新度</v>
      </c>
      <c r="R33" s="1550" t="s">
        <v>8</v>
      </c>
      <c r="S33" s="1551" t="e">
        <f t="shared" si="12"/>
        <v>#N/A</v>
      </c>
      <c r="T33" s="1550" t="s">
        <v>8</v>
      </c>
      <c r="U33" s="1551" t="e">
        <f t="shared" si="13"/>
        <v>#N/A</v>
      </c>
      <c r="V33" s="1550" t="s">
        <v>8</v>
      </c>
      <c r="W33" s="1551" t="e">
        <f t="shared" si="14"/>
        <v>#N/A</v>
      </c>
      <c r="X33" s="1544"/>
      <c r="Y33" s="3794"/>
      <c r="Z33" s="1552" t="str">
        <f t="shared" si="15"/>
        <v>成新度</v>
      </c>
      <c r="AA33" s="1553" t="e">
        <f t="shared" si="3"/>
        <v>#N/A</v>
      </c>
      <c r="AB33" s="1553" t="e">
        <f t="shared" si="4"/>
        <v>#N/A</v>
      </c>
      <c r="AC33" s="1553" t="e">
        <f t="shared" si="5"/>
        <v>#N/A</v>
      </c>
    </row>
    <row r="34" spans="1:29" s="1206" customFormat="1" ht="15">
      <c r="A34" s="600"/>
      <c r="B34" s="527" t="s">
        <v>764</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1"/>
      <c r="M34" s="2112"/>
      <c r="N34" s="2112"/>
      <c r="O34" s="2113"/>
      <c r="P34" s="3794"/>
      <c r="Q34" s="1138" t="str">
        <f t="shared" si="11"/>
        <v>物业管理</v>
      </c>
      <c r="R34" s="1545" t="s">
        <v>8</v>
      </c>
      <c r="S34" s="1546">
        <f t="shared" si="12"/>
        <v>100</v>
      </c>
      <c r="T34" s="1545" t="s">
        <v>8</v>
      </c>
      <c r="U34" s="1546">
        <f t="shared" si="13"/>
        <v>100</v>
      </c>
      <c r="V34" s="1545" t="s">
        <v>8</v>
      </c>
      <c r="W34" s="1546">
        <f t="shared" si="14"/>
        <v>100</v>
      </c>
      <c r="X34" s="1547"/>
      <c r="Y34" s="3794"/>
      <c r="Z34" s="1137" t="str">
        <f t="shared" si="15"/>
        <v>物业管理</v>
      </c>
      <c r="AA34" s="1548">
        <f t="shared" si="3"/>
        <v>1</v>
      </c>
      <c r="AB34" s="1548">
        <f t="shared" si="4"/>
        <v>1</v>
      </c>
      <c r="AC34" s="1548">
        <f t="shared" si="5"/>
        <v>1</v>
      </c>
    </row>
    <row r="35" spans="1:29" ht="15">
      <c r="A35" s="594"/>
      <c r="B35" s="1871" t="s">
        <v>2540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18"/>
      <c r="M35" s="2110"/>
      <c r="N35" s="2110"/>
      <c r="O35" s="2117"/>
      <c r="P35" s="3794" t="s">
        <v>549</v>
      </c>
      <c r="Q35" s="1549" t="str">
        <f t="shared" si="11"/>
        <v>市政基础设施</v>
      </c>
      <c r="R35" s="1550" t="s">
        <v>8</v>
      </c>
      <c r="S35" s="1551">
        <f t="shared" si="12"/>
        <v>100</v>
      </c>
      <c r="T35" s="1550" t="s">
        <v>8</v>
      </c>
      <c r="U35" s="1551">
        <f t="shared" si="13"/>
        <v>100</v>
      </c>
      <c r="V35" s="1550" t="s">
        <v>8</v>
      </c>
      <c r="W35" s="1551">
        <f t="shared" si="14"/>
        <v>100</v>
      </c>
      <c r="X35" s="1544"/>
      <c r="Y35" s="3794" t="s">
        <v>549</v>
      </c>
      <c r="Z35" s="1552" t="str">
        <f t="shared" si="15"/>
        <v>市政基础设施</v>
      </c>
      <c r="AA35" s="1553">
        <f t="shared" si="3"/>
        <v>1</v>
      </c>
      <c r="AB35" s="1553">
        <f t="shared" si="4"/>
        <v>1</v>
      </c>
      <c r="AC35" s="1553">
        <f t="shared" si="5"/>
        <v>1</v>
      </c>
    </row>
    <row r="36" spans="1:29" ht="15">
      <c r="A36" s="594"/>
      <c r="B36" s="527" t="s">
        <v>760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18"/>
      <c r="M36" s="2110"/>
      <c r="N36" s="2110"/>
      <c r="O36" s="2117"/>
      <c r="P36" s="3794"/>
      <c r="Q36" s="1549" t="str">
        <f t="shared" si="11"/>
        <v>内部装修</v>
      </c>
      <c r="R36" s="1550" t="s">
        <v>8</v>
      </c>
      <c r="S36" s="1551">
        <f t="shared" si="12"/>
        <v>100</v>
      </c>
      <c r="T36" s="1550" t="s">
        <v>8</v>
      </c>
      <c r="U36" s="1551">
        <f t="shared" si="13"/>
        <v>100</v>
      </c>
      <c r="V36" s="1550" t="s">
        <v>8</v>
      </c>
      <c r="W36" s="1551">
        <f t="shared" si="14"/>
        <v>100</v>
      </c>
      <c r="X36" s="1544"/>
      <c r="Y36" s="3794"/>
      <c r="Z36" s="1552" t="str">
        <f t="shared" si="15"/>
        <v>内部装修</v>
      </c>
      <c r="AA36" s="1553">
        <f t="shared" si="3"/>
        <v>1</v>
      </c>
      <c r="AB36" s="1553">
        <f t="shared" si="4"/>
        <v>1</v>
      </c>
      <c r="AC36" s="1553">
        <f t="shared" si="5"/>
        <v>1</v>
      </c>
    </row>
    <row r="37" spans="1:29" ht="15">
      <c r="A37" s="594"/>
      <c r="B37" s="527" t="s">
        <v>768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18"/>
      <c r="M37" s="2110"/>
      <c r="N37" s="2110"/>
      <c r="O37" s="2117"/>
      <c r="P37" s="3794"/>
      <c r="Q37" s="1549" t="str">
        <f t="shared" si="11"/>
        <v>内部装修状况</v>
      </c>
      <c r="R37" s="1550" t="s">
        <v>8</v>
      </c>
      <c r="S37" s="1551">
        <f t="shared" si="12"/>
        <v>100</v>
      </c>
      <c r="T37" s="1550" t="s">
        <v>8</v>
      </c>
      <c r="U37" s="1551">
        <f t="shared" si="13"/>
        <v>100</v>
      </c>
      <c r="V37" s="1550" t="s">
        <v>8</v>
      </c>
      <c r="W37" s="1551">
        <f t="shared" si="14"/>
        <v>100</v>
      </c>
      <c r="X37" s="1544"/>
      <c r="Y37" s="3794"/>
      <c r="Z37" s="1552" t="str">
        <f t="shared" si="15"/>
        <v>内部装修状况</v>
      </c>
      <c r="AA37" s="1553">
        <f t="shared" si="3"/>
        <v>1</v>
      </c>
      <c r="AB37" s="1553">
        <f t="shared" si="4"/>
        <v>1</v>
      </c>
      <c r="AC37" s="1553">
        <f t="shared" si="5"/>
        <v>1</v>
      </c>
    </row>
    <row r="38" spans="1:29" s="132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16"/>
      <c r="M38" s="2147"/>
      <c r="N38" s="2147"/>
      <c r="O38" s="2119"/>
      <c r="P38" s="3794"/>
      <c r="Q38" s="1581">
        <f t="shared" si="11"/>
        <v>111</v>
      </c>
      <c r="R38" s="1554" t="s">
        <v>8</v>
      </c>
      <c r="S38" s="1555">
        <f t="shared" si="12"/>
        <v>100</v>
      </c>
      <c r="T38" s="1554" t="s">
        <v>8</v>
      </c>
      <c r="U38" s="1555">
        <f t="shared" si="13"/>
        <v>100</v>
      </c>
      <c r="V38" s="1554" t="s">
        <v>8</v>
      </c>
      <c r="W38" s="1555">
        <f t="shared" si="14"/>
        <v>100</v>
      </c>
      <c r="X38" s="1556"/>
      <c r="Y38" s="3794"/>
      <c r="Z38" s="1557">
        <f t="shared" si="15"/>
        <v>111</v>
      </c>
      <c r="AA38" s="1553">
        <f t="shared" si="3"/>
        <v>1</v>
      </c>
      <c r="AB38" s="1553">
        <f t="shared" si="4"/>
        <v>1</v>
      </c>
      <c r="AC38" s="155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18"/>
      <c r="M39" s="2110"/>
      <c r="N39" s="2110"/>
      <c r="O39" s="2117"/>
      <c r="P39" s="3794"/>
      <c r="Q39" s="1549">
        <f t="shared" si="11"/>
        <v>111</v>
      </c>
      <c r="R39" s="1550" t="s">
        <v>8</v>
      </c>
      <c r="S39" s="1551">
        <f t="shared" si="12"/>
        <v>100</v>
      </c>
      <c r="T39" s="1550" t="s">
        <v>8</v>
      </c>
      <c r="U39" s="1551">
        <f t="shared" si="13"/>
        <v>100</v>
      </c>
      <c r="V39" s="1550" t="s">
        <v>8</v>
      </c>
      <c r="W39" s="1551">
        <f t="shared" si="14"/>
        <v>100</v>
      </c>
      <c r="X39" s="1544"/>
      <c r="Y39" s="3794"/>
      <c r="Z39" s="1552">
        <f t="shared" si="15"/>
        <v>111</v>
      </c>
      <c r="AA39" s="1553">
        <f t="shared" si="3"/>
        <v>1</v>
      </c>
      <c r="AB39" s="1553">
        <f t="shared" si="4"/>
        <v>1</v>
      </c>
      <c r="AC39" s="155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18"/>
      <c r="M40" s="2110"/>
      <c r="N40" s="2110"/>
      <c r="O40" s="2117"/>
      <c r="P40" s="3961"/>
      <c r="Q40" s="1549">
        <f t="shared" si="11"/>
        <v>111</v>
      </c>
      <c r="R40" s="1550" t="s">
        <v>8</v>
      </c>
      <c r="S40" s="1551">
        <f t="shared" si="12"/>
        <v>100</v>
      </c>
      <c r="T40" s="1550" t="s">
        <v>8</v>
      </c>
      <c r="U40" s="1551">
        <f t="shared" si="13"/>
        <v>100</v>
      </c>
      <c r="V40" s="1550" t="s">
        <v>8</v>
      </c>
      <c r="W40" s="1551">
        <f t="shared" si="14"/>
        <v>100</v>
      </c>
      <c r="X40" s="1544"/>
      <c r="Y40" s="3961"/>
      <c r="Z40" s="1552">
        <f t="shared" si="15"/>
        <v>111</v>
      </c>
      <c r="AA40" s="1553">
        <f t="shared" si="3"/>
        <v>1</v>
      </c>
      <c r="AB40" s="1553">
        <f t="shared" si="4"/>
        <v>1</v>
      </c>
      <c r="AC40" s="1553">
        <f t="shared" si="5"/>
        <v>1</v>
      </c>
    </row>
    <row r="41" spans="1:29" ht="15">
      <c r="A41" s="607" t="s">
        <v>735</v>
      </c>
      <c r="B41" s="887"/>
      <c r="C41" s="2566" t="s">
        <v>1</v>
      </c>
      <c r="D41" s="2567"/>
      <c r="E41" s="2568"/>
      <c r="F41" s="2569"/>
      <c r="G41" s="2570"/>
      <c r="H41" s="2571"/>
      <c r="I41" s="2568"/>
      <c r="J41" s="2571"/>
      <c r="K41" s="1587"/>
      <c r="L41" s="2120"/>
      <c r="M41" s="2121"/>
      <c r="N41" s="2110"/>
      <c r="O41" s="2121"/>
      <c r="P41" s="3789" t="str">
        <f>A41</f>
        <v>成交单价（元/平方米）</v>
      </c>
      <c r="Q41" s="3789"/>
      <c r="R41" s="3960">
        <f>E41</f>
        <v>0</v>
      </c>
      <c r="S41" s="3960"/>
      <c r="T41" s="3960">
        <f>G41</f>
        <v>0</v>
      </c>
      <c r="U41" s="3960"/>
      <c r="V41" s="3960">
        <f>I41</f>
        <v>0</v>
      </c>
      <c r="W41" s="3960"/>
      <c r="X41" s="1536"/>
      <c r="Y41" s="1558"/>
      <c r="Z41" s="1536"/>
      <c r="AA41" s="1536"/>
      <c r="AB41" s="1536"/>
      <c r="AC41" s="1536"/>
    </row>
    <row r="42" spans="1:29" ht="15.75" thickBot="1">
      <c r="A42" s="615" t="s">
        <v>2734</v>
      </c>
      <c r="B42" s="888"/>
      <c r="C42" s="2572" t="e">
        <f>R43</f>
        <v>#DIV/0!</v>
      </c>
      <c r="D42" s="2573"/>
      <c r="E42" s="2574" t="e">
        <f>R42</f>
        <v>#DIV/0!</v>
      </c>
      <c r="F42" s="2574"/>
      <c r="G42" s="2572" t="e">
        <f>T42</f>
        <v>#DIV/0!</v>
      </c>
      <c r="H42" s="2573"/>
      <c r="I42" s="2574" t="e">
        <f>V42</f>
        <v>#DIV/0!</v>
      </c>
      <c r="J42" s="2573"/>
      <c r="K42" s="1588"/>
      <c r="L42" s="2120"/>
      <c r="M42" s="2121"/>
      <c r="N42" s="2110"/>
      <c r="O42" s="2121"/>
      <c r="P42" s="3789" t="str">
        <f>A42</f>
        <v>比较价格（元/平方米）</v>
      </c>
      <c r="Q42" s="3789"/>
      <c r="R42" s="3960" t="e">
        <f>IF(F1="售价",ROUND(PRODUCT(R41,AA7:AA40),0),ROUND(PRODUCT(R41,AA7:AA40),1))</f>
        <v>#DIV/0!</v>
      </c>
      <c r="S42" s="3960"/>
      <c r="T42" s="3960" t="e">
        <f>IF(F1="售价",ROUND(PRODUCT(T41,AB7:AB40),0),ROUND(PRODUCT(T41,AB7:AB40),1))</f>
        <v>#DIV/0!</v>
      </c>
      <c r="U42" s="3960"/>
      <c r="V42" s="3960" t="e">
        <f>IF(F1="售价",ROUND(PRODUCT(V41,AC7:AC40),0),ROUND(PRODUCT(V41,AC7:AC40),1))</f>
        <v>#DIV/0!</v>
      </c>
      <c r="W42" s="3960"/>
      <c r="X42" s="1536"/>
      <c r="Y42" s="1536"/>
      <c r="Z42" s="1536"/>
      <c r="AA42" s="1536"/>
      <c r="AB42" s="1536"/>
      <c r="AC42" s="1536"/>
    </row>
    <row r="43" spans="1:29" ht="15.75" thickBot="1">
      <c r="A43" s="621" t="s">
        <v>2911</v>
      </c>
      <c r="B43" s="622"/>
      <c r="C43" s="2575" t="e">
        <f>R43</f>
        <v>#DIV/0!</v>
      </c>
      <c r="D43" s="2575"/>
      <c r="E43" s="2575"/>
      <c r="F43" s="2575"/>
      <c r="G43" s="2575"/>
      <c r="H43" s="2575"/>
      <c r="I43" s="2575"/>
      <c r="J43" s="2575"/>
      <c r="K43" s="1589"/>
      <c r="L43" s="2120"/>
      <c r="M43" s="2121"/>
      <c r="N43" s="2121"/>
      <c r="O43" s="2121"/>
      <c r="P43" s="3810" t="str">
        <f>A43</f>
        <v>估价对象XX用房的比较价格（楼面单价，元/平方米）</v>
      </c>
      <c r="Q43" s="3811"/>
      <c r="R43" s="3959" t="e">
        <f>IF(F1="售价",ROUND(AVERAGE(R42:V42),0),ROUND(AVERAGE(R42:V42),1))</f>
        <v>#DIV/0!</v>
      </c>
      <c r="S43" s="3959"/>
      <c r="T43" s="3959"/>
      <c r="U43" s="3959"/>
      <c r="V43" s="3959"/>
      <c r="W43" s="3959"/>
      <c r="X43" s="1536"/>
      <c r="Y43" s="1536"/>
      <c r="Z43" s="1536"/>
      <c r="AA43" s="1536"/>
      <c r="AB43" s="1536"/>
      <c r="AC43" s="1536"/>
    </row>
    <row r="44" spans="1:29">
      <c r="A44" s="2121"/>
      <c r="B44" s="2121"/>
      <c r="C44" s="2121"/>
      <c r="D44" s="2121"/>
      <c r="E44" s="2121"/>
      <c r="F44" s="2121"/>
      <c r="G44" s="2124"/>
      <c r="H44" s="2121"/>
      <c r="I44" s="2121"/>
      <c r="J44" s="2121"/>
      <c r="K44" s="2125"/>
      <c r="L44" s="2126"/>
      <c r="M44" s="2121"/>
      <c r="N44" s="2121"/>
      <c r="O44" s="2121"/>
      <c r="P44" s="2121"/>
      <c r="Q44" s="2121"/>
      <c r="R44" s="2121"/>
      <c r="S44" s="2121"/>
      <c r="T44" s="2121"/>
      <c r="U44" s="2121"/>
      <c r="V44" s="2121"/>
      <c r="W44" s="2121"/>
      <c r="X44" s="2121"/>
      <c r="Y44" s="2121"/>
      <c r="Z44" s="2121"/>
      <c r="AA44" s="2121"/>
      <c r="AB44" s="2121"/>
      <c r="AC44" s="2121"/>
    </row>
    <row r="45" spans="1:29">
      <c r="A45" s="2121"/>
      <c r="B45" s="2121"/>
      <c r="C45" s="2121"/>
      <c r="D45" s="2121"/>
      <c r="E45" s="2121"/>
      <c r="F45" s="2121"/>
      <c r="G45" s="2121"/>
      <c r="H45" s="2121"/>
      <c r="I45" s="2121"/>
      <c r="J45" s="2121"/>
      <c r="K45" s="2125"/>
      <c r="L45" s="2126"/>
      <c r="M45" s="2121"/>
      <c r="N45" s="2121"/>
      <c r="O45" s="2121"/>
      <c r="P45" s="2121"/>
      <c r="Q45" s="2121"/>
      <c r="R45" s="2121"/>
      <c r="S45" s="2121"/>
      <c r="T45" s="2121"/>
      <c r="U45" s="2121"/>
      <c r="V45" s="2121"/>
      <c r="W45" s="2121"/>
      <c r="X45" s="2121"/>
      <c r="Y45" s="2121"/>
      <c r="Z45" s="2121"/>
      <c r="AA45" s="2121"/>
      <c r="AB45" s="2121"/>
      <c r="AC45" s="2121"/>
    </row>
    <row r="46" spans="1:29" ht="13.5" customHeight="1">
      <c r="A46" s="2121"/>
      <c r="B46" s="2121"/>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25"/>
      <c r="L46" s="2126"/>
      <c r="M46" s="2121"/>
      <c r="N46" s="2121"/>
      <c r="O46" s="2121"/>
      <c r="P46" s="2121"/>
      <c r="Q46" s="2121"/>
      <c r="R46" s="2121"/>
      <c r="S46" s="2121"/>
      <c r="T46" s="2121"/>
      <c r="U46" s="2121"/>
      <c r="V46" s="2121"/>
      <c r="W46" s="2121"/>
      <c r="X46" s="2121"/>
      <c r="Y46" s="2121"/>
      <c r="Z46" s="2121"/>
      <c r="AA46" s="2121"/>
      <c r="AB46" s="2121"/>
      <c r="AC46" s="2121"/>
    </row>
    <row r="47" spans="1:29" ht="13.5" customHeight="1">
      <c r="A47" s="2121"/>
      <c r="B47" s="2121"/>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25"/>
      <c r="L47" s="2126"/>
      <c r="M47" s="2121"/>
      <c r="N47" s="2121"/>
      <c r="O47" s="2121"/>
      <c r="P47" s="2121"/>
      <c r="Q47" s="2121"/>
      <c r="R47" s="2121"/>
      <c r="S47" s="2121"/>
      <c r="T47" s="2121"/>
      <c r="U47" s="2121"/>
      <c r="V47" s="2121"/>
      <c r="W47" s="2121"/>
      <c r="X47" s="2121"/>
      <c r="Y47" s="2121"/>
      <c r="Z47" s="2121"/>
      <c r="AA47" s="2121"/>
      <c r="AB47" s="2121"/>
      <c r="AC47" s="2121"/>
    </row>
    <row r="48" spans="1:29" s="1331" customFormat="1" ht="13.5" customHeight="1">
      <c r="A48" s="2122"/>
      <c r="B48" s="2122"/>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28"/>
      <c r="L48" s="2129"/>
      <c r="M48" s="2122"/>
      <c r="N48" s="2122"/>
      <c r="O48" s="2122"/>
      <c r="P48" s="2122"/>
      <c r="Q48" s="2122"/>
      <c r="R48" s="2122"/>
      <c r="S48" s="2122"/>
      <c r="T48" s="2122"/>
      <c r="U48" s="2122"/>
      <c r="V48" s="2122"/>
      <c r="W48" s="2122"/>
      <c r="X48" s="2122"/>
      <c r="Y48" s="2122"/>
      <c r="Z48" s="2122"/>
      <c r="AA48" s="2122"/>
      <c r="AB48" s="2122"/>
      <c r="AC48" s="2122"/>
    </row>
    <row r="49" spans="1:29" s="1331" customFormat="1">
      <c r="A49" s="2122"/>
      <c r="B49" s="2123"/>
      <c r="C49" s="2127"/>
      <c r="D49" s="2122"/>
      <c r="E49" s="2122"/>
      <c r="F49" s="2122"/>
      <c r="G49" s="2122"/>
      <c r="H49" s="2122"/>
      <c r="I49" s="2122"/>
      <c r="J49" s="2122"/>
      <c r="K49" s="2128"/>
      <c r="L49" s="2129"/>
      <c r="M49" s="2122"/>
      <c r="N49" s="2122"/>
      <c r="O49" s="2122"/>
      <c r="P49" s="2122"/>
      <c r="Q49" s="2122"/>
      <c r="R49" s="2122"/>
      <c r="S49" s="2122"/>
      <c r="T49" s="2122"/>
      <c r="U49" s="2122"/>
      <c r="V49" s="2122"/>
      <c r="W49" s="2122"/>
      <c r="X49" s="2122"/>
      <c r="Y49" s="2122"/>
      <c r="Z49" s="2122"/>
      <c r="AA49" s="2122"/>
      <c r="AB49" s="2122"/>
      <c r="AC49" s="2122"/>
    </row>
    <row r="50" spans="1:29">
      <c r="A50" s="2121"/>
      <c r="B50" s="2123"/>
      <c r="C50" s="2127"/>
      <c r="D50" s="2121"/>
      <c r="E50" s="2121"/>
      <c r="F50" s="2121"/>
      <c r="G50" s="2121"/>
      <c r="H50" s="2121"/>
      <c r="I50" s="2121"/>
      <c r="J50" s="2121"/>
      <c r="K50" s="2125"/>
      <c r="L50" s="2126"/>
      <c r="M50" s="2121"/>
      <c r="N50" s="2121"/>
      <c r="O50" s="2121"/>
      <c r="P50" s="2121"/>
      <c r="Q50" s="2121"/>
      <c r="R50" s="2121"/>
      <c r="S50" s="2121"/>
      <c r="T50" s="2121"/>
      <c r="U50" s="2121"/>
      <c r="V50" s="2121"/>
      <c r="W50" s="2121"/>
      <c r="X50" s="2121"/>
      <c r="Y50" s="2121"/>
      <c r="Z50" s="2121"/>
      <c r="AA50" s="2121"/>
      <c r="AB50" s="2121"/>
      <c r="AC50" s="2121"/>
    </row>
    <row r="51" spans="1:29" ht="21.75" thickBot="1">
      <c r="A51" s="1561" t="s">
        <v>573</v>
      </c>
      <c r="B51" s="1536"/>
      <c r="C51" s="1560"/>
      <c r="D51" s="1560"/>
      <c r="E51" s="1560"/>
      <c r="F51" s="1562"/>
      <c r="G51" s="1562"/>
      <c r="H51" s="1560"/>
      <c r="I51" s="1560"/>
      <c r="J51" s="1560"/>
      <c r="K51" s="1563"/>
      <c r="L51" s="1559"/>
      <c r="M51" s="1560"/>
      <c r="N51" s="1560"/>
      <c r="O51" s="1560"/>
      <c r="P51" s="2133"/>
      <c r="Q51" s="2134"/>
      <c r="R51" s="2121"/>
      <c r="S51" s="2121"/>
      <c r="T51" s="2121"/>
      <c r="U51" s="2121"/>
      <c r="V51" s="2121"/>
      <c r="W51" s="2121"/>
      <c r="X51" s="2121"/>
      <c r="Y51" s="2121"/>
      <c r="Z51" s="2121"/>
      <c r="AA51" s="2121"/>
      <c r="AB51" s="2121"/>
      <c r="AC51" s="2121"/>
    </row>
    <row r="52" spans="1:29" s="1333" customFormat="1" ht="15">
      <c r="A52" s="645" t="s">
        <v>528</v>
      </c>
      <c r="B52" s="646"/>
      <c r="C52" s="2732" t="str">
        <f>YEAR(C7)&amp;"-"&amp;MONTH(C7)</f>
        <v>2020-4</v>
      </c>
      <c r="D52" s="2734">
        <f>EDATE(C52,-1)</f>
        <v>43891</v>
      </c>
      <c r="E52" s="2734">
        <f t="shared" ref="E52:O52" si="16">EDATE(D52,-1)</f>
        <v>43862</v>
      </c>
      <c r="F52" s="2734">
        <f t="shared" si="16"/>
        <v>43831</v>
      </c>
      <c r="G52" s="2734">
        <f t="shared" si="16"/>
        <v>43800</v>
      </c>
      <c r="H52" s="2734">
        <f t="shared" si="16"/>
        <v>43770</v>
      </c>
      <c r="I52" s="2734">
        <f t="shared" si="16"/>
        <v>43739</v>
      </c>
      <c r="J52" s="2734">
        <f t="shared" si="16"/>
        <v>43709</v>
      </c>
      <c r="K52" s="2734">
        <f t="shared" si="16"/>
        <v>43678</v>
      </c>
      <c r="L52" s="2734">
        <f t="shared" si="16"/>
        <v>43647</v>
      </c>
      <c r="M52" s="2734">
        <f t="shared" si="16"/>
        <v>43617</v>
      </c>
      <c r="N52" s="2734">
        <f t="shared" si="16"/>
        <v>43586</v>
      </c>
      <c r="O52" s="2734">
        <f t="shared" si="16"/>
        <v>43556</v>
      </c>
      <c r="P52" s="2136"/>
      <c r="Q52" s="2137"/>
      <c r="R52" s="2137"/>
      <c r="S52" s="2137"/>
      <c r="T52" s="2137"/>
      <c r="U52" s="2137"/>
      <c r="V52" s="2137"/>
      <c r="W52" s="2137"/>
      <c r="X52" s="2137"/>
      <c r="Y52" s="2137"/>
      <c r="Z52" s="2137"/>
      <c r="AA52" s="2137"/>
      <c r="AB52" s="2137"/>
      <c r="AC52" s="2137"/>
    </row>
    <row r="53" spans="1:29" s="1206" customFormat="1" ht="15">
      <c r="A53" s="647"/>
      <c r="B53" s="648"/>
      <c r="C53" s="649">
        <v>100</v>
      </c>
      <c r="D53" s="650"/>
      <c r="E53" s="650"/>
      <c r="F53" s="650"/>
      <c r="G53" s="650"/>
      <c r="H53" s="650"/>
      <c r="I53" s="650"/>
      <c r="J53" s="650"/>
      <c r="K53" s="650"/>
      <c r="L53" s="650"/>
      <c r="M53" s="651"/>
      <c r="N53" s="650"/>
      <c r="O53" s="652"/>
      <c r="P53" s="2134"/>
      <c r="Q53" s="1969"/>
      <c r="R53" s="1969"/>
      <c r="S53" s="1969"/>
      <c r="T53" s="1969"/>
      <c r="U53" s="1969"/>
      <c r="V53" s="1969"/>
      <c r="W53" s="1969"/>
      <c r="X53" s="1969"/>
      <c r="Y53" s="1969"/>
      <c r="Z53" s="1969"/>
      <c r="AA53" s="1969"/>
      <c r="AB53" s="1969"/>
      <c r="AC53" s="1969"/>
    </row>
    <row r="54" spans="1:29" s="1206" customFormat="1" ht="15.75" thickBot="1">
      <c r="A54" s="653" t="s">
        <v>574</v>
      </c>
      <c r="B54" s="654"/>
      <c r="C54" s="655"/>
      <c r="D54" s="656"/>
      <c r="E54" s="656"/>
      <c r="F54" s="656"/>
      <c r="G54" s="656"/>
      <c r="H54" s="656"/>
      <c r="I54" s="656"/>
      <c r="J54" s="656"/>
      <c r="K54" s="656"/>
      <c r="L54" s="656"/>
      <c r="M54" s="657"/>
      <c r="N54" s="656"/>
      <c r="O54" s="658"/>
      <c r="P54" s="2134"/>
      <c r="Q54" s="2134"/>
      <c r="R54" s="1969"/>
      <c r="S54" s="1969"/>
      <c r="T54" s="1969"/>
      <c r="U54" s="1969"/>
      <c r="V54" s="1969"/>
      <c r="W54" s="1969"/>
      <c r="X54" s="1969"/>
      <c r="Y54" s="1969"/>
      <c r="Z54" s="1969"/>
      <c r="AA54" s="1969"/>
      <c r="AB54" s="1969"/>
      <c r="AC54" s="1969"/>
    </row>
    <row r="55" spans="1:29" s="1206" customFormat="1" ht="15">
      <c r="A55" s="659" t="s">
        <v>530</v>
      </c>
      <c r="B55" s="648"/>
      <c r="C55" s="660" t="s">
        <v>575</v>
      </c>
      <c r="D55" s="661"/>
      <c r="E55" s="661"/>
      <c r="F55" s="661"/>
      <c r="G55" s="661"/>
      <c r="H55" s="661"/>
      <c r="I55" s="661"/>
      <c r="J55" s="661"/>
      <c r="K55" s="661"/>
      <c r="L55" s="662"/>
      <c r="M55" s="663"/>
      <c r="N55" s="2138"/>
      <c r="O55" s="2138"/>
      <c r="P55" s="2139"/>
      <c r="Q55" s="2134"/>
      <c r="R55" s="1969"/>
      <c r="S55" s="1969"/>
      <c r="T55" s="1969"/>
      <c r="U55" s="1969"/>
      <c r="V55" s="1969"/>
      <c r="W55" s="1969"/>
      <c r="X55" s="1969"/>
      <c r="Y55" s="1969"/>
      <c r="Z55" s="1969"/>
      <c r="AA55" s="1969"/>
      <c r="AB55" s="1969"/>
      <c r="AC55" s="1969"/>
    </row>
    <row r="56" spans="1:29" s="1206" customFormat="1" ht="15.75" thickBot="1">
      <c r="A56" s="659"/>
      <c r="B56" s="648"/>
      <c r="C56" s="649">
        <v>100</v>
      </c>
      <c r="D56" s="650"/>
      <c r="E56" s="650"/>
      <c r="F56" s="650"/>
      <c r="G56" s="650"/>
      <c r="H56" s="650"/>
      <c r="I56" s="650"/>
      <c r="J56" s="650"/>
      <c r="K56" s="650"/>
      <c r="L56" s="650"/>
      <c r="M56" s="652"/>
      <c r="N56" s="2138"/>
      <c r="O56" s="2138"/>
      <c r="P56" s="2134"/>
      <c r="Q56" s="2134"/>
      <c r="R56" s="1969"/>
      <c r="S56" s="1969"/>
      <c r="T56" s="1969"/>
      <c r="U56" s="1969"/>
      <c r="V56" s="1969"/>
      <c r="W56" s="1969"/>
      <c r="X56" s="1969"/>
      <c r="Y56" s="1969"/>
      <c r="Z56" s="1969"/>
      <c r="AA56" s="1969"/>
      <c r="AB56" s="1969"/>
      <c r="AC56" s="1969"/>
    </row>
    <row r="57" spans="1:29">
      <c r="A57" s="664" t="s">
        <v>576</v>
      </c>
      <c r="B57" s="665" t="s">
        <v>533</v>
      </c>
      <c r="C57" s="704">
        <f>C9</f>
        <v>0</v>
      </c>
      <c r="D57" s="598"/>
      <c r="E57" s="598"/>
      <c r="F57" s="598"/>
      <c r="G57" s="598"/>
      <c r="H57" s="598"/>
      <c r="I57" s="598"/>
      <c r="J57" s="598"/>
      <c r="K57" s="666"/>
      <c r="L57" s="667"/>
      <c r="M57" s="668"/>
      <c r="N57" s="2140"/>
      <c r="O57" s="2140"/>
      <c r="P57" s="2141"/>
      <c r="Q57" s="2134"/>
      <c r="R57" s="2121"/>
      <c r="S57" s="2121"/>
      <c r="T57" s="2121"/>
      <c r="U57" s="2121"/>
      <c r="V57" s="2121"/>
      <c r="W57" s="2121"/>
      <c r="X57" s="2121"/>
      <c r="Y57" s="2121"/>
      <c r="Z57" s="2121"/>
      <c r="AA57" s="2121"/>
      <c r="AB57" s="2121"/>
      <c r="AC57" s="2121"/>
    </row>
    <row r="58" spans="1:29" ht="15.75" thickBot="1">
      <c r="A58" s="669"/>
      <c r="B58" s="670"/>
      <c r="C58" s="671"/>
      <c r="D58" s="671"/>
      <c r="E58" s="671"/>
      <c r="F58" s="671"/>
      <c r="G58" s="671"/>
      <c r="H58" s="671"/>
      <c r="I58" s="671"/>
      <c r="J58" s="671"/>
      <c r="K58" s="671"/>
      <c r="L58" s="671"/>
      <c r="M58" s="672"/>
      <c r="N58" s="2142"/>
      <c r="O58" s="2142"/>
      <c r="P58" s="2141"/>
      <c r="Q58" s="2134"/>
      <c r="R58" s="2121"/>
      <c r="S58" s="2121"/>
      <c r="T58" s="2121"/>
      <c r="U58" s="2121"/>
      <c r="V58" s="2121"/>
      <c r="W58" s="2121"/>
      <c r="X58" s="2121"/>
      <c r="Y58" s="2121"/>
      <c r="Z58" s="2121"/>
      <c r="AA58" s="2121"/>
      <c r="AB58" s="2121"/>
      <c r="AC58" s="2121"/>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0"/>
      <c r="O59" s="2140"/>
      <c r="P59" s="2141"/>
      <c r="Q59" s="2134"/>
      <c r="R59" s="2121"/>
      <c r="S59" s="2121"/>
      <c r="T59" s="2121"/>
      <c r="U59" s="2121"/>
      <c r="V59" s="2121"/>
      <c r="W59" s="2121"/>
      <c r="X59" s="2121"/>
      <c r="Y59" s="2121"/>
      <c r="Z59" s="2121"/>
      <c r="AA59" s="2121"/>
      <c r="AB59" s="2121"/>
      <c r="AC59" s="212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2"/>
      <c r="O60" s="2142"/>
      <c r="P60" s="2141"/>
      <c r="Q60" s="2134"/>
      <c r="R60" s="2121"/>
      <c r="S60" s="2121"/>
      <c r="T60" s="2121"/>
      <c r="U60" s="2121"/>
      <c r="V60" s="2121"/>
      <c r="W60" s="2121"/>
      <c r="X60" s="2121"/>
      <c r="Y60" s="2121"/>
      <c r="Z60" s="2121"/>
      <c r="AA60" s="2121"/>
      <c r="AB60" s="2121"/>
      <c r="AC60" s="2121"/>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2"/>
      <c r="O61" s="2142"/>
      <c r="P61" s="2141"/>
      <c r="Q61" s="2134"/>
      <c r="R61" s="2121"/>
      <c r="S61" s="2121"/>
      <c r="T61" s="2121"/>
      <c r="U61" s="2121"/>
      <c r="V61" s="2121"/>
      <c r="W61" s="2121"/>
      <c r="X61" s="2121"/>
      <c r="Y61" s="2121"/>
      <c r="Z61" s="2121"/>
      <c r="AA61" s="2121"/>
      <c r="AB61" s="2121"/>
      <c r="AC61" s="2121"/>
    </row>
    <row r="62" spans="1:29" ht="15">
      <c r="A62" s="669"/>
      <c r="B62" s="683"/>
      <c r="C62" s="541"/>
      <c r="D62" s="541"/>
      <c r="E62" s="541"/>
      <c r="F62" s="541"/>
      <c r="G62" s="541"/>
      <c r="H62" s="541"/>
      <c r="I62" s="541"/>
      <c r="J62" s="541"/>
      <c r="K62" s="684"/>
      <c r="L62" s="685"/>
      <c r="M62" s="686"/>
      <c r="N62" s="2140"/>
      <c r="O62" s="2140"/>
      <c r="P62" s="2141"/>
      <c r="Q62" s="2134"/>
      <c r="R62" s="2121"/>
      <c r="S62" s="2121"/>
      <c r="T62" s="2121"/>
      <c r="U62" s="2121"/>
      <c r="V62" s="2121"/>
      <c r="W62" s="2121"/>
      <c r="X62" s="2121"/>
      <c r="Y62" s="2121"/>
      <c r="Z62" s="2121"/>
      <c r="AA62" s="2121"/>
      <c r="AB62" s="2121"/>
      <c r="AC62" s="212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2"/>
      <c r="O63" s="2142"/>
      <c r="P63" s="2141"/>
      <c r="Q63" s="2134"/>
      <c r="R63" s="2121"/>
      <c r="S63" s="2121"/>
      <c r="T63" s="2121"/>
      <c r="U63" s="2121"/>
      <c r="V63" s="2121"/>
      <c r="W63" s="2121"/>
      <c r="X63" s="2121"/>
      <c r="Y63" s="2121"/>
      <c r="Z63" s="2121"/>
      <c r="AA63" s="2121"/>
      <c r="AB63" s="2121"/>
      <c r="AC63" s="2121"/>
    </row>
    <row r="64" spans="1:29" s="1325" customFormat="1" ht="15.75" thickTop="1">
      <c r="A64" s="687"/>
      <c r="B64" s="673">
        <f>B12</f>
        <v>111</v>
      </c>
      <c r="C64" s="688"/>
      <c r="D64" s="688"/>
      <c r="E64" s="688"/>
      <c r="F64" s="688"/>
      <c r="G64" s="688"/>
      <c r="H64" s="689"/>
      <c r="I64" s="689"/>
      <c r="J64" s="689"/>
      <c r="K64" s="689"/>
      <c r="L64" s="690"/>
      <c r="M64" s="691"/>
      <c r="N64" s="2143"/>
      <c r="O64" s="2143"/>
      <c r="P64" s="2144"/>
      <c r="Q64" s="2145"/>
      <c r="R64" s="2146"/>
      <c r="S64" s="2146"/>
      <c r="T64" s="2146"/>
      <c r="U64" s="2146"/>
      <c r="V64" s="2146"/>
      <c r="W64" s="2146"/>
      <c r="X64" s="2146"/>
      <c r="Y64" s="2146"/>
      <c r="Z64" s="2146"/>
      <c r="AA64" s="2146"/>
      <c r="AB64" s="2146"/>
      <c r="AC64" s="2146"/>
    </row>
    <row r="65" spans="1:29" s="1325" customFormat="1" ht="15.75" thickBot="1">
      <c r="A65" s="687"/>
      <c r="B65" s="678"/>
      <c r="C65" s="692"/>
      <c r="D65" s="671"/>
      <c r="E65" s="671"/>
      <c r="F65" s="671"/>
      <c r="G65" s="671"/>
      <c r="H65" s="671"/>
      <c r="I65" s="671"/>
      <c r="J65" s="671"/>
      <c r="K65" s="671"/>
      <c r="L65" s="671"/>
      <c r="M65" s="672"/>
      <c r="N65" s="2142"/>
      <c r="O65" s="2142"/>
      <c r="P65" s="2144"/>
      <c r="Q65" s="2145"/>
      <c r="R65" s="2146"/>
      <c r="S65" s="2146"/>
      <c r="T65" s="2146"/>
      <c r="U65" s="2146"/>
      <c r="V65" s="2146"/>
      <c r="W65" s="2146"/>
      <c r="X65" s="2146"/>
      <c r="Y65" s="2146"/>
      <c r="Z65" s="2146"/>
      <c r="AA65" s="2146"/>
      <c r="AB65" s="2146"/>
      <c r="AC65" s="2146"/>
    </row>
    <row r="66" spans="1:29" s="1325" customFormat="1" ht="15.75" thickTop="1">
      <c r="A66" s="687"/>
      <c r="B66" s="673">
        <f>B13</f>
        <v>111</v>
      </c>
      <c r="C66" s="688"/>
      <c r="D66" s="688"/>
      <c r="E66" s="688"/>
      <c r="F66" s="688"/>
      <c r="G66" s="688"/>
      <c r="H66" s="689"/>
      <c r="I66" s="689"/>
      <c r="J66" s="689"/>
      <c r="K66" s="689"/>
      <c r="L66" s="690"/>
      <c r="M66" s="691"/>
      <c r="N66" s="2143"/>
      <c r="O66" s="2143"/>
      <c r="P66" s="2147"/>
      <c r="Q66" s="2148"/>
      <c r="R66" s="2146"/>
      <c r="S66" s="2146"/>
      <c r="T66" s="2146"/>
      <c r="U66" s="2146"/>
      <c r="V66" s="2146"/>
      <c r="W66" s="2146"/>
      <c r="X66" s="2146"/>
      <c r="Y66" s="2146"/>
      <c r="Z66" s="2146"/>
      <c r="AA66" s="2146"/>
      <c r="AB66" s="2146"/>
      <c r="AC66" s="2146"/>
    </row>
    <row r="67" spans="1:29" s="1325" customFormat="1" ht="15.75" thickBot="1">
      <c r="A67" s="687"/>
      <c r="B67" s="678"/>
      <c r="C67" s="692"/>
      <c r="D67" s="671"/>
      <c r="E67" s="671"/>
      <c r="F67" s="671"/>
      <c r="G67" s="692"/>
      <c r="H67" s="693"/>
      <c r="I67" s="693"/>
      <c r="J67" s="693"/>
      <c r="K67" s="693"/>
      <c r="L67" s="693"/>
      <c r="M67" s="694"/>
      <c r="N67" s="2143"/>
      <c r="O67" s="2143"/>
      <c r="P67" s="2144"/>
      <c r="Q67" s="2145"/>
      <c r="R67" s="2146"/>
      <c r="S67" s="2146"/>
      <c r="T67" s="2146"/>
      <c r="U67" s="2146"/>
      <c r="V67" s="2146"/>
      <c r="W67" s="2146"/>
      <c r="X67" s="2146"/>
      <c r="Y67" s="2146"/>
      <c r="Z67" s="2146"/>
      <c r="AA67" s="2146"/>
      <c r="AB67" s="2146"/>
      <c r="AC67" s="2146"/>
    </row>
    <row r="68" spans="1:29" s="1325" customFormat="1" ht="15.75" thickTop="1">
      <c r="A68" s="687"/>
      <c r="B68" s="681">
        <f>B14</f>
        <v>111</v>
      </c>
      <c r="C68" s="661"/>
      <c r="D68" s="661"/>
      <c r="E68" s="661"/>
      <c r="F68" s="661"/>
      <c r="G68" s="661"/>
      <c r="H68" s="695"/>
      <c r="I68" s="695"/>
      <c r="J68" s="695"/>
      <c r="K68" s="695"/>
      <c r="L68" s="696"/>
      <c r="M68" s="697"/>
      <c r="N68" s="2143"/>
      <c r="O68" s="2143"/>
      <c r="P68" s="2149"/>
      <c r="Q68" s="2145"/>
      <c r="R68" s="2146"/>
      <c r="S68" s="2146"/>
      <c r="T68" s="2146"/>
      <c r="U68" s="2146"/>
      <c r="V68" s="2146"/>
      <c r="W68" s="2146"/>
      <c r="X68" s="2146"/>
      <c r="Y68" s="2146"/>
      <c r="Z68" s="2146"/>
      <c r="AA68" s="2146"/>
      <c r="AB68" s="2146"/>
      <c r="AC68" s="2146"/>
    </row>
    <row r="69" spans="1:29" s="1325" customFormat="1" ht="15.75" thickBot="1">
      <c r="A69" s="698"/>
      <c r="B69" s="699"/>
      <c r="C69" s="700"/>
      <c r="D69" s="700"/>
      <c r="E69" s="700"/>
      <c r="F69" s="700"/>
      <c r="G69" s="700"/>
      <c r="H69" s="701"/>
      <c r="I69" s="701"/>
      <c r="J69" s="701"/>
      <c r="K69" s="701"/>
      <c r="L69" s="701"/>
      <c r="M69" s="702"/>
      <c r="N69" s="2143"/>
      <c r="O69" s="2143"/>
      <c r="P69" s="2144"/>
      <c r="Q69" s="2145"/>
      <c r="R69" s="2146"/>
      <c r="S69" s="2146"/>
      <c r="T69" s="2146"/>
      <c r="U69" s="2146"/>
      <c r="V69" s="2146"/>
      <c r="W69" s="2146"/>
      <c r="X69" s="2146"/>
      <c r="Y69" s="2146"/>
      <c r="Z69" s="2146"/>
      <c r="AA69" s="2146"/>
      <c r="AB69" s="2146"/>
      <c r="AC69" s="2146"/>
    </row>
    <row r="70" spans="1:29">
      <c r="A70" s="664" t="s">
        <v>538</v>
      </c>
      <c r="B70" s="665" t="s">
        <v>584</v>
      </c>
      <c r="C70" s="703" t="s">
        <v>578</v>
      </c>
      <c r="D70" s="703" t="s">
        <v>579</v>
      </c>
      <c r="E70" s="703" t="s">
        <v>580</v>
      </c>
      <c r="F70" s="703" t="s">
        <v>581</v>
      </c>
      <c r="G70" s="703" t="s">
        <v>582</v>
      </c>
      <c r="H70" s="704"/>
      <c r="I70" s="704"/>
      <c r="J70" s="704"/>
      <c r="K70" s="705"/>
      <c r="L70" s="706"/>
      <c r="M70" s="707"/>
      <c r="N70" s="2140"/>
      <c r="O70" s="2140"/>
      <c r="P70" s="2150"/>
      <c r="Q70" s="2134"/>
      <c r="R70" s="2121"/>
      <c r="S70" s="2121"/>
      <c r="T70" s="2121"/>
      <c r="U70" s="2121"/>
      <c r="V70" s="2121"/>
      <c r="W70" s="2121"/>
      <c r="X70" s="2121"/>
      <c r="Y70" s="2121"/>
      <c r="Z70" s="2121"/>
      <c r="AA70" s="2121"/>
      <c r="AB70" s="2121"/>
      <c r="AC70" s="212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2"/>
      <c r="O71" s="2142"/>
      <c r="P71" s="2141"/>
      <c r="Q71" s="2134"/>
      <c r="R71" s="2121"/>
      <c r="S71" s="2121"/>
      <c r="T71" s="2121"/>
      <c r="U71" s="2121"/>
      <c r="V71" s="2121"/>
      <c r="W71" s="2121"/>
      <c r="X71" s="2121"/>
      <c r="Y71" s="2121"/>
      <c r="Z71" s="2121"/>
      <c r="AA71" s="2121"/>
      <c r="AB71" s="2121"/>
      <c r="AC71" s="2121"/>
    </row>
    <row r="72" spans="1:29" ht="15.75" thickTop="1">
      <c r="A72" s="669"/>
      <c r="B72" s="673" t="s">
        <v>585</v>
      </c>
      <c r="C72" s="708" t="s">
        <v>578</v>
      </c>
      <c r="D72" s="708" t="s">
        <v>579</v>
      </c>
      <c r="E72" s="708" t="s">
        <v>580</v>
      </c>
      <c r="F72" s="708" t="s">
        <v>581</v>
      </c>
      <c r="G72" s="708" t="s">
        <v>582</v>
      </c>
      <c r="H72" s="674"/>
      <c r="I72" s="674"/>
      <c r="J72" s="674"/>
      <c r="K72" s="675"/>
      <c r="L72" s="676"/>
      <c r="M72" s="677"/>
      <c r="N72" s="2140"/>
      <c r="O72" s="2140"/>
      <c r="P72" s="2141"/>
      <c r="Q72" s="2134"/>
      <c r="R72" s="2121"/>
      <c r="S72" s="2121"/>
      <c r="T72" s="2121"/>
      <c r="U72" s="2121"/>
      <c r="V72" s="2121"/>
      <c r="W72" s="2121"/>
      <c r="X72" s="2121"/>
      <c r="Y72" s="2121"/>
      <c r="Z72" s="2121"/>
      <c r="AA72" s="2121"/>
      <c r="AB72" s="2121"/>
      <c r="AC72" s="212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2"/>
      <c r="O73" s="2142"/>
      <c r="P73" s="2141"/>
      <c r="Q73" s="2134"/>
      <c r="R73" s="2121"/>
      <c r="S73" s="2121"/>
      <c r="T73" s="2121"/>
      <c r="U73" s="2121"/>
      <c r="V73" s="2121"/>
      <c r="W73" s="2121"/>
      <c r="X73" s="2121"/>
      <c r="Y73" s="2121"/>
      <c r="Z73" s="2121"/>
      <c r="AA73" s="2121"/>
      <c r="AB73" s="2121"/>
      <c r="AC73" s="2121"/>
    </row>
    <row r="74" spans="1:29" ht="15.75" thickTop="1">
      <c r="A74" s="669"/>
      <c r="B74" s="1872" t="s">
        <v>2532</v>
      </c>
      <c r="C74" s="708" t="s">
        <v>578</v>
      </c>
      <c r="D74" s="708" t="s">
        <v>579</v>
      </c>
      <c r="E74" s="708" t="s">
        <v>580</v>
      </c>
      <c r="F74" s="708" t="s">
        <v>581</v>
      </c>
      <c r="G74" s="708" t="s">
        <v>582</v>
      </c>
      <c r="H74" s="674"/>
      <c r="I74" s="674"/>
      <c r="J74" s="674"/>
      <c r="K74" s="675"/>
      <c r="L74" s="676"/>
      <c r="M74" s="677"/>
      <c r="N74" s="2140"/>
      <c r="O74" s="2140"/>
      <c r="P74" s="2141"/>
      <c r="Q74" s="2134"/>
      <c r="R74" s="2121"/>
      <c r="S74" s="2121"/>
      <c r="T74" s="2121"/>
      <c r="U74" s="2121"/>
      <c r="V74" s="2121"/>
      <c r="W74" s="2121"/>
      <c r="X74" s="2121"/>
      <c r="Y74" s="2121"/>
      <c r="Z74" s="2121"/>
      <c r="AA74" s="2121"/>
      <c r="AB74" s="2121"/>
      <c r="AC74" s="212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2"/>
      <c r="O75" s="2142"/>
      <c r="P75" s="2141"/>
      <c r="Q75" s="2134"/>
      <c r="R75" s="2121"/>
      <c r="S75" s="2121"/>
      <c r="T75" s="2121"/>
      <c r="U75" s="2121"/>
      <c r="V75" s="2121"/>
      <c r="W75" s="2121"/>
      <c r="X75" s="2121"/>
      <c r="Y75" s="2121"/>
      <c r="Z75" s="2121"/>
      <c r="AA75" s="2121"/>
      <c r="AB75" s="2121"/>
      <c r="AC75" s="2121"/>
    </row>
    <row r="76" spans="1:29" ht="15.75" thickTop="1">
      <c r="A76" s="669"/>
      <c r="B76" s="2536" t="s">
        <v>2533</v>
      </c>
      <c r="C76" s="2537" t="s">
        <v>2534</v>
      </c>
      <c r="D76" s="2537" t="s">
        <v>2535</v>
      </c>
      <c r="E76" s="2537" t="s">
        <v>2536</v>
      </c>
      <c r="F76" s="2537" t="s">
        <v>2537</v>
      </c>
      <c r="G76" s="2537" t="s">
        <v>2538</v>
      </c>
      <c r="H76" s="926"/>
      <c r="I76" s="926"/>
      <c r="J76" s="926"/>
      <c r="K76" s="926"/>
      <c r="L76" s="926"/>
      <c r="M76" s="559"/>
      <c r="N76" s="2142"/>
      <c r="O76" s="2142"/>
      <c r="P76" s="2141"/>
      <c r="Q76" s="2134"/>
      <c r="R76" s="2121"/>
      <c r="S76" s="2121"/>
      <c r="T76" s="2121"/>
      <c r="U76" s="2121"/>
      <c r="V76" s="2121"/>
      <c r="W76" s="2121"/>
      <c r="X76" s="2121"/>
      <c r="Y76" s="2121"/>
      <c r="Z76" s="2121"/>
      <c r="AA76" s="2121"/>
      <c r="AB76" s="2121"/>
      <c r="AC76" s="212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2"/>
      <c r="O77" s="2142"/>
      <c r="P77" s="2141"/>
      <c r="Q77" s="2134"/>
      <c r="R77" s="2121"/>
      <c r="S77" s="2121"/>
      <c r="T77" s="2121"/>
      <c r="U77" s="2121"/>
      <c r="V77" s="2121"/>
      <c r="W77" s="2121"/>
      <c r="X77" s="2121"/>
      <c r="Y77" s="2121"/>
      <c r="Z77" s="2121"/>
      <c r="AA77" s="2121"/>
      <c r="AB77" s="2121"/>
      <c r="AC77" s="2121"/>
    </row>
    <row r="78" spans="1:29" ht="15.75" thickTop="1">
      <c r="A78" s="669"/>
      <c r="B78" s="673" t="s">
        <v>765</v>
      </c>
      <c r="C78" s="708" t="s">
        <v>578</v>
      </c>
      <c r="D78" s="708" t="s">
        <v>579</v>
      </c>
      <c r="E78" s="708" t="s">
        <v>580</v>
      </c>
      <c r="F78" s="708" t="s">
        <v>581</v>
      </c>
      <c r="G78" s="708" t="s">
        <v>582</v>
      </c>
      <c r="H78" s="674"/>
      <c r="I78" s="674"/>
      <c r="J78" s="674"/>
      <c r="K78" s="675"/>
      <c r="L78" s="676"/>
      <c r="M78" s="677"/>
      <c r="N78" s="2140"/>
      <c r="O78" s="2140"/>
      <c r="P78" s="2141"/>
      <c r="Q78" s="2134"/>
      <c r="R78" s="2121"/>
      <c r="S78" s="2121"/>
      <c r="T78" s="2121"/>
      <c r="U78" s="2121"/>
      <c r="V78" s="2121"/>
      <c r="W78" s="2121"/>
      <c r="X78" s="2121"/>
      <c r="Y78" s="2121"/>
      <c r="Z78" s="2121"/>
      <c r="AA78" s="2121"/>
      <c r="AB78" s="2121"/>
      <c r="AC78" s="212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2"/>
      <c r="O79" s="2142"/>
      <c r="P79" s="2141"/>
      <c r="Q79" s="2134"/>
      <c r="R79" s="2121"/>
      <c r="S79" s="2121"/>
      <c r="T79" s="2121"/>
      <c r="U79" s="2121"/>
      <c r="V79" s="2121"/>
      <c r="W79" s="2121"/>
      <c r="X79" s="2121"/>
      <c r="Y79" s="2121"/>
      <c r="Z79" s="2121"/>
      <c r="AA79" s="2121"/>
      <c r="AB79" s="2121"/>
      <c r="AC79" s="2121"/>
    </row>
    <row r="80" spans="1:29" s="1206" customFormat="1" ht="15.75" thickTop="1">
      <c r="A80" s="709"/>
      <c r="B80" s="673">
        <f>B25</f>
        <v>111</v>
      </c>
      <c r="C80" s="688"/>
      <c r="D80" s="688"/>
      <c r="E80" s="688"/>
      <c r="F80" s="688"/>
      <c r="G80" s="688"/>
      <c r="H80" s="688"/>
      <c r="I80" s="688"/>
      <c r="J80" s="688"/>
      <c r="K80" s="688"/>
      <c r="L80" s="890"/>
      <c r="M80" s="891"/>
      <c r="N80" s="2138"/>
      <c r="O80" s="2138"/>
      <c r="P80" s="2141"/>
      <c r="Q80" s="2134"/>
      <c r="R80" s="1969"/>
      <c r="S80" s="1969"/>
      <c r="T80" s="1969"/>
      <c r="U80" s="1969"/>
      <c r="V80" s="1969"/>
      <c r="W80" s="1969"/>
      <c r="X80" s="1969"/>
      <c r="Y80" s="1969"/>
      <c r="Z80" s="1969"/>
      <c r="AA80" s="1969"/>
      <c r="AB80" s="1969"/>
      <c r="AC80" s="1969"/>
    </row>
    <row r="81" spans="1:29" s="1206" customFormat="1" ht="15.75" thickBot="1">
      <c r="A81" s="709"/>
      <c r="B81" s="678"/>
      <c r="C81" s="692"/>
      <c r="D81" s="671"/>
      <c r="E81" s="671"/>
      <c r="F81" s="671"/>
      <c r="G81" s="671"/>
      <c r="H81" s="671"/>
      <c r="I81" s="671"/>
      <c r="J81" s="671"/>
      <c r="K81" s="671"/>
      <c r="L81" s="671"/>
      <c r="M81" s="672"/>
      <c r="N81" s="2142"/>
      <c r="O81" s="2142"/>
      <c r="P81" s="2141"/>
      <c r="Q81" s="2134"/>
      <c r="R81" s="1969"/>
      <c r="S81" s="1969"/>
      <c r="T81" s="1969"/>
      <c r="U81" s="1969"/>
      <c r="V81" s="1969"/>
      <c r="W81" s="1969"/>
      <c r="X81" s="1969"/>
      <c r="Y81" s="1969"/>
      <c r="Z81" s="1969"/>
      <c r="AA81" s="1969"/>
      <c r="AB81" s="1969"/>
      <c r="AC81" s="1969"/>
    </row>
    <row r="82" spans="1:29" s="1206" customFormat="1" ht="15.75" thickTop="1">
      <c r="A82" s="709"/>
      <c r="B82" s="673">
        <f>B26</f>
        <v>111</v>
      </c>
      <c r="C82" s="688"/>
      <c r="D82" s="688"/>
      <c r="E82" s="688"/>
      <c r="F82" s="688"/>
      <c r="G82" s="688"/>
      <c r="H82" s="688"/>
      <c r="I82" s="688"/>
      <c r="J82" s="688"/>
      <c r="K82" s="688"/>
      <c r="L82" s="890"/>
      <c r="M82" s="891"/>
      <c r="N82" s="2138"/>
      <c r="O82" s="2138"/>
      <c r="P82" s="2141"/>
      <c r="Q82" s="2134"/>
      <c r="R82" s="1969"/>
      <c r="S82" s="1969"/>
      <c r="T82" s="1969"/>
      <c r="U82" s="1969"/>
      <c r="V82" s="1969"/>
      <c r="W82" s="1969"/>
      <c r="X82" s="1969"/>
      <c r="Y82" s="1969"/>
      <c r="Z82" s="1969"/>
      <c r="AA82" s="1969"/>
      <c r="AB82" s="1969"/>
      <c r="AC82" s="1969"/>
    </row>
    <row r="83" spans="1:29" s="1206" customFormat="1" ht="15.75" thickBot="1">
      <c r="A83" s="709"/>
      <c r="B83" s="678"/>
      <c r="C83" s="692"/>
      <c r="D83" s="671"/>
      <c r="E83" s="671"/>
      <c r="F83" s="671"/>
      <c r="G83" s="671"/>
      <c r="H83" s="671"/>
      <c r="I83" s="671"/>
      <c r="J83" s="671"/>
      <c r="K83" s="671"/>
      <c r="L83" s="671"/>
      <c r="M83" s="672"/>
      <c r="N83" s="2142"/>
      <c r="O83" s="2142"/>
      <c r="P83" s="2141"/>
      <c r="Q83" s="2134"/>
      <c r="R83" s="1969"/>
      <c r="S83" s="1969"/>
      <c r="T83" s="1969"/>
      <c r="U83" s="1969"/>
      <c r="V83" s="1969"/>
      <c r="W83" s="1969"/>
      <c r="X83" s="1969"/>
      <c r="Y83" s="1969"/>
      <c r="Z83" s="1969"/>
      <c r="AA83" s="1969"/>
      <c r="AB83" s="1969"/>
      <c r="AC83" s="1969"/>
    </row>
    <row r="84" spans="1:29" s="1325" customFormat="1" ht="15.75" thickTop="1">
      <c r="A84" s="687"/>
      <c r="B84" s="673">
        <f>B27</f>
        <v>111</v>
      </c>
      <c r="C84" s="688"/>
      <c r="D84" s="688"/>
      <c r="E84" s="688"/>
      <c r="F84" s="688"/>
      <c r="G84" s="688"/>
      <c r="H84" s="688"/>
      <c r="I84" s="688"/>
      <c r="J84" s="688"/>
      <c r="K84" s="688"/>
      <c r="L84" s="890"/>
      <c r="M84" s="891"/>
      <c r="N84" s="2143"/>
      <c r="O84" s="2143"/>
      <c r="P84" s="2144"/>
      <c r="Q84" s="2145"/>
      <c r="R84" s="2146"/>
      <c r="S84" s="2146"/>
      <c r="T84" s="2146"/>
      <c r="U84" s="2146"/>
      <c r="V84" s="2146"/>
      <c r="W84" s="2146"/>
      <c r="X84" s="2146"/>
      <c r="Y84" s="2146"/>
      <c r="Z84" s="2146"/>
      <c r="AA84" s="2146"/>
      <c r="AB84" s="2146"/>
      <c r="AC84" s="2146"/>
    </row>
    <row r="85" spans="1:29" s="1325" customFormat="1" ht="15.75" thickBot="1">
      <c r="A85" s="687"/>
      <c r="B85" s="678"/>
      <c r="C85" s="692"/>
      <c r="D85" s="671"/>
      <c r="E85" s="671"/>
      <c r="F85" s="671"/>
      <c r="G85" s="671"/>
      <c r="H85" s="671"/>
      <c r="I85" s="671"/>
      <c r="J85" s="671"/>
      <c r="K85" s="671"/>
      <c r="L85" s="671"/>
      <c r="M85" s="672"/>
      <c r="N85" s="2143"/>
      <c r="O85" s="2143"/>
      <c r="P85" s="2144"/>
      <c r="Q85" s="2145"/>
      <c r="R85" s="2146"/>
      <c r="S85" s="2146"/>
      <c r="T85" s="2146"/>
      <c r="U85" s="2146"/>
      <c r="V85" s="2146"/>
      <c r="W85" s="2146"/>
      <c r="X85" s="2146"/>
      <c r="Y85" s="2146"/>
      <c r="Z85" s="2146"/>
      <c r="AA85" s="2146"/>
      <c r="AB85" s="2146"/>
      <c r="AC85" s="2146"/>
    </row>
    <row r="86" spans="1:29" ht="15.75" thickTop="1">
      <c r="A86" s="669"/>
      <c r="B86" s="681">
        <f>B28</f>
        <v>111</v>
      </c>
      <c r="C86" s="661"/>
      <c r="D86" s="661"/>
      <c r="E86" s="661"/>
      <c r="F86" s="661"/>
      <c r="G86" s="722"/>
      <c r="H86" s="722"/>
      <c r="I86" s="722"/>
      <c r="J86" s="722"/>
      <c r="K86" s="723"/>
      <c r="L86" s="724"/>
      <c r="M86" s="725"/>
      <c r="N86" s="2140"/>
      <c r="O86" s="2140"/>
      <c r="P86" s="2141"/>
      <c r="Q86" s="2134"/>
      <c r="R86" s="2121"/>
      <c r="S86" s="2121"/>
      <c r="T86" s="2121"/>
      <c r="U86" s="2121"/>
      <c r="V86" s="2121"/>
      <c r="W86" s="2121"/>
      <c r="X86" s="2121"/>
      <c r="Y86" s="2121"/>
      <c r="Z86" s="2121"/>
      <c r="AA86" s="2121"/>
      <c r="AB86" s="2121"/>
      <c r="AC86" s="2121"/>
    </row>
    <row r="87" spans="1:29" ht="15.75" thickBot="1">
      <c r="A87" s="893"/>
      <c r="B87" s="699"/>
      <c r="C87" s="700"/>
      <c r="D87" s="700"/>
      <c r="E87" s="700"/>
      <c r="F87" s="700"/>
      <c r="G87" s="726"/>
      <c r="H87" s="726"/>
      <c r="I87" s="726"/>
      <c r="J87" s="726"/>
      <c r="K87" s="726"/>
      <c r="L87" s="726"/>
      <c r="M87" s="727"/>
      <c r="N87" s="2142"/>
      <c r="O87" s="2142"/>
      <c r="P87" s="2141"/>
      <c r="Q87" s="2134"/>
      <c r="R87" s="2121"/>
      <c r="S87" s="2121"/>
      <c r="T87" s="2121"/>
      <c r="U87" s="2121"/>
      <c r="V87" s="2121"/>
      <c r="W87" s="2121"/>
      <c r="X87" s="2121"/>
      <c r="Y87" s="2121"/>
      <c r="Z87" s="2121"/>
      <c r="AA87" s="2121"/>
      <c r="AB87" s="2121"/>
      <c r="AC87" s="2121"/>
    </row>
    <row r="88" spans="1:29">
      <c r="A88" s="664" t="s">
        <v>550</v>
      </c>
      <c r="B88" s="665" t="s">
        <v>746</v>
      </c>
      <c r="C88" s="598"/>
      <c r="D88" s="598"/>
      <c r="E88" s="598"/>
      <c r="F88" s="598"/>
      <c r="G88" s="598"/>
      <c r="H88" s="598"/>
      <c r="I88" s="598"/>
      <c r="J88" s="598"/>
      <c r="K88" s="666"/>
      <c r="L88" s="667"/>
      <c r="M88" s="668"/>
      <c r="N88" s="2140"/>
      <c r="O88" s="2140"/>
      <c r="P88" s="2141"/>
      <c r="Q88" s="2134"/>
      <c r="R88" s="2121"/>
      <c r="S88" s="2121"/>
      <c r="T88" s="2121"/>
      <c r="U88" s="2121"/>
      <c r="V88" s="2121"/>
      <c r="W88" s="2121"/>
      <c r="X88" s="2121"/>
      <c r="Y88" s="2121"/>
      <c r="Z88" s="2121"/>
      <c r="AA88" s="2121"/>
      <c r="AB88" s="2121"/>
      <c r="AC88" s="212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2"/>
      <c r="O89" s="2142"/>
      <c r="P89" s="2141"/>
      <c r="Q89" s="2134"/>
      <c r="R89" s="2121"/>
      <c r="S89" s="2121"/>
      <c r="T89" s="2121"/>
      <c r="U89" s="2121"/>
      <c r="V89" s="2121"/>
      <c r="W89" s="2121"/>
      <c r="X89" s="2121"/>
      <c r="Y89" s="2121"/>
      <c r="Z89" s="2121"/>
      <c r="AA89" s="2121"/>
      <c r="AB89" s="2121"/>
      <c r="AC89" s="2121"/>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38"/>
      <c r="O90" s="2138"/>
      <c r="P90" s="2141"/>
      <c r="Q90" s="2134"/>
      <c r="R90" s="2121"/>
      <c r="S90" s="2121"/>
      <c r="T90" s="2121"/>
      <c r="U90" s="2121"/>
      <c r="V90" s="2121"/>
      <c r="W90" s="2121"/>
      <c r="X90" s="2121"/>
      <c r="Y90" s="2121"/>
      <c r="Z90" s="2121"/>
      <c r="AA90" s="2121"/>
      <c r="AB90" s="2121"/>
      <c r="AC90" s="2121"/>
    </row>
    <row r="91" spans="1:29" s="1325" customFormat="1">
      <c r="A91" s="728"/>
      <c r="B91" s="729"/>
      <c r="C91" s="730"/>
      <c r="D91" s="730"/>
      <c r="E91" s="730"/>
      <c r="F91" s="730"/>
      <c r="G91" s="730"/>
      <c r="H91" s="730"/>
      <c r="I91" s="730"/>
      <c r="J91" s="731"/>
      <c r="K91" s="731"/>
      <c r="L91" s="732"/>
      <c r="M91" s="733"/>
      <c r="N91" s="2143"/>
      <c r="O91" s="2143"/>
      <c r="P91" s="2144"/>
      <c r="Q91" s="2145"/>
      <c r="R91" s="2146"/>
      <c r="S91" s="2146"/>
      <c r="T91" s="2146"/>
      <c r="U91" s="2146"/>
      <c r="V91" s="2146"/>
      <c r="W91" s="2146"/>
      <c r="X91" s="2146"/>
      <c r="Y91" s="2146"/>
      <c r="Z91" s="2146"/>
      <c r="AA91" s="2146"/>
      <c r="AB91" s="2146"/>
      <c r="AC91" s="2146"/>
    </row>
    <row r="92" spans="1:29" s="1325" customFormat="1" ht="15.75" thickBot="1">
      <c r="A92" s="687"/>
      <c r="B92" s="678"/>
      <c r="C92" s="692"/>
      <c r="D92" s="671"/>
      <c r="E92" s="671"/>
      <c r="F92" s="671"/>
      <c r="G92" s="671"/>
      <c r="H92" s="671"/>
      <c r="I92" s="671"/>
      <c r="J92" s="671"/>
      <c r="K92" s="671"/>
      <c r="L92" s="671"/>
      <c r="M92" s="672"/>
      <c r="N92" s="2142"/>
      <c r="O92" s="2142"/>
      <c r="P92" s="2144"/>
      <c r="Q92" s="2145"/>
      <c r="R92" s="2146"/>
      <c r="S92" s="2146"/>
      <c r="T92" s="2146"/>
      <c r="U92" s="2146"/>
      <c r="V92" s="2146"/>
      <c r="W92" s="2146"/>
      <c r="X92" s="2146"/>
      <c r="Y92" s="2146"/>
      <c r="Z92" s="2146"/>
      <c r="AA92" s="2146"/>
      <c r="AB92" s="2146"/>
      <c r="AC92" s="2146"/>
    </row>
    <row r="93" spans="1:29" ht="15" thickTop="1">
      <c r="A93" s="735"/>
      <c r="B93" s="673" t="s">
        <v>748</v>
      </c>
      <c r="C93" s="688"/>
      <c r="D93" s="688"/>
      <c r="E93" s="718"/>
      <c r="F93" s="718"/>
      <c r="G93" s="718"/>
      <c r="H93" s="718"/>
      <c r="I93" s="718"/>
      <c r="J93" s="718"/>
      <c r="K93" s="719"/>
      <c r="L93" s="720"/>
      <c r="M93" s="721"/>
      <c r="N93" s="2140"/>
      <c r="O93" s="2140"/>
      <c r="P93" s="2141"/>
      <c r="Q93" s="2134"/>
      <c r="R93" s="2121"/>
      <c r="S93" s="2121"/>
      <c r="T93" s="2121"/>
      <c r="U93" s="2121"/>
      <c r="V93" s="2121"/>
      <c r="W93" s="2121"/>
      <c r="X93" s="2121"/>
      <c r="Y93" s="2121"/>
      <c r="Z93" s="2121"/>
      <c r="AA93" s="2121"/>
      <c r="AB93" s="2121"/>
      <c r="AC93" s="212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2"/>
      <c r="O94" s="2142"/>
      <c r="P94" s="2141"/>
      <c r="Q94" s="2134"/>
      <c r="R94" s="2121"/>
      <c r="S94" s="2121"/>
      <c r="T94" s="2121"/>
      <c r="U94" s="2121"/>
      <c r="V94" s="2121"/>
      <c r="W94" s="2121"/>
      <c r="X94" s="2121"/>
      <c r="Y94" s="2121"/>
      <c r="Z94" s="2121"/>
      <c r="AA94" s="2121"/>
      <c r="AB94" s="2121"/>
      <c r="AC94" s="2121"/>
    </row>
    <row r="95" spans="1:29" ht="15" thickTop="1">
      <c r="A95" s="735"/>
      <c r="B95" s="673" t="s">
        <v>750</v>
      </c>
      <c r="C95" s="688"/>
      <c r="D95" s="688"/>
      <c r="E95" s="688"/>
      <c r="F95" s="718"/>
      <c r="G95" s="718"/>
      <c r="H95" s="718"/>
      <c r="I95" s="718"/>
      <c r="J95" s="718"/>
      <c r="K95" s="719"/>
      <c r="L95" s="720"/>
      <c r="M95" s="721"/>
      <c r="N95" s="2140"/>
      <c r="O95" s="2140"/>
      <c r="P95" s="2141"/>
      <c r="Q95" s="2134"/>
      <c r="R95" s="2121"/>
      <c r="S95" s="2121"/>
      <c r="T95" s="2121"/>
      <c r="U95" s="2121"/>
      <c r="V95" s="2121"/>
      <c r="W95" s="2121"/>
      <c r="X95" s="2121"/>
      <c r="Y95" s="2121"/>
      <c r="Z95" s="2121"/>
      <c r="AA95" s="2121"/>
      <c r="AB95" s="2121"/>
      <c r="AC95" s="212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2"/>
      <c r="O96" s="2142"/>
      <c r="P96" s="2141"/>
      <c r="Q96" s="2134"/>
      <c r="R96" s="2121"/>
      <c r="S96" s="2121"/>
      <c r="T96" s="2121"/>
      <c r="U96" s="2121"/>
      <c r="V96" s="2121"/>
      <c r="W96" s="2121"/>
      <c r="X96" s="2121"/>
      <c r="Y96" s="2121"/>
      <c r="Z96" s="2121"/>
      <c r="AA96" s="2121"/>
      <c r="AB96" s="2121"/>
      <c r="AC96" s="2121"/>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0"/>
      <c r="O97" s="2140"/>
      <c r="P97" s="2141"/>
      <c r="Q97" s="2134"/>
      <c r="R97" s="2121"/>
      <c r="S97" s="2121"/>
      <c r="T97" s="2121"/>
      <c r="U97" s="2121"/>
      <c r="V97" s="2121"/>
      <c r="W97" s="2121"/>
      <c r="X97" s="2121"/>
      <c r="Y97" s="2121"/>
      <c r="Z97" s="2121"/>
      <c r="AA97" s="2121"/>
      <c r="AB97" s="2121"/>
      <c r="AC97" s="2121"/>
    </row>
    <row r="98" spans="1:29">
      <c r="A98" s="735"/>
      <c r="B98" s="681"/>
      <c r="C98" s="894">
        <v>0.5</v>
      </c>
      <c r="D98" s="894">
        <v>0.6</v>
      </c>
      <c r="E98" s="894">
        <v>0.7</v>
      </c>
      <c r="F98" s="894">
        <v>0.8</v>
      </c>
      <c r="G98" s="894">
        <v>0.9</v>
      </c>
      <c r="H98" s="894">
        <v>1.0001</v>
      </c>
      <c r="I98" s="900"/>
      <c r="J98" s="900"/>
      <c r="K98" s="901"/>
      <c r="L98" s="902"/>
      <c r="M98" s="903"/>
      <c r="N98" s="2140"/>
      <c r="O98" s="2140"/>
      <c r="P98" s="2141"/>
      <c r="Q98" s="2134"/>
      <c r="R98" s="2121"/>
      <c r="S98" s="2121"/>
      <c r="T98" s="2121"/>
      <c r="U98" s="2121"/>
      <c r="V98" s="2121"/>
      <c r="W98" s="2121"/>
      <c r="X98" s="2121"/>
      <c r="Y98" s="2121"/>
      <c r="Z98" s="2121"/>
      <c r="AA98" s="2121"/>
      <c r="AB98" s="2121"/>
      <c r="AC98" s="212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2"/>
      <c r="O99" s="2142"/>
      <c r="P99" s="2141"/>
      <c r="Q99" s="2134"/>
      <c r="R99" s="2121"/>
      <c r="S99" s="2121"/>
      <c r="T99" s="2121"/>
      <c r="U99" s="2121"/>
      <c r="V99" s="2121"/>
      <c r="W99" s="2121"/>
      <c r="X99" s="2121"/>
      <c r="Y99" s="2121"/>
      <c r="Z99" s="2121"/>
      <c r="AA99" s="2121"/>
      <c r="AB99" s="2121"/>
      <c r="AC99" s="2121"/>
    </row>
    <row r="100" spans="1:29" s="1325" customFormat="1" ht="15" thickTop="1">
      <c r="A100" s="728"/>
      <c r="B100" s="673" t="s">
        <v>752</v>
      </c>
      <c r="C100" s="688"/>
      <c r="D100" s="688"/>
      <c r="E100" s="688"/>
      <c r="F100" s="688"/>
      <c r="G100" s="688"/>
      <c r="H100" s="718"/>
      <c r="I100" s="718"/>
      <c r="J100" s="718"/>
      <c r="K100" s="719"/>
      <c r="L100" s="720"/>
      <c r="M100" s="721"/>
      <c r="N100" s="2143"/>
      <c r="O100" s="2143"/>
      <c r="P100" s="2144"/>
      <c r="Q100" s="2145"/>
      <c r="R100" s="2146"/>
      <c r="S100" s="2146"/>
      <c r="T100" s="2146"/>
      <c r="U100" s="2146"/>
      <c r="V100" s="2146"/>
      <c r="W100" s="2146"/>
      <c r="X100" s="2146"/>
      <c r="Y100" s="2146"/>
      <c r="Z100" s="2146"/>
      <c r="AA100" s="2146"/>
      <c r="AB100" s="2146"/>
      <c r="AC100" s="2146"/>
    </row>
    <row r="101" spans="1:29" s="132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43"/>
      <c r="O101" s="2143"/>
      <c r="P101" s="2144"/>
      <c r="Q101" s="2145"/>
      <c r="R101" s="2146"/>
      <c r="S101" s="2146"/>
      <c r="T101" s="2146"/>
      <c r="U101" s="2146"/>
      <c r="V101" s="2146"/>
      <c r="W101" s="2146"/>
      <c r="X101" s="2146"/>
      <c r="Y101" s="2146"/>
      <c r="Z101" s="2146"/>
      <c r="AA101" s="2146"/>
      <c r="AB101" s="2146"/>
      <c r="AC101" s="2146"/>
    </row>
    <row r="102" spans="1:29" ht="15" thickTop="1">
      <c r="A102" s="735"/>
      <c r="B102" s="1872" t="s">
        <v>2531</v>
      </c>
      <c r="C102" s="688"/>
      <c r="D102" s="688"/>
      <c r="E102" s="688"/>
      <c r="F102" s="688"/>
      <c r="G102" s="688"/>
      <c r="H102" s="718"/>
      <c r="I102" s="718"/>
      <c r="J102" s="718"/>
      <c r="K102" s="719"/>
      <c r="L102" s="720"/>
      <c r="M102" s="721"/>
      <c r="N102" s="2140"/>
      <c r="O102" s="2140"/>
      <c r="P102" s="2141"/>
      <c r="Q102" s="2134"/>
      <c r="R102" s="2121"/>
      <c r="S102" s="2121"/>
      <c r="T102" s="2121"/>
      <c r="U102" s="2121"/>
      <c r="V102" s="2121"/>
      <c r="W102" s="2121"/>
      <c r="X102" s="2121"/>
      <c r="Y102" s="2121"/>
      <c r="Z102" s="2121"/>
      <c r="AA102" s="2121"/>
      <c r="AB102" s="2121"/>
      <c r="AC102" s="212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2"/>
      <c r="O103" s="2142"/>
      <c r="P103" s="2141"/>
      <c r="Q103" s="2134"/>
      <c r="R103" s="2121"/>
      <c r="S103" s="2121"/>
      <c r="T103" s="2121"/>
      <c r="U103" s="2121"/>
      <c r="V103" s="2121"/>
      <c r="W103" s="2121"/>
      <c r="X103" s="2121"/>
      <c r="Y103" s="2121"/>
      <c r="Z103" s="2121"/>
      <c r="AA103" s="2121"/>
      <c r="AB103" s="2121"/>
      <c r="AC103" s="2121"/>
    </row>
    <row r="104" spans="1:29" ht="15" thickTop="1">
      <c r="A104" s="735"/>
      <c r="B104" s="673" t="s">
        <v>754</v>
      </c>
      <c r="C104" s="688"/>
      <c r="D104" s="688"/>
      <c r="E104" s="688"/>
      <c r="F104" s="688"/>
      <c r="G104" s="688"/>
      <c r="H104" s="718"/>
      <c r="I104" s="718"/>
      <c r="J104" s="718"/>
      <c r="K104" s="719"/>
      <c r="L104" s="720"/>
      <c r="M104" s="721"/>
      <c r="N104" s="2140"/>
      <c r="O104" s="2140"/>
      <c r="P104" s="2141"/>
      <c r="Q104" s="2134"/>
      <c r="R104" s="2121"/>
      <c r="S104" s="2121"/>
      <c r="T104" s="2121"/>
      <c r="U104" s="2121"/>
      <c r="V104" s="2121"/>
      <c r="W104" s="2121"/>
      <c r="X104" s="2121"/>
      <c r="Y104" s="2121"/>
      <c r="Z104" s="2121"/>
      <c r="AA104" s="2121"/>
      <c r="AB104" s="2121"/>
      <c r="AC104" s="212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2"/>
      <c r="O105" s="2142"/>
      <c r="P105" s="2141"/>
      <c r="Q105" s="2134"/>
      <c r="R105" s="2121"/>
      <c r="S105" s="2121"/>
      <c r="T105" s="2121"/>
      <c r="U105" s="2121"/>
      <c r="V105" s="2121"/>
      <c r="W105" s="2121"/>
      <c r="X105" s="2121"/>
      <c r="Y105" s="2121"/>
      <c r="Z105" s="2121"/>
      <c r="AA105" s="2121"/>
      <c r="AB105" s="2121"/>
      <c r="AC105" s="2121"/>
    </row>
    <row r="106" spans="1:29" ht="27.75" thickTop="1">
      <c r="A106" s="735"/>
      <c r="B106" s="910" t="s">
        <v>769</v>
      </c>
      <c r="C106" s="708" t="s">
        <v>578</v>
      </c>
      <c r="D106" s="708" t="s">
        <v>579</v>
      </c>
      <c r="E106" s="708" t="s">
        <v>580</v>
      </c>
      <c r="F106" s="708" t="s">
        <v>581</v>
      </c>
      <c r="G106" s="708" t="s">
        <v>582</v>
      </c>
      <c r="H106" s="674"/>
      <c r="I106" s="674"/>
      <c r="J106" s="674"/>
      <c r="K106" s="675"/>
      <c r="L106" s="676"/>
      <c r="M106" s="677"/>
      <c r="N106" s="2142"/>
      <c r="O106" s="2142"/>
      <c r="P106" s="2181"/>
      <c r="Q106" s="2182"/>
      <c r="R106" s="2121"/>
      <c r="S106" s="2121"/>
      <c r="T106" s="2121"/>
      <c r="U106" s="2121"/>
      <c r="V106" s="2121"/>
      <c r="W106" s="2121"/>
      <c r="X106" s="2121"/>
      <c r="Y106" s="2121"/>
      <c r="Z106" s="2121"/>
      <c r="AA106" s="2121"/>
      <c r="AB106" s="2121"/>
      <c r="AC106" s="212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2"/>
      <c r="O107" s="2142"/>
      <c r="P107" s="2141"/>
      <c r="Q107" s="2134"/>
      <c r="R107" s="2121"/>
      <c r="S107" s="2121"/>
      <c r="T107" s="2121"/>
      <c r="U107" s="2121"/>
      <c r="V107" s="2121"/>
      <c r="W107" s="2121"/>
      <c r="X107" s="2121"/>
      <c r="Y107" s="2121"/>
      <c r="Z107" s="2121"/>
      <c r="AA107" s="2121"/>
      <c r="AB107" s="2121"/>
      <c r="AC107" s="2121"/>
    </row>
    <row r="108" spans="1:29" s="1325" customFormat="1" ht="15" thickTop="1">
      <c r="A108" s="728"/>
      <c r="B108" s="673">
        <f>B38</f>
        <v>111</v>
      </c>
      <c r="C108" s="688"/>
      <c r="D108" s="688"/>
      <c r="E108" s="688"/>
      <c r="F108" s="688"/>
      <c r="G108" s="688"/>
      <c r="H108" s="689"/>
      <c r="I108" s="689"/>
      <c r="J108" s="689"/>
      <c r="K108" s="689"/>
      <c r="L108" s="690"/>
      <c r="M108" s="691"/>
      <c r="N108" s="2143"/>
      <c r="O108" s="2143"/>
      <c r="P108" s="2144"/>
      <c r="Q108" s="2145"/>
      <c r="R108" s="2146"/>
      <c r="S108" s="2146"/>
      <c r="T108" s="2146"/>
      <c r="U108" s="2146"/>
      <c r="V108" s="2146"/>
      <c r="W108" s="2146"/>
      <c r="X108" s="2146"/>
      <c r="Y108" s="2146"/>
      <c r="Z108" s="2146"/>
      <c r="AA108" s="2146"/>
      <c r="AB108" s="2146"/>
      <c r="AC108" s="2146"/>
    </row>
    <row r="109" spans="1:29" s="1325" customFormat="1" ht="15.75" thickBot="1">
      <c r="A109" s="687"/>
      <c r="B109" s="670"/>
      <c r="C109" s="692"/>
      <c r="D109" s="671"/>
      <c r="E109" s="671"/>
      <c r="F109" s="671"/>
      <c r="G109" s="692"/>
      <c r="H109" s="693"/>
      <c r="I109" s="693"/>
      <c r="J109" s="693"/>
      <c r="K109" s="693"/>
      <c r="L109" s="693"/>
      <c r="M109" s="694"/>
      <c r="N109" s="2143"/>
      <c r="O109" s="2143"/>
      <c r="P109" s="2144"/>
      <c r="Q109" s="2145"/>
      <c r="R109" s="2146"/>
      <c r="S109" s="2146"/>
      <c r="T109" s="2146"/>
      <c r="U109" s="2146"/>
      <c r="V109" s="2146"/>
      <c r="W109" s="2146"/>
      <c r="X109" s="2146"/>
      <c r="Y109" s="2146"/>
      <c r="Z109" s="2146"/>
      <c r="AA109" s="2146"/>
      <c r="AB109" s="2146"/>
      <c r="AC109" s="2146"/>
    </row>
    <row r="110" spans="1:29" ht="15" thickTop="1">
      <c r="A110" s="735"/>
      <c r="B110" s="673">
        <f>B39</f>
        <v>111</v>
      </c>
      <c r="C110" s="688"/>
      <c r="D110" s="688"/>
      <c r="E110" s="688"/>
      <c r="F110" s="688"/>
      <c r="G110" s="688"/>
      <c r="H110" s="689"/>
      <c r="I110" s="689"/>
      <c r="J110" s="689"/>
      <c r="K110" s="689"/>
      <c r="L110" s="690"/>
      <c r="M110" s="691"/>
      <c r="N110" s="2140"/>
      <c r="O110" s="2140"/>
      <c r="P110" s="2141"/>
      <c r="Q110" s="2134"/>
      <c r="R110" s="2121"/>
      <c r="S110" s="2121"/>
      <c r="T110" s="2121"/>
      <c r="U110" s="2121"/>
      <c r="V110" s="2121"/>
      <c r="W110" s="2121"/>
      <c r="X110" s="2121"/>
      <c r="Y110" s="2121"/>
      <c r="Z110" s="2121"/>
      <c r="AA110" s="2121"/>
      <c r="AB110" s="2121"/>
      <c r="AC110" s="2121"/>
    </row>
    <row r="111" spans="1:29" ht="15.75" thickBot="1">
      <c r="A111" s="669"/>
      <c r="B111" s="678"/>
      <c r="C111" s="692"/>
      <c r="D111" s="671"/>
      <c r="E111" s="671"/>
      <c r="F111" s="671"/>
      <c r="G111" s="692"/>
      <c r="H111" s="693"/>
      <c r="I111" s="693"/>
      <c r="J111" s="693"/>
      <c r="K111" s="693"/>
      <c r="L111" s="693"/>
      <c r="M111" s="694"/>
      <c r="N111" s="2142"/>
      <c r="O111" s="2142"/>
      <c r="P111" s="2141"/>
      <c r="Q111" s="2134"/>
      <c r="R111" s="2121"/>
      <c r="S111" s="2121"/>
      <c r="T111" s="2121"/>
      <c r="U111" s="2121"/>
      <c r="V111" s="2121"/>
      <c r="W111" s="2121"/>
      <c r="X111" s="2121"/>
      <c r="Y111" s="2121"/>
      <c r="Z111" s="2121"/>
      <c r="AA111" s="2121"/>
      <c r="AB111" s="2121"/>
      <c r="AC111" s="2121"/>
    </row>
    <row r="112" spans="1:29" ht="15" thickTop="1">
      <c r="A112" s="735"/>
      <c r="B112" s="681">
        <f>B40</f>
        <v>111</v>
      </c>
      <c r="C112" s="661"/>
      <c r="D112" s="661"/>
      <c r="E112" s="661"/>
      <c r="F112" s="661"/>
      <c r="G112" s="722"/>
      <c r="H112" s="722"/>
      <c r="I112" s="722"/>
      <c r="J112" s="722"/>
      <c r="K112" s="661"/>
      <c r="L112" s="662"/>
      <c r="M112" s="725"/>
      <c r="N112" s="2140"/>
      <c r="O112" s="2140"/>
      <c r="P112" s="2141"/>
      <c r="Q112" s="2134"/>
      <c r="R112" s="2121"/>
      <c r="S112" s="2121"/>
      <c r="T112" s="2121"/>
      <c r="U112" s="2121"/>
      <c r="V112" s="2121"/>
      <c r="W112" s="2121"/>
      <c r="X112" s="2121"/>
      <c r="Y112" s="2121"/>
      <c r="Z112" s="2121"/>
      <c r="AA112" s="2121"/>
      <c r="AB112" s="2121"/>
      <c r="AC112" s="2121"/>
    </row>
    <row r="113" spans="1:29" ht="15.75" thickBot="1">
      <c r="A113" s="893"/>
      <c r="B113" s="699"/>
      <c r="C113" s="700"/>
      <c r="D113" s="700"/>
      <c r="E113" s="700"/>
      <c r="F113" s="700"/>
      <c r="G113" s="726"/>
      <c r="H113" s="726"/>
      <c r="I113" s="726"/>
      <c r="J113" s="726"/>
      <c r="K113" s="726"/>
      <c r="L113" s="726"/>
      <c r="M113" s="727"/>
      <c r="N113" s="2142"/>
      <c r="O113" s="2142"/>
      <c r="P113" s="2141"/>
      <c r="Q113" s="2134"/>
      <c r="R113" s="2121"/>
      <c r="S113" s="2121"/>
      <c r="T113" s="2121"/>
      <c r="U113" s="2121"/>
      <c r="V113" s="2121"/>
      <c r="W113" s="2121"/>
      <c r="X113" s="2121"/>
      <c r="Y113" s="2121"/>
      <c r="Z113" s="2121"/>
      <c r="AA113" s="2121"/>
      <c r="AB113" s="2121"/>
      <c r="AC113" s="2121"/>
    </row>
    <row r="114" spans="1:29">
      <c r="A114" s="2155"/>
      <c r="B114" s="2155"/>
      <c r="C114" s="2155"/>
      <c r="D114" s="2155"/>
      <c r="E114" s="2155"/>
      <c r="F114" s="2155"/>
      <c r="G114" s="2155"/>
      <c r="H114" s="2155"/>
      <c r="I114" s="2155"/>
      <c r="J114" s="2155"/>
      <c r="K114" s="2156"/>
      <c r="L114" s="2157"/>
      <c r="M114" s="2155"/>
      <c r="N114" s="2155"/>
      <c r="O114" s="2155"/>
      <c r="P114" s="2155"/>
      <c r="Q114" s="2155"/>
      <c r="R114" s="2155"/>
      <c r="S114" s="2155"/>
      <c r="T114" s="2155"/>
      <c r="U114" s="2155"/>
      <c r="V114" s="2155"/>
      <c r="W114" s="2155"/>
      <c r="X114" s="2155"/>
      <c r="Y114" s="2155"/>
      <c r="Z114" s="2155"/>
      <c r="AA114" s="2155"/>
      <c r="AB114" s="2155"/>
      <c r="AC114" s="2155"/>
    </row>
    <row r="115" spans="1:29">
      <c r="A115" s="2155"/>
      <c r="B115" s="2155"/>
      <c r="C115" s="2155"/>
      <c r="D115" s="2155"/>
      <c r="E115" s="2155"/>
      <c r="F115" s="2155"/>
      <c r="G115" s="2155"/>
      <c r="H115" s="2155"/>
      <c r="I115" s="2155"/>
      <c r="J115" s="2155"/>
      <c r="K115" s="2156"/>
      <c r="L115" s="2157"/>
      <c r="M115" s="2155"/>
      <c r="N115" s="2155"/>
      <c r="O115" s="2155"/>
      <c r="P115" s="2155"/>
      <c r="Q115" s="2155"/>
      <c r="R115" s="2155"/>
      <c r="S115" s="2155"/>
      <c r="T115" s="2155"/>
      <c r="U115" s="2155"/>
      <c r="V115" s="2155"/>
      <c r="W115" s="2155"/>
      <c r="X115" s="2155"/>
      <c r="Y115" s="2155"/>
      <c r="Z115" s="2155"/>
      <c r="AA115" s="2155"/>
      <c r="AB115" s="2155"/>
      <c r="AC115" s="2155"/>
    </row>
    <row r="116" spans="1:29">
      <c r="A116" s="2155"/>
      <c r="B116" s="2155"/>
      <c r="C116" s="2155"/>
      <c r="D116" s="2155"/>
      <c r="E116" s="2155"/>
      <c r="F116" s="2155"/>
      <c r="G116" s="2155"/>
      <c r="H116" s="2155"/>
      <c r="I116" s="2155"/>
      <c r="J116" s="2155"/>
      <c r="K116" s="2156"/>
      <c r="L116" s="2157"/>
      <c r="M116" s="2155"/>
      <c r="N116" s="2155"/>
      <c r="O116" s="2155"/>
      <c r="P116" s="2155"/>
      <c r="Q116" s="2155"/>
      <c r="R116" s="2155"/>
      <c r="S116" s="2155"/>
      <c r="T116" s="2155"/>
      <c r="U116" s="2155"/>
      <c r="V116" s="2155"/>
      <c r="W116" s="2155"/>
      <c r="X116" s="2155"/>
      <c r="Y116" s="2155"/>
      <c r="Z116" s="2155"/>
      <c r="AA116" s="2155"/>
      <c r="AB116" s="2155"/>
      <c r="AC116" s="2155"/>
    </row>
    <row r="117" spans="1:29">
      <c r="A117" s="2155"/>
      <c r="B117" s="2155"/>
      <c r="C117" s="2155"/>
      <c r="D117" s="2155"/>
      <c r="E117" s="2155"/>
      <c r="F117" s="2155"/>
      <c r="G117" s="2155"/>
      <c r="H117" s="2155"/>
      <c r="I117" s="2155"/>
      <c r="J117" s="2155"/>
      <c r="K117" s="2156"/>
      <c r="L117" s="2157"/>
      <c r="M117" s="2155"/>
      <c r="N117" s="2155"/>
      <c r="O117" s="2155"/>
      <c r="P117" s="2155"/>
      <c r="Q117" s="2155"/>
      <c r="R117" s="2155"/>
      <c r="S117" s="2155"/>
      <c r="T117" s="2155"/>
      <c r="U117" s="2155"/>
      <c r="V117" s="2155"/>
      <c r="W117" s="2155"/>
      <c r="X117" s="2155"/>
      <c r="Y117" s="2155"/>
      <c r="Z117" s="2155"/>
      <c r="AA117" s="2155"/>
      <c r="AB117" s="2155"/>
      <c r="AC117" s="2155"/>
    </row>
    <row r="118" spans="1:29">
      <c r="A118" s="2155"/>
      <c r="B118" s="2155"/>
      <c r="C118" s="2155"/>
      <c r="D118" s="2155"/>
      <c r="E118" s="2155"/>
      <c r="F118" s="2155"/>
      <c r="G118" s="2155"/>
      <c r="H118" s="2155"/>
      <c r="I118" s="2155"/>
      <c r="J118" s="2155"/>
      <c r="K118" s="2156"/>
      <c r="L118" s="2157"/>
      <c r="M118" s="2155"/>
      <c r="N118" s="2155"/>
      <c r="O118" s="2155"/>
      <c r="P118" s="2155"/>
      <c r="Q118" s="2155"/>
      <c r="R118" s="2155"/>
      <c r="S118" s="2155"/>
      <c r="T118" s="2155"/>
      <c r="U118" s="2155"/>
      <c r="V118" s="2155"/>
      <c r="W118" s="2155"/>
      <c r="X118" s="2155"/>
      <c r="Y118" s="2155"/>
      <c r="Z118" s="2155"/>
      <c r="AA118" s="2155"/>
      <c r="AB118" s="2155"/>
      <c r="AC118" s="2155"/>
    </row>
    <row r="119" spans="1:29">
      <c r="A119" s="2155"/>
      <c r="B119" s="2155"/>
      <c r="C119" s="2155"/>
      <c r="D119" s="2155"/>
      <c r="E119" s="2155"/>
      <c r="F119" s="2155"/>
      <c r="G119" s="2155"/>
      <c r="H119" s="2155"/>
      <c r="I119" s="2155"/>
      <c r="J119" s="2155"/>
      <c r="K119" s="2156"/>
      <c r="L119" s="2157"/>
      <c r="M119" s="2155"/>
      <c r="N119" s="2155"/>
      <c r="O119" s="2155"/>
      <c r="P119" s="2155"/>
      <c r="Q119" s="2155"/>
      <c r="R119" s="2155"/>
      <c r="S119" s="2155"/>
      <c r="T119" s="2155"/>
      <c r="U119" s="2155"/>
      <c r="V119" s="2155"/>
      <c r="W119" s="2155"/>
      <c r="X119" s="2155"/>
      <c r="Y119" s="2155"/>
      <c r="Z119" s="2155"/>
      <c r="AA119" s="2155"/>
      <c r="AB119" s="2155"/>
      <c r="AC119" s="2155"/>
    </row>
    <row r="120" spans="1:29">
      <c r="A120" s="2155"/>
      <c r="B120" s="2155"/>
      <c r="C120" s="2155"/>
      <c r="D120" s="2155"/>
      <c r="E120" s="2155"/>
      <c r="F120" s="2155"/>
      <c r="G120" s="2155"/>
      <c r="H120" s="2155"/>
      <c r="I120" s="2155"/>
      <c r="J120" s="2155"/>
      <c r="K120" s="2156"/>
      <c r="L120" s="2157"/>
      <c r="M120" s="2155"/>
      <c r="N120" s="2155"/>
      <c r="O120" s="2155"/>
      <c r="P120" s="2155"/>
      <c r="Q120" s="2155"/>
      <c r="R120" s="2155"/>
      <c r="S120" s="2155"/>
      <c r="T120" s="2155"/>
      <c r="U120" s="2155"/>
      <c r="V120" s="2155"/>
      <c r="W120" s="2155"/>
      <c r="X120" s="2155"/>
      <c r="Y120" s="2155"/>
      <c r="Z120" s="2155"/>
      <c r="AA120" s="2155"/>
      <c r="AB120" s="2155"/>
      <c r="AC120" s="2155"/>
    </row>
    <row r="121" spans="1:29">
      <c r="A121" s="2155"/>
      <c r="B121" s="2155"/>
      <c r="C121" s="2155"/>
      <c r="D121" s="2155"/>
      <c r="E121" s="2155"/>
      <c r="F121" s="2155"/>
      <c r="G121" s="2155"/>
      <c r="H121" s="2155"/>
      <c r="I121" s="2155"/>
      <c r="J121" s="2155"/>
      <c r="K121" s="2156"/>
      <c r="L121" s="2157"/>
      <c r="M121" s="2155"/>
      <c r="N121" s="2155"/>
      <c r="O121" s="2155"/>
      <c r="P121" s="2155"/>
      <c r="Q121" s="2155"/>
      <c r="R121" s="2155"/>
      <c r="S121" s="2155"/>
      <c r="T121" s="2155"/>
      <c r="U121" s="2155"/>
      <c r="V121" s="2155"/>
      <c r="W121" s="2155"/>
      <c r="X121" s="2155"/>
      <c r="Y121" s="2155"/>
      <c r="Z121" s="2155"/>
      <c r="AA121" s="2155"/>
      <c r="AB121" s="2155"/>
      <c r="AC121" s="2155"/>
    </row>
    <row r="122" spans="1:29">
      <c r="A122" s="2155"/>
      <c r="B122" s="2155"/>
      <c r="C122" s="2155"/>
      <c r="D122" s="2155"/>
      <c r="E122" s="2155"/>
      <c r="F122" s="2155"/>
      <c r="G122" s="2155"/>
      <c r="H122" s="2155"/>
      <c r="I122" s="2155"/>
      <c r="J122" s="2155"/>
      <c r="K122" s="2156"/>
      <c r="L122" s="2157"/>
      <c r="M122" s="2155"/>
      <c r="N122" s="2155"/>
      <c r="O122" s="2155"/>
      <c r="P122" s="2155"/>
      <c r="Q122" s="2155"/>
      <c r="R122" s="2155"/>
      <c r="S122" s="2155"/>
      <c r="T122" s="2155"/>
      <c r="U122" s="2155"/>
      <c r="V122" s="2155"/>
      <c r="W122" s="2155"/>
      <c r="X122" s="2155"/>
      <c r="Y122" s="2155"/>
      <c r="Z122" s="2155"/>
      <c r="AA122" s="2155"/>
      <c r="AB122" s="2155"/>
      <c r="AC122" s="2155"/>
    </row>
    <row r="123" spans="1:29">
      <c r="A123" s="2155"/>
      <c r="B123" s="2155"/>
      <c r="C123" s="2155"/>
      <c r="D123" s="2155"/>
      <c r="E123" s="2155"/>
      <c r="F123" s="2155"/>
      <c r="G123" s="2155"/>
      <c r="H123" s="2155"/>
      <c r="I123" s="2155"/>
      <c r="J123" s="2155"/>
      <c r="K123" s="2156"/>
      <c r="L123" s="2157"/>
      <c r="M123" s="2155"/>
      <c r="N123" s="2155"/>
      <c r="O123" s="2155"/>
      <c r="P123" s="2155"/>
      <c r="Q123" s="2155"/>
      <c r="R123" s="2155"/>
      <c r="S123" s="2155"/>
      <c r="T123" s="2155"/>
      <c r="U123" s="2155"/>
      <c r="V123" s="2155"/>
      <c r="W123" s="2155"/>
      <c r="X123" s="2155"/>
      <c r="Y123" s="2155"/>
      <c r="Z123" s="2155"/>
      <c r="AA123" s="2155"/>
      <c r="AB123" s="2155"/>
      <c r="AC123" s="2155"/>
    </row>
    <row r="124" spans="1:29">
      <c r="A124" s="2155"/>
      <c r="B124" s="2155"/>
      <c r="C124" s="2155"/>
      <c r="D124" s="2155"/>
      <c r="E124" s="2155"/>
      <c r="F124" s="2155"/>
      <c r="G124" s="2155"/>
      <c r="H124" s="2155"/>
      <c r="I124" s="2155"/>
      <c r="J124" s="2155"/>
      <c r="K124" s="2156"/>
      <c r="L124" s="2157"/>
      <c r="M124" s="2155"/>
      <c r="N124" s="2155"/>
      <c r="O124" s="2155"/>
      <c r="P124" s="2155"/>
      <c r="Q124" s="2155"/>
      <c r="R124" s="2155"/>
      <c r="S124" s="2155"/>
      <c r="T124" s="2155"/>
      <c r="U124" s="2155"/>
      <c r="V124" s="2155"/>
      <c r="W124" s="2155"/>
      <c r="X124" s="2155"/>
      <c r="Y124" s="2155"/>
      <c r="Z124" s="2155"/>
      <c r="AA124" s="2155"/>
      <c r="AB124" s="2155"/>
      <c r="AC124" s="2155"/>
    </row>
    <row r="125" spans="1:29">
      <c r="A125" s="2155"/>
      <c r="B125" s="2155"/>
      <c r="C125" s="2155"/>
      <c r="D125" s="2155"/>
      <c r="E125" s="2155"/>
      <c r="F125" s="2155"/>
      <c r="G125" s="2155"/>
      <c r="H125" s="2155"/>
      <c r="I125" s="2155"/>
      <c r="J125" s="2155"/>
      <c r="K125" s="2156"/>
      <c r="L125" s="2157"/>
      <c r="M125" s="2155"/>
      <c r="N125" s="2155"/>
      <c r="O125" s="2155"/>
      <c r="P125" s="2155"/>
      <c r="Q125" s="2155"/>
      <c r="R125" s="2155"/>
      <c r="S125" s="2155"/>
      <c r="T125" s="2155"/>
      <c r="U125" s="2155"/>
      <c r="V125" s="2155"/>
      <c r="W125" s="2155"/>
      <c r="X125" s="2155"/>
      <c r="Y125" s="2155"/>
      <c r="Z125" s="2155"/>
      <c r="AA125" s="2155"/>
      <c r="AB125" s="2155"/>
      <c r="AC125" s="2155"/>
    </row>
    <row r="126" spans="1:29">
      <c r="A126" s="2155"/>
      <c r="B126" s="2155"/>
      <c r="C126" s="2155"/>
      <c r="D126" s="2155"/>
      <c r="E126" s="2155"/>
      <c r="F126" s="2155"/>
      <c r="G126" s="2155"/>
      <c r="H126" s="2155"/>
      <c r="I126" s="2155"/>
      <c r="J126" s="2155"/>
      <c r="K126" s="2156"/>
      <c r="L126" s="2157"/>
      <c r="M126" s="2155"/>
      <c r="N126" s="2155"/>
      <c r="O126" s="2155"/>
      <c r="P126" s="2155"/>
      <c r="Q126" s="2155"/>
      <c r="R126" s="2155"/>
      <c r="S126" s="2155"/>
      <c r="T126" s="2155"/>
      <c r="U126" s="2155"/>
      <c r="V126" s="2155"/>
      <c r="W126" s="2155"/>
      <c r="X126" s="2155"/>
      <c r="Y126" s="2155"/>
      <c r="Z126" s="2155"/>
      <c r="AA126" s="2155"/>
      <c r="AB126" s="2155"/>
      <c r="AC126" s="2155"/>
    </row>
    <row r="127" spans="1:29">
      <c r="A127" s="2155"/>
      <c r="B127" s="2155"/>
      <c r="C127" s="2155"/>
      <c r="D127" s="2155"/>
      <c r="E127" s="2155"/>
      <c r="F127" s="2155"/>
      <c r="G127" s="2155"/>
      <c r="H127" s="2155"/>
      <c r="I127" s="2155"/>
      <c r="J127" s="2155"/>
      <c r="K127" s="2156"/>
      <c r="L127" s="2157"/>
      <c r="M127" s="2155"/>
      <c r="N127" s="2155"/>
      <c r="O127" s="2155"/>
      <c r="P127" s="2155"/>
      <c r="Q127" s="2155"/>
      <c r="R127" s="2155"/>
      <c r="S127" s="2155"/>
      <c r="T127" s="2155"/>
      <c r="U127" s="2155"/>
      <c r="V127" s="2155"/>
      <c r="W127" s="2155"/>
      <c r="X127" s="2155"/>
      <c r="Y127" s="2155"/>
      <c r="Z127" s="2155"/>
      <c r="AA127" s="2155"/>
      <c r="AB127" s="2155"/>
      <c r="AC127" s="2155"/>
    </row>
    <row r="128" spans="1:29">
      <c r="A128" s="2155"/>
      <c r="B128" s="2155"/>
      <c r="C128" s="2155"/>
      <c r="D128" s="2155"/>
      <c r="E128" s="2155"/>
      <c r="F128" s="2155"/>
      <c r="G128" s="2155"/>
      <c r="H128" s="2155"/>
      <c r="I128" s="2155"/>
      <c r="J128" s="2155"/>
      <c r="K128" s="2156"/>
      <c r="L128" s="2157"/>
      <c r="M128" s="2155"/>
      <c r="N128" s="2155"/>
      <c r="O128" s="2155"/>
      <c r="P128" s="2155"/>
      <c r="Q128" s="2155"/>
      <c r="R128" s="2155"/>
      <c r="S128" s="2155"/>
      <c r="T128" s="2155"/>
      <c r="U128" s="2155"/>
      <c r="V128" s="2155"/>
      <c r="W128" s="2155"/>
      <c r="X128" s="2155"/>
      <c r="Y128" s="2155"/>
      <c r="Z128" s="2155"/>
      <c r="AA128" s="2155"/>
      <c r="AB128" s="2155"/>
      <c r="AC128" s="2155"/>
    </row>
    <row r="129" spans="1:29">
      <c r="A129" s="2155"/>
      <c r="B129" s="2155"/>
      <c r="C129" s="2155"/>
      <c r="D129" s="2155"/>
      <c r="E129" s="2155"/>
      <c r="F129" s="2155"/>
      <c r="G129" s="2155"/>
      <c r="H129" s="2155"/>
      <c r="I129" s="2155"/>
      <c r="J129" s="2155"/>
      <c r="K129" s="2156"/>
      <c r="L129" s="2157"/>
      <c r="M129" s="2155"/>
      <c r="N129" s="2155"/>
      <c r="O129" s="2155"/>
      <c r="P129" s="2155"/>
      <c r="Q129" s="2155"/>
      <c r="R129" s="2155"/>
      <c r="S129" s="2155"/>
      <c r="T129" s="2155"/>
      <c r="U129" s="2155"/>
      <c r="V129" s="2155"/>
      <c r="W129" s="2155"/>
      <c r="X129" s="2155"/>
      <c r="Y129" s="2155"/>
      <c r="Z129" s="2155"/>
      <c r="AA129" s="2155"/>
      <c r="AB129" s="2155"/>
      <c r="AC129" s="2155"/>
    </row>
    <row r="130" spans="1:29">
      <c r="A130" s="2155"/>
      <c r="B130" s="2155"/>
      <c r="C130" s="2155"/>
      <c r="D130" s="2155"/>
      <c r="E130" s="2155"/>
      <c r="F130" s="2155"/>
      <c r="G130" s="2155"/>
      <c r="H130" s="2155"/>
      <c r="I130" s="2155"/>
      <c r="J130" s="2155"/>
      <c r="K130" s="2156"/>
      <c r="L130" s="2157"/>
      <c r="M130" s="2155"/>
      <c r="N130" s="2155"/>
      <c r="O130" s="2155"/>
      <c r="P130" s="2155"/>
      <c r="Q130" s="2155"/>
      <c r="R130" s="2155"/>
      <c r="S130" s="2155"/>
      <c r="T130" s="2155"/>
      <c r="U130" s="2155"/>
      <c r="V130" s="2155"/>
      <c r="W130" s="2155"/>
      <c r="X130" s="2155"/>
      <c r="Y130" s="2155"/>
      <c r="Z130" s="2155"/>
      <c r="AA130" s="2155"/>
      <c r="AB130" s="2155"/>
      <c r="AC130" s="2155"/>
    </row>
    <row r="131" spans="1:29">
      <c r="A131" s="2155"/>
      <c r="B131" s="2155"/>
      <c r="C131" s="2155"/>
      <c r="D131" s="2155"/>
      <c r="E131" s="2155"/>
      <c r="F131" s="2155"/>
      <c r="G131" s="2155"/>
      <c r="H131" s="2155"/>
      <c r="I131" s="2155"/>
      <c r="J131" s="2155"/>
      <c r="K131" s="2156"/>
      <c r="L131" s="2157"/>
      <c r="M131" s="2155"/>
      <c r="N131" s="2155"/>
      <c r="O131" s="2155"/>
      <c r="P131" s="2155"/>
      <c r="Q131" s="2155"/>
      <c r="R131" s="2155"/>
      <c r="S131" s="2155"/>
      <c r="T131" s="2155"/>
      <c r="U131" s="2155"/>
      <c r="V131" s="2155"/>
      <c r="W131" s="2155"/>
      <c r="X131" s="2155"/>
      <c r="Y131" s="2155"/>
      <c r="Z131" s="2155"/>
      <c r="AA131" s="2155"/>
      <c r="AB131" s="2155"/>
      <c r="AC131" s="2155"/>
    </row>
    <row r="132" spans="1:29">
      <c r="A132" s="2155"/>
      <c r="B132" s="2155"/>
      <c r="C132" s="2155"/>
      <c r="D132" s="2155"/>
      <c r="E132" s="2155"/>
      <c r="F132" s="2155"/>
      <c r="G132" s="2155"/>
      <c r="H132" s="2155"/>
      <c r="I132" s="2155"/>
      <c r="J132" s="2155"/>
      <c r="K132" s="2156"/>
      <c r="L132" s="2157"/>
      <c r="M132" s="2155"/>
      <c r="N132" s="2155"/>
      <c r="O132" s="2155"/>
      <c r="P132" s="2155"/>
      <c r="Q132" s="2155"/>
      <c r="R132" s="2155"/>
      <c r="S132" s="2155"/>
      <c r="T132" s="2155"/>
      <c r="U132" s="2155"/>
      <c r="V132" s="2155"/>
      <c r="W132" s="2155"/>
      <c r="X132" s="2155"/>
      <c r="Y132" s="2155"/>
      <c r="Z132" s="2155"/>
      <c r="AA132" s="2155"/>
      <c r="AB132" s="2155"/>
      <c r="AC132" s="2155"/>
    </row>
    <row r="133" spans="1:29">
      <c r="A133" s="2155"/>
      <c r="B133" s="2155"/>
      <c r="C133" s="2155"/>
      <c r="D133" s="2155"/>
      <c r="E133" s="2155"/>
      <c r="F133" s="2155"/>
      <c r="G133" s="2155"/>
      <c r="H133" s="2155"/>
      <c r="I133" s="2155"/>
      <c r="J133" s="2155"/>
      <c r="K133" s="2156"/>
      <c r="L133" s="2157"/>
      <c r="M133" s="2155"/>
      <c r="N133" s="2155"/>
      <c r="O133" s="2155"/>
      <c r="P133" s="2155"/>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55"/>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c r="N236" s="2155"/>
      <c r="O236" s="2155"/>
      <c r="P236" s="2155"/>
      <c r="Q236" s="2155"/>
      <c r="R236" s="2155"/>
      <c r="S236" s="2155"/>
      <c r="T236" s="2155"/>
      <c r="U236" s="2155"/>
      <c r="V236" s="2155"/>
      <c r="W236" s="2155"/>
      <c r="X236" s="2155"/>
      <c r="Y236" s="2155"/>
      <c r="Z236" s="2155"/>
      <c r="AA236" s="2155"/>
      <c r="AB236" s="2155"/>
      <c r="AC236" s="215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08" sqref="C108:G113"/>
    </sheetView>
  </sheetViews>
  <sheetFormatPr defaultColWidth="9" defaultRowHeight="14.25"/>
  <cols>
    <col min="1" max="1" width="10.5" style="1323" customWidth="1"/>
    <col min="2" max="2" width="15.625" style="1323" customWidth="1"/>
    <col min="3" max="3" width="14.375" style="1323" customWidth="1"/>
    <col min="4" max="4" width="12.125" style="1323" customWidth="1"/>
    <col min="5" max="5" width="14.375" style="1323" customWidth="1"/>
    <col min="6" max="6" width="12.125" style="1323" customWidth="1"/>
    <col min="7" max="7" width="14.5" style="1323" customWidth="1"/>
    <col min="8" max="8" width="12.125" style="1323" customWidth="1"/>
    <col min="9" max="9" width="14.5" style="1323" customWidth="1"/>
    <col min="10" max="10" width="12.125" style="1323" customWidth="1"/>
    <col min="11" max="11" width="12.125" style="1329" customWidth="1"/>
    <col min="12" max="12" width="12.125" style="1330" customWidth="1"/>
    <col min="13" max="15" width="12.125" style="1323" customWidth="1"/>
    <col min="16" max="16" width="4.625" style="1323" customWidth="1"/>
    <col min="17" max="17" width="19.5" style="1323" customWidth="1"/>
    <col min="18" max="22" width="6.125" style="1323" customWidth="1"/>
    <col min="23" max="23" width="5.625" style="1323" customWidth="1"/>
    <col min="24" max="24" width="4.125" style="1323" customWidth="1"/>
    <col min="25" max="25" width="3.5" style="1323" customWidth="1"/>
    <col min="26" max="26" width="19.625" style="1323" customWidth="1"/>
    <col min="27" max="28" width="9.375" style="1323" customWidth="1"/>
    <col min="29" max="16384" width="9" style="1323"/>
  </cols>
  <sheetData>
    <row r="1" spans="1:29" s="1322" customFormat="1" ht="28.5" customHeight="1">
      <c r="A1" s="502" t="s">
        <v>717</v>
      </c>
      <c r="B1" s="914"/>
      <c r="C1" s="504" t="s">
        <v>770</v>
      </c>
      <c r="D1" s="849"/>
      <c r="E1" s="506"/>
      <c r="F1" s="2737"/>
      <c r="G1" s="1577" t="s">
        <v>771</v>
      </c>
      <c r="H1" s="506"/>
      <c r="I1" s="506"/>
      <c r="J1" s="506"/>
      <c r="K1" s="507"/>
      <c r="L1" s="1539"/>
      <c r="M1" s="1540"/>
      <c r="N1" s="1540"/>
      <c r="O1" s="1540"/>
      <c r="P1" s="1541"/>
      <c r="Q1" s="1541"/>
      <c r="R1" s="1541"/>
      <c r="S1" s="1541"/>
      <c r="T1" s="1541"/>
      <c r="U1" s="1541"/>
      <c r="V1" s="1541"/>
      <c r="W1" s="1541"/>
      <c r="X1" s="1541"/>
      <c r="Y1" s="1541"/>
      <c r="Z1" s="1541"/>
      <c r="AA1" s="1541"/>
      <c r="AB1" s="1541"/>
      <c r="AC1" s="1542"/>
    </row>
    <row r="2" spans="1:29" s="1322" customFormat="1" ht="28.5" customHeight="1">
      <c r="A2" s="423" t="s">
        <v>772</v>
      </c>
      <c r="B2" s="850" t="e">
        <f>IF(B37="元/平方米",ROUND(B3*D3/10000,0),ROUND(F3*C39/10000,0))</f>
        <v>#DIV/0!</v>
      </c>
      <c r="C2" s="2103"/>
      <c r="D2" s="2103"/>
      <c r="E2" s="2104"/>
      <c r="F2" s="2105"/>
      <c r="G2" s="2104"/>
      <c r="H2" s="2104"/>
      <c r="I2" s="2104"/>
      <c r="J2" s="2104"/>
      <c r="K2" s="2106"/>
      <c r="L2" s="2107"/>
      <c r="M2" s="2108"/>
      <c r="N2" s="2108"/>
      <c r="O2" s="2108"/>
      <c r="P2" s="1541"/>
      <c r="Q2" s="1541"/>
      <c r="R2" s="1541"/>
      <c r="S2" s="1541"/>
      <c r="T2" s="1541"/>
      <c r="U2" s="1541"/>
      <c r="V2" s="1541"/>
      <c r="W2" s="1541"/>
      <c r="X2" s="1541"/>
      <c r="Y2" s="1541"/>
      <c r="Z2" s="1541"/>
      <c r="AA2" s="1541"/>
      <c r="AB2" s="1541"/>
      <c r="AC2" s="1542"/>
    </row>
    <row r="3" spans="1:29" s="1322" customFormat="1" ht="28.5" customHeight="1" thickBot="1">
      <c r="A3" s="509" t="s">
        <v>773</v>
      </c>
      <c r="B3" s="510" t="e">
        <f>IF(B37="元/平方米",C39,ROUND(B2*10000/D3,0))</f>
        <v>#DIV/0!</v>
      </c>
      <c r="C3" s="852" t="s">
        <v>774</v>
      </c>
      <c r="D3" s="851">
        <f>SUMIF('数据-汇总表'!$C19:$C33,D1,'数据-汇总表'!$E19:$E33)</f>
        <v>0</v>
      </c>
      <c r="E3" s="1824" t="s">
        <v>2052</v>
      </c>
      <c r="F3" s="851">
        <f>SUMIF('数据-取费表'!A5:A15,D1,'数据-取费表'!AH5:AH15)</f>
        <v>0</v>
      </c>
      <c r="G3" s="2104"/>
      <c r="H3" s="2104"/>
      <c r="I3" s="2104"/>
      <c r="J3" s="2104"/>
      <c r="K3" s="2106"/>
      <c r="L3" s="2107"/>
      <c r="M3" s="2108"/>
      <c r="N3" s="2108"/>
      <c r="O3" s="2108"/>
      <c r="P3" s="1541"/>
      <c r="Q3" s="1541"/>
      <c r="R3" s="1541"/>
      <c r="S3" s="1541"/>
      <c r="T3" s="1541"/>
      <c r="U3" s="1541"/>
      <c r="V3" s="1541"/>
      <c r="W3" s="1541"/>
      <c r="X3" s="1541"/>
      <c r="Y3" s="1541"/>
      <c r="Z3" s="1541"/>
      <c r="AA3" s="1541"/>
      <c r="AB3" s="1543"/>
      <c r="AC3" s="428"/>
    </row>
    <row r="4" spans="1:29" ht="15">
      <c r="A4" s="512" t="s">
        <v>775</v>
      </c>
      <c r="B4" s="513"/>
      <c r="C4" s="3795" t="s">
        <v>776</v>
      </c>
      <c r="D4" s="3796"/>
      <c r="E4" s="3795" t="s">
        <v>777</v>
      </c>
      <c r="F4" s="3796"/>
      <c r="G4" s="3795" t="s">
        <v>778</v>
      </c>
      <c r="H4" s="3796"/>
      <c r="I4" s="3795" t="s">
        <v>779</v>
      </c>
      <c r="J4" s="3796"/>
      <c r="K4" s="514" t="s">
        <v>780</v>
      </c>
      <c r="L4" s="2109"/>
      <c r="M4" s="2110"/>
      <c r="N4" s="2110"/>
      <c r="O4" s="2110"/>
      <c r="P4" s="3797" t="s">
        <v>781</v>
      </c>
      <c r="Q4" s="3798"/>
      <c r="R4" s="3783" t="s">
        <v>777</v>
      </c>
      <c r="S4" s="3784"/>
      <c r="T4" s="3783" t="s">
        <v>778</v>
      </c>
      <c r="U4" s="3784"/>
      <c r="V4" s="3803" t="s">
        <v>779</v>
      </c>
      <c r="W4" s="3803"/>
      <c r="X4" s="1544"/>
      <c r="Y4" s="3783" t="s">
        <v>781</v>
      </c>
      <c r="Z4" s="3784"/>
      <c r="AA4" s="3778" t="s">
        <v>777</v>
      </c>
      <c r="AB4" s="3779" t="s">
        <v>778</v>
      </c>
      <c r="AC4" s="3778" t="s">
        <v>779</v>
      </c>
    </row>
    <row r="5" spans="1:29" ht="15">
      <c r="A5" s="515"/>
      <c r="B5" s="516"/>
      <c r="C5" s="3806" t="s">
        <v>2905</v>
      </c>
      <c r="D5" s="3807"/>
      <c r="E5" s="3806" t="s">
        <v>2906</v>
      </c>
      <c r="F5" s="3807"/>
      <c r="G5" s="3806" t="s">
        <v>2907</v>
      </c>
      <c r="H5" s="3807"/>
      <c r="I5" s="3806" t="s">
        <v>2908</v>
      </c>
      <c r="J5" s="3807"/>
      <c r="K5" s="514"/>
      <c r="L5" s="2109"/>
      <c r="M5" s="2110"/>
      <c r="N5" s="2110"/>
      <c r="O5" s="2110"/>
      <c r="P5" s="3799"/>
      <c r="Q5" s="3800"/>
      <c r="R5" s="3785"/>
      <c r="S5" s="3786"/>
      <c r="T5" s="3785"/>
      <c r="U5" s="3786"/>
      <c r="V5" s="3803"/>
      <c r="W5" s="3803"/>
      <c r="X5" s="1544"/>
      <c r="Y5" s="3785"/>
      <c r="Z5" s="3786"/>
      <c r="AA5" s="3779"/>
      <c r="AB5" s="3779"/>
      <c r="AC5" s="3779"/>
    </row>
    <row r="6" spans="1:29" ht="15.75" thickBot="1">
      <c r="A6" s="517"/>
      <c r="B6" s="518"/>
      <c r="C6" s="3804" t="s">
        <v>2909</v>
      </c>
      <c r="D6" s="3805"/>
      <c r="E6" s="3808" t="s">
        <v>2909</v>
      </c>
      <c r="F6" s="3809"/>
      <c r="G6" s="3804" t="s">
        <v>2909</v>
      </c>
      <c r="H6" s="3805"/>
      <c r="I6" s="3804" t="s">
        <v>2909</v>
      </c>
      <c r="J6" s="3805"/>
      <c r="K6" s="514" t="s">
        <v>527</v>
      </c>
      <c r="L6" s="2109"/>
      <c r="M6" s="2110"/>
      <c r="N6" s="2110"/>
      <c r="O6" s="2110"/>
      <c r="P6" s="3801"/>
      <c r="Q6" s="3802"/>
      <c r="R6" s="3785"/>
      <c r="S6" s="3786"/>
      <c r="T6" s="3787"/>
      <c r="U6" s="3788"/>
      <c r="V6" s="3803"/>
      <c r="W6" s="3803"/>
      <c r="X6" s="1544"/>
      <c r="Y6" s="3787"/>
      <c r="Z6" s="3788"/>
      <c r="AA6" s="3780"/>
      <c r="AB6" s="3780"/>
      <c r="AC6" s="3780"/>
    </row>
    <row r="7" spans="1:29" s="1206" customFormat="1" ht="15.75" thickBot="1">
      <c r="A7" s="2842"/>
      <c r="B7" s="2849" t="s">
        <v>528</v>
      </c>
      <c r="C7" s="519">
        <f>'数据-取费表'!B2</f>
        <v>43933</v>
      </c>
      <c r="D7" s="520">
        <v>100</v>
      </c>
      <c r="E7" s="521"/>
      <c r="F7" s="522">
        <f>SUMIF(48:48,YEAR(E7)&amp;"-"&amp;MONTH(E7),49:49)</f>
        <v>0</v>
      </c>
      <c r="G7" s="523"/>
      <c r="H7" s="520">
        <f>SUMIF(48:48,YEAR(G7)&amp;"-"&amp;MONTH(G7),49:49)</f>
        <v>0</v>
      </c>
      <c r="I7" s="523"/>
      <c r="J7" s="520">
        <f>SUMIF(48:48,YEAR(I7)&amp;"-"&amp;MONTH(I7),49:49)</f>
        <v>0</v>
      </c>
      <c r="K7" s="524"/>
      <c r="L7" s="2111"/>
      <c r="M7" s="2112"/>
      <c r="N7" s="2112"/>
      <c r="O7" s="2112"/>
      <c r="P7" s="3781" t="s">
        <v>529</v>
      </c>
      <c r="Q7" s="3790"/>
      <c r="R7" s="1545" t="s">
        <v>8</v>
      </c>
      <c r="S7" s="1546">
        <f t="shared" ref="S7:S14" si="0">F7</f>
        <v>0</v>
      </c>
      <c r="T7" s="1545" t="s">
        <v>8</v>
      </c>
      <c r="U7" s="1546">
        <f t="shared" ref="U7:U14" si="1">H7</f>
        <v>0</v>
      </c>
      <c r="V7" s="1545" t="s">
        <v>8</v>
      </c>
      <c r="W7" s="1546">
        <f t="shared" ref="W7:W14" si="2">J7</f>
        <v>0</v>
      </c>
      <c r="X7" s="1547"/>
      <c r="Y7" s="3781" t="s">
        <v>529</v>
      </c>
      <c r="Z7" s="3782"/>
      <c r="AA7" s="1548" t="e">
        <f>D7/F7</f>
        <v>#DIV/0!</v>
      </c>
      <c r="AB7" s="1548" t="e">
        <f>D7/H7</f>
        <v>#DIV/0!</v>
      </c>
      <c r="AC7" s="1548" t="e">
        <f>D7/J7</f>
        <v>#DIV/0!</v>
      </c>
    </row>
    <row r="8" spans="1:29" s="1206" customFormat="1" ht="15.75" thickBot="1">
      <c r="A8" s="2843"/>
      <c r="B8" s="2850" t="s">
        <v>530</v>
      </c>
      <c r="C8" s="525" t="s">
        <v>575</v>
      </c>
      <c r="D8" s="520">
        <v>100</v>
      </c>
      <c r="E8" s="525"/>
      <c r="F8" s="522">
        <f>SUMIF(51:51,E8,52:52)-SUMIF(51:51,C8,52:52)+100</f>
        <v>0</v>
      </c>
      <c r="G8" s="525"/>
      <c r="H8" s="520">
        <f>SUMIF(51:51,G8,52:52)-SUMIF(51:51,C8,52:52)+100</f>
        <v>0</v>
      </c>
      <c r="I8" s="525"/>
      <c r="J8" s="520">
        <f>SUMIF(51:51,I8,52:52)-SUMIF(51:51,C8,52:52)+100</f>
        <v>0</v>
      </c>
      <c r="K8" s="524"/>
      <c r="L8" s="2111"/>
      <c r="M8" s="2112"/>
      <c r="N8" s="2112"/>
      <c r="O8" s="2112"/>
      <c r="P8" s="3781" t="s">
        <v>532</v>
      </c>
      <c r="Q8" s="3782"/>
      <c r="R8" s="1545" t="s">
        <v>8</v>
      </c>
      <c r="S8" s="1546">
        <f t="shared" si="0"/>
        <v>0</v>
      </c>
      <c r="T8" s="1545" t="s">
        <v>8</v>
      </c>
      <c r="U8" s="1546">
        <f t="shared" si="1"/>
        <v>0</v>
      </c>
      <c r="V8" s="1545" t="s">
        <v>8</v>
      </c>
      <c r="W8" s="1546">
        <f t="shared" si="2"/>
        <v>0</v>
      </c>
      <c r="X8" s="1547"/>
      <c r="Y8" s="3781" t="s">
        <v>532</v>
      </c>
      <c r="Z8" s="3782"/>
      <c r="AA8" s="1548" t="e">
        <f t="shared" ref="AA8:AA36" si="3">D8/F8</f>
        <v>#DIV/0!</v>
      </c>
      <c r="AB8" s="1548" t="e">
        <f t="shared" ref="AB8:AB36" si="4">D8/H8</f>
        <v>#DIV/0!</v>
      </c>
      <c r="AC8" s="1548" t="e">
        <f t="shared" ref="AC8:AC36" si="5">D8/J8</f>
        <v>#DIV/0!</v>
      </c>
    </row>
    <row r="9" spans="1:29" s="1206" customFormat="1" ht="15">
      <c r="A9" s="2844"/>
      <c r="B9" s="2851" t="s">
        <v>2730</v>
      </c>
      <c r="C9" s="857"/>
      <c r="D9" s="254">
        <v>100</v>
      </c>
      <c r="E9" s="860"/>
      <c r="F9" s="254">
        <f>SUMIF(53:53,E9,54:54)-SUMIF(53:53,C9,54:54)+100</f>
        <v>100</v>
      </c>
      <c r="G9" s="858"/>
      <c r="H9" s="254">
        <f>SUMIF(53:53,G9,54:54)-SUMIF(53:53,C9,54:54)+100</f>
        <v>100</v>
      </c>
      <c r="I9" s="858"/>
      <c r="J9" s="254">
        <f>SUMIF(53:53,I9,54:54)-SUMIF(53:53,C9,54:54)+100</f>
        <v>100</v>
      </c>
      <c r="K9" s="524"/>
      <c r="L9" s="2111"/>
      <c r="M9" s="2112"/>
      <c r="N9" s="2112"/>
      <c r="O9" s="2113"/>
      <c r="P9" s="3789" t="s">
        <v>534</v>
      </c>
      <c r="Q9" s="1138" t="str">
        <f t="shared" ref="Q9:Q14" si="6">B9</f>
        <v>用途</v>
      </c>
      <c r="R9" s="1545" t="s">
        <v>8</v>
      </c>
      <c r="S9" s="1546">
        <f t="shared" si="0"/>
        <v>100</v>
      </c>
      <c r="T9" s="1545" t="s">
        <v>8</v>
      </c>
      <c r="U9" s="1546">
        <f t="shared" si="1"/>
        <v>100</v>
      </c>
      <c r="V9" s="1545" t="s">
        <v>8</v>
      </c>
      <c r="W9" s="1546">
        <f t="shared" si="2"/>
        <v>100</v>
      </c>
      <c r="X9" s="1547"/>
      <c r="Y9" s="3746" t="s">
        <v>535</v>
      </c>
      <c r="Z9" s="1137" t="str">
        <f t="shared" ref="Z9:Z14" si="7">Q9</f>
        <v>用途</v>
      </c>
      <c r="AA9" s="1548">
        <f t="shared" si="3"/>
        <v>1</v>
      </c>
      <c r="AB9" s="1548">
        <f t="shared" si="4"/>
        <v>1</v>
      </c>
      <c r="AC9" s="1548">
        <f t="shared" si="5"/>
        <v>1</v>
      </c>
    </row>
    <row r="10" spans="1:29" s="1324" customFormat="1" ht="27">
      <c r="A10" s="2845"/>
      <c r="B10" s="2850" t="s">
        <v>2731</v>
      </c>
      <c r="C10" s="861"/>
      <c r="D10" s="255">
        <v>100</v>
      </c>
      <c r="E10" s="861"/>
      <c r="F10" s="255">
        <f>SUMIF(55:55,E10,56:56)-SUMIF(55:55,C10,56:56)+100</f>
        <v>100</v>
      </c>
      <c r="G10" s="862"/>
      <c r="H10" s="255">
        <f>SUMIF(55:55,G10,56:56)-SUMIF(55:55,C10,56:56)+100</f>
        <v>100</v>
      </c>
      <c r="I10" s="861"/>
      <c r="J10" s="255">
        <f>SUMIF(55:55,I10,56:56)-SUMIF(55:55,C10,56:56)+100</f>
        <v>100</v>
      </c>
      <c r="K10" s="584"/>
      <c r="L10" s="2114"/>
      <c r="M10" s="2154"/>
      <c r="N10" s="2154"/>
      <c r="O10" s="2115"/>
      <c r="P10" s="3789"/>
      <c r="Q10" s="1138" t="str">
        <f t="shared" si="6"/>
        <v>土地使用年限（年）</v>
      </c>
      <c r="R10" s="1545" t="s">
        <v>8</v>
      </c>
      <c r="S10" s="1546">
        <f t="shared" si="0"/>
        <v>100</v>
      </c>
      <c r="T10" s="1545" t="s">
        <v>8</v>
      </c>
      <c r="U10" s="1546">
        <f t="shared" si="1"/>
        <v>100</v>
      </c>
      <c r="V10" s="1545" t="s">
        <v>8</v>
      </c>
      <c r="W10" s="1546">
        <f t="shared" si="2"/>
        <v>100</v>
      </c>
      <c r="X10" s="1547"/>
      <c r="Y10" s="3746"/>
      <c r="Z10" s="1137" t="str">
        <f t="shared" si="7"/>
        <v>土地使用年限（年）</v>
      </c>
      <c r="AA10" s="1548">
        <f t="shared" si="3"/>
        <v>1</v>
      </c>
      <c r="AB10" s="1548">
        <f t="shared" si="4"/>
        <v>1</v>
      </c>
      <c r="AC10" s="1548">
        <f t="shared" si="5"/>
        <v>1</v>
      </c>
    </row>
    <row r="11" spans="1:29" ht="15">
      <c r="A11" s="2847"/>
      <c r="B11" s="2853">
        <v>111</v>
      </c>
      <c r="C11" s="528"/>
      <c r="D11" s="255">
        <v>100</v>
      </c>
      <c r="E11" s="528"/>
      <c r="F11" s="255">
        <f>SUMIF(57:57,E11,58:58)-SUMIF(57:57,C11,58:58)+100</f>
        <v>100</v>
      </c>
      <c r="G11" s="528"/>
      <c r="H11" s="255">
        <f>SUMIF(57:57,G11,58:58)-SUMIF(57:57,C11,58:58)+100</f>
        <v>100</v>
      </c>
      <c r="I11" s="528"/>
      <c r="J11" s="255">
        <f>SUMIF(57:57,I11,58:58)-SUMIF(57:57,C11,58:58)+100</f>
        <v>100</v>
      </c>
      <c r="K11" s="581"/>
      <c r="L11" s="2116"/>
      <c r="M11" s="2110"/>
      <c r="N11" s="2110"/>
      <c r="O11" s="2117"/>
      <c r="P11" s="3789"/>
      <c r="Q11" s="1138">
        <f t="shared" si="6"/>
        <v>111</v>
      </c>
      <c r="R11" s="1545" t="s">
        <v>8</v>
      </c>
      <c r="S11" s="1546">
        <f t="shared" si="0"/>
        <v>100</v>
      </c>
      <c r="T11" s="1545" t="s">
        <v>8</v>
      </c>
      <c r="U11" s="1546">
        <f t="shared" si="1"/>
        <v>100</v>
      </c>
      <c r="V11" s="1545" t="s">
        <v>8</v>
      </c>
      <c r="W11" s="1546">
        <f t="shared" si="2"/>
        <v>100</v>
      </c>
      <c r="X11" s="1547"/>
      <c r="Y11" s="3746"/>
      <c r="Z11" s="1137">
        <f t="shared" si="7"/>
        <v>111</v>
      </c>
      <c r="AA11" s="1548">
        <f t="shared" si="3"/>
        <v>1</v>
      </c>
      <c r="AB11" s="1548">
        <f t="shared" si="4"/>
        <v>1</v>
      </c>
      <c r="AC11" s="1548">
        <f t="shared" si="5"/>
        <v>1</v>
      </c>
    </row>
    <row r="12" spans="1:29" s="1206" customFormat="1" ht="15">
      <c r="A12" s="2847"/>
      <c r="B12" s="2853">
        <v>111</v>
      </c>
      <c r="C12" s="528"/>
      <c r="D12" s="538">
        <v>100</v>
      </c>
      <c r="E12" s="528"/>
      <c r="F12" s="255">
        <f>SUMIF(59:59,E12,60:60)-SUMIF(59:59,C12,60:60)+100</f>
        <v>100</v>
      </c>
      <c r="G12" s="528"/>
      <c r="H12" s="255">
        <f>SUMIF(59:59,G12,60:60)-SUMIF(59:59,C12,60:60)+100</f>
        <v>100</v>
      </c>
      <c r="I12" s="528"/>
      <c r="J12" s="255">
        <f>SUMIF(59:59,I12,60:60)-SUMIF(59:59,C12,60:60)+100</f>
        <v>100</v>
      </c>
      <c r="K12" s="581"/>
      <c r="L12" s="2111"/>
      <c r="M12" s="2112"/>
      <c r="N12" s="2112"/>
      <c r="O12" s="2113"/>
      <c r="P12" s="3789"/>
      <c r="Q12" s="1138">
        <f t="shared" si="6"/>
        <v>111</v>
      </c>
      <c r="R12" s="1545" t="s">
        <v>8</v>
      </c>
      <c r="S12" s="1546">
        <f t="shared" si="0"/>
        <v>100</v>
      </c>
      <c r="T12" s="1545" t="s">
        <v>8</v>
      </c>
      <c r="U12" s="1546">
        <f t="shared" si="1"/>
        <v>100</v>
      </c>
      <c r="V12" s="1545" t="s">
        <v>8</v>
      </c>
      <c r="W12" s="1546">
        <f t="shared" si="2"/>
        <v>100</v>
      </c>
      <c r="X12" s="1547"/>
      <c r="Y12" s="3746"/>
      <c r="Z12" s="1137">
        <f t="shared" si="7"/>
        <v>111</v>
      </c>
      <c r="AA12" s="1548">
        <f>D12/F12</f>
        <v>1</v>
      </c>
      <c r="AB12" s="1548">
        <f>D12/H12</f>
        <v>1</v>
      </c>
      <c r="AC12" s="1548">
        <f>D12/J12</f>
        <v>1</v>
      </c>
    </row>
    <row r="13" spans="1:29" ht="15.75" thickBot="1">
      <c r="A13" s="2848"/>
      <c r="B13" s="2854">
        <v>111</v>
      </c>
      <c r="C13" s="539"/>
      <c r="D13" s="540">
        <v>100</v>
      </c>
      <c r="E13" s="528"/>
      <c r="F13" s="255">
        <f>SUMIF(61:61,E13,62:62)-SUMIF(61:61,C13,62:62)+100</f>
        <v>100</v>
      </c>
      <c r="G13" s="528"/>
      <c r="H13" s="540">
        <f>SUMIF(61:61,G13,62:62)-SUMIF(61:61,C13,62:62)+100</f>
        <v>100</v>
      </c>
      <c r="I13" s="528"/>
      <c r="J13" s="540">
        <f>SUMIF(61:61,I13,62:62)-SUMIF(61:61,C13,62:62)+100</f>
        <v>100</v>
      </c>
      <c r="K13" s="581"/>
      <c r="L13" s="2118"/>
      <c r="M13" s="2110"/>
      <c r="N13" s="2110"/>
      <c r="O13" s="2117"/>
      <c r="P13" s="3789"/>
      <c r="Q13" s="1138">
        <f t="shared" si="6"/>
        <v>111</v>
      </c>
      <c r="R13" s="1545" t="s">
        <v>8</v>
      </c>
      <c r="S13" s="1546">
        <f t="shared" si="0"/>
        <v>100</v>
      </c>
      <c r="T13" s="1545" t="s">
        <v>8</v>
      </c>
      <c r="U13" s="1546">
        <f t="shared" si="1"/>
        <v>100</v>
      </c>
      <c r="V13" s="1545" t="s">
        <v>8</v>
      </c>
      <c r="W13" s="1546">
        <f t="shared" si="2"/>
        <v>100</v>
      </c>
      <c r="X13" s="1547"/>
      <c r="Y13" s="3746"/>
      <c r="Z13" s="1137">
        <f t="shared" si="7"/>
        <v>111</v>
      </c>
      <c r="AA13" s="1548">
        <f t="shared" si="3"/>
        <v>1</v>
      </c>
      <c r="AB13" s="1548">
        <f t="shared" si="4"/>
        <v>1</v>
      </c>
      <c r="AC13" s="1548">
        <f t="shared" si="5"/>
        <v>1</v>
      </c>
    </row>
    <row r="14" spans="1:29" ht="85.5">
      <c r="A14" s="2840" t="s">
        <v>2728</v>
      </c>
      <c r="B14" s="547" t="s">
        <v>542</v>
      </c>
      <c r="C14" s="912"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18"/>
      <c r="M14" s="2110"/>
      <c r="N14" s="2110"/>
      <c r="O14" s="2117"/>
      <c r="P14" s="3791" t="s">
        <v>539</v>
      </c>
      <c r="Q14" s="1549" t="str">
        <f t="shared" si="6"/>
        <v>交通便捷度</v>
      </c>
      <c r="R14" s="1550" t="s">
        <v>8</v>
      </c>
      <c r="S14" s="1551">
        <f t="shared" si="0"/>
        <v>100</v>
      </c>
      <c r="T14" s="1550" t="s">
        <v>8</v>
      </c>
      <c r="U14" s="1551">
        <f t="shared" si="1"/>
        <v>100</v>
      </c>
      <c r="V14" s="1550" t="s">
        <v>8</v>
      </c>
      <c r="W14" s="1551">
        <f t="shared" si="2"/>
        <v>100</v>
      </c>
      <c r="X14" s="1544"/>
      <c r="Y14" s="3791" t="s">
        <v>539</v>
      </c>
      <c r="Z14" s="1552" t="str">
        <f t="shared" si="7"/>
        <v>交通便捷度</v>
      </c>
      <c r="AA14" s="1553">
        <f t="shared" si="3"/>
        <v>1</v>
      </c>
      <c r="AB14" s="1553">
        <f t="shared" si="4"/>
        <v>1</v>
      </c>
      <c r="AC14" s="1553">
        <f t="shared" si="5"/>
        <v>1</v>
      </c>
    </row>
    <row r="15" spans="1:29" ht="15">
      <c r="A15" s="515"/>
      <c r="B15" s="915"/>
      <c r="C15" s="576"/>
      <c r="D15" s="555"/>
      <c r="E15" s="576"/>
      <c r="F15" s="557"/>
      <c r="G15" s="576"/>
      <c r="H15" s="559"/>
      <c r="I15" s="576"/>
      <c r="J15" s="555"/>
      <c r="K15" s="899"/>
      <c r="L15" s="2118"/>
      <c r="M15" s="2110"/>
      <c r="N15" s="2110"/>
      <c r="O15" s="2117"/>
      <c r="P15" s="3792"/>
      <c r="Q15" s="1549"/>
      <c r="R15" s="1550"/>
      <c r="S15" s="1551"/>
      <c r="T15" s="1550"/>
      <c r="U15" s="1551"/>
      <c r="V15" s="1550"/>
      <c r="W15" s="1551"/>
      <c r="X15" s="1544"/>
      <c r="Y15" s="3792"/>
      <c r="Z15" s="1552"/>
      <c r="AA15" s="1553">
        <v>1</v>
      </c>
      <c r="AB15" s="1553">
        <v>1</v>
      </c>
      <c r="AC15" s="1553">
        <v>1</v>
      </c>
    </row>
    <row r="16" spans="1:29" ht="42.75">
      <c r="A16" s="515"/>
      <c r="B16" s="2542" t="s">
        <v>2521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18"/>
      <c r="M16" s="2110"/>
      <c r="N16" s="2110"/>
      <c r="O16" s="2117"/>
      <c r="P16" s="3792"/>
      <c r="Q16" s="1549" t="str">
        <f>B16</f>
        <v>公共配套设施</v>
      </c>
      <c r="R16" s="1550" t="s">
        <v>8</v>
      </c>
      <c r="S16" s="1551">
        <f>F16</f>
        <v>100</v>
      </c>
      <c r="T16" s="1550" t="s">
        <v>8</v>
      </c>
      <c r="U16" s="1551">
        <f>H16</f>
        <v>100</v>
      </c>
      <c r="V16" s="1550" t="s">
        <v>8</v>
      </c>
      <c r="W16" s="1551">
        <f>J16</f>
        <v>100</v>
      </c>
      <c r="X16" s="1544"/>
      <c r="Y16" s="3792"/>
      <c r="Z16" s="1552" t="str">
        <f>Q16</f>
        <v>公共配套设施</v>
      </c>
      <c r="AA16" s="1553">
        <f t="shared" si="3"/>
        <v>1</v>
      </c>
      <c r="AB16" s="1553">
        <f t="shared" si="4"/>
        <v>1</v>
      </c>
      <c r="AC16" s="1553">
        <f t="shared" si="5"/>
        <v>1</v>
      </c>
    </row>
    <row r="17" spans="1:29" ht="15">
      <c r="A17" s="515"/>
      <c r="B17" s="566"/>
      <c r="C17" s="873"/>
      <c r="D17" s="555"/>
      <c r="E17" s="576"/>
      <c r="F17" s="557"/>
      <c r="G17" s="576"/>
      <c r="H17" s="555"/>
      <c r="I17" s="576"/>
      <c r="J17" s="555"/>
      <c r="K17" s="899"/>
      <c r="L17" s="2118"/>
      <c r="M17" s="2110"/>
      <c r="N17" s="2110"/>
      <c r="O17" s="2117"/>
      <c r="P17" s="3792"/>
      <c r="Q17" s="1549"/>
      <c r="R17" s="1550"/>
      <c r="S17" s="1551"/>
      <c r="T17" s="1550"/>
      <c r="U17" s="1551"/>
      <c r="V17" s="1550"/>
      <c r="W17" s="1551"/>
      <c r="X17" s="1544"/>
      <c r="Y17" s="3792"/>
      <c r="Z17" s="1552"/>
      <c r="AA17" s="1553">
        <v>1</v>
      </c>
      <c r="AB17" s="1553">
        <v>1</v>
      </c>
      <c r="AC17" s="1553">
        <v>1</v>
      </c>
    </row>
    <row r="18" spans="1:29" ht="28.5">
      <c r="A18" s="515"/>
      <c r="B18" s="2530" t="s">
        <v>2533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18"/>
      <c r="M18" s="2110"/>
      <c r="N18" s="2110"/>
      <c r="O18" s="2117"/>
      <c r="P18" s="3792"/>
      <c r="Q18" s="2518" t="str">
        <f>B18</f>
        <v>基础设施水平</v>
      </c>
      <c r="R18" s="1550" t="s">
        <v>8</v>
      </c>
      <c r="S18" s="1551">
        <f>F18</f>
        <v>100</v>
      </c>
      <c r="T18" s="1550" t="s">
        <v>8</v>
      </c>
      <c r="U18" s="1551">
        <f>H18</f>
        <v>100</v>
      </c>
      <c r="V18" s="1550" t="s">
        <v>8</v>
      </c>
      <c r="W18" s="1551">
        <f>J18</f>
        <v>100</v>
      </c>
      <c r="X18" s="2520"/>
      <c r="Y18" s="3792"/>
      <c r="Z18" s="2519" t="str">
        <f>Q18</f>
        <v>基础设施水平</v>
      </c>
      <c r="AA18" s="1553">
        <f t="shared" ref="AA18" si="8">D18/F18</f>
        <v>1</v>
      </c>
      <c r="AB18" s="1553">
        <f t="shared" ref="AB18" si="9">D18/H18</f>
        <v>1</v>
      </c>
      <c r="AC18" s="1553">
        <f t="shared" ref="AC18" si="10">D18/J18</f>
        <v>1</v>
      </c>
    </row>
    <row r="19" spans="1:29" ht="15">
      <c r="A19" s="515"/>
      <c r="B19" s="578"/>
      <c r="C19" s="873"/>
      <c r="D19" s="559"/>
      <c r="E19" s="576"/>
      <c r="F19" s="557"/>
      <c r="G19" s="576"/>
      <c r="H19" s="555"/>
      <c r="I19" s="576"/>
      <c r="J19" s="555"/>
      <c r="K19" s="2541"/>
      <c r="L19" s="2118"/>
      <c r="M19" s="2110"/>
      <c r="N19" s="2110"/>
      <c r="O19" s="2117"/>
      <c r="P19" s="3792"/>
      <c r="Q19" s="2518"/>
      <c r="R19" s="1550"/>
      <c r="S19" s="1551"/>
      <c r="T19" s="1550"/>
      <c r="U19" s="1551"/>
      <c r="V19" s="1550"/>
      <c r="W19" s="1551"/>
      <c r="X19" s="2520"/>
      <c r="Y19" s="3792"/>
      <c r="Z19" s="2519"/>
      <c r="AA19" s="1553">
        <v>1</v>
      </c>
      <c r="AB19" s="1553">
        <v>1</v>
      </c>
      <c r="AC19" s="1553">
        <v>1</v>
      </c>
    </row>
    <row r="20" spans="1:29" ht="57">
      <c r="A20" s="515"/>
      <c r="B20" s="560" t="s">
        <v>782</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18"/>
      <c r="M20" s="2110"/>
      <c r="N20" s="2110"/>
      <c r="O20" s="2117"/>
      <c r="P20" s="3792"/>
      <c r="Q20" s="1549" t="str">
        <f>B20</f>
        <v>自然及人文环境</v>
      </c>
      <c r="R20" s="1550" t="s">
        <v>8</v>
      </c>
      <c r="S20" s="1551">
        <f>F20</f>
        <v>100</v>
      </c>
      <c r="T20" s="1550" t="s">
        <v>8</v>
      </c>
      <c r="U20" s="1551">
        <f>H20</f>
        <v>100</v>
      </c>
      <c r="V20" s="1550" t="s">
        <v>8</v>
      </c>
      <c r="W20" s="1551">
        <f>J20</f>
        <v>100</v>
      </c>
      <c r="X20" s="1544"/>
      <c r="Y20" s="3792"/>
      <c r="Z20" s="1552" t="str">
        <f>Q20</f>
        <v>自然及人文环境</v>
      </c>
      <c r="AA20" s="1553">
        <f t="shared" si="3"/>
        <v>1</v>
      </c>
      <c r="AB20" s="1553">
        <f t="shared" si="4"/>
        <v>1</v>
      </c>
      <c r="AC20" s="1553">
        <f t="shared" si="5"/>
        <v>1</v>
      </c>
    </row>
    <row r="21" spans="1:29" ht="15">
      <c r="A21" s="515"/>
      <c r="B21" s="566"/>
      <c r="C21" s="576"/>
      <c r="D21" s="555"/>
      <c r="E21" s="576"/>
      <c r="F21" s="557"/>
      <c r="G21" s="576"/>
      <c r="H21" s="555"/>
      <c r="I21" s="576"/>
      <c r="J21" s="555"/>
      <c r="K21" s="899"/>
      <c r="L21" s="2118"/>
      <c r="M21" s="2110"/>
      <c r="N21" s="2110"/>
      <c r="O21" s="2117"/>
      <c r="P21" s="3792"/>
      <c r="Q21" s="1549"/>
      <c r="R21" s="1550"/>
      <c r="S21" s="1551"/>
      <c r="T21" s="1550"/>
      <c r="U21" s="1551"/>
      <c r="V21" s="1550"/>
      <c r="W21" s="1551"/>
      <c r="X21" s="1544"/>
      <c r="Y21" s="3792"/>
      <c r="Z21" s="1552"/>
      <c r="AA21" s="1553">
        <v>1</v>
      </c>
      <c r="AB21" s="1553">
        <v>1</v>
      </c>
      <c r="AC21" s="1553">
        <v>1</v>
      </c>
    </row>
    <row r="22" spans="1:29" ht="15">
      <c r="A22" s="515"/>
      <c r="B22" s="560" t="s">
        <v>783</v>
      </c>
      <c r="C22" s="583"/>
      <c r="D22" s="559">
        <v>100</v>
      </c>
      <c r="E22" s="583"/>
      <c r="F22" s="575">
        <f>SUMIF(71:71,E22,72:72)-SUMIF(71:71,C22,72:72)+100</f>
        <v>100</v>
      </c>
      <c r="G22" s="583"/>
      <c r="H22" s="540">
        <f>SUMIF(71:71,G22,72:72)-SUMIF(71:71,C22,72:72)+100</f>
        <v>100</v>
      </c>
      <c r="I22" s="583"/>
      <c r="J22" s="540">
        <f>SUMIF(71:71,I22,72:72)-SUMIF(71:71,C22,72:72)+100</f>
        <v>100</v>
      </c>
      <c r="K22" s="584"/>
      <c r="L22" s="2118"/>
      <c r="M22" s="2110"/>
      <c r="N22" s="2110"/>
      <c r="O22" s="2117"/>
      <c r="P22" s="3792"/>
      <c r="Q22" s="1549" t="str">
        <f>B22</f>
        <v>楼层</v>
      </c>
      <c r="R22" s="1550" t="s">
        <v>8</v>
      </c>
      <c r="S22" s="1551">
        <f>F22</f>
        <v>100</v>
      </c>
      <c r="T22" s="1550" t="s">
        <v>8</v>
      </c>
      <c r="U22" s="1551">
        <f>H22</f>
        <v>100</v>
      </c>
      <c r="V22" s="1550" t="s">
        <v>8</v>
      </c>
      <c r="W22" s="1551">
        <f>J22</f>
        <v>100</v>
      </c>
      <c r="X22" s="1544"/>
      <c r="Y22" s="3792"/>
      <c r="Z22" s="1552" t="str">
        <f>Q22</f>
        <v>楼层</v>
      </c>
      <c r="AA22" s="1553">
        <f t="shared" si="3"/>
        <v>1</v>
      </c>
      <c r="AB22" s="1553">
        <f t="shared" si="4"/>
        <v>1</v>
      </c>
      <c r="AC22" s="1553">
        <f t="shared" si="5"/>
        <v>1</v>
      </c>
    </row>
    <row r="23" spans="1:29" ht="15">
      <c r="A23" s="515"/>
      <c r="B23" s="916">
        <v>111</v>
      </c>
      <c r="C23" s="528"/>
      <c r="D23" s="540">
        <v>100</v>
      </c>
      <c r="E23" s="528"/>
      <c r="F23" s="575">
        <f>SUMIF(73:73,E23,74:74)-SUMIF(73:73,C23,74:74)+100</f>
        <v>100</v>
      </c>
      <c r="G23" s="528"/>
      <c r="H23" s="540">
        <f>SUMIF(73:73,G23,74:74)-SUMIF(73:73,C23,74:74)+100</f>
        <v>100</v>
      </c>
      <c r="I23" s="528"/>
      <c r="J23" s="540">
        <f>SUMIF(73:73,I23,74:74)-SUMIF(73:73,C23,74:74)+100</f>
        <v>100</v>
      </c>
      <c r="K23" s="581"/>
      <c r="L23" s="2118"/>
      <c r="M23" s="2110"/>
      <c r="N23" s="2110"/>
      <c r="O23" s="2117"/>
      <c r="P23" s="3792"/>
      <c r="Q23" s="1549">
        <f>B23</f>
        <v>111</v>
      </c>
      <c r="R23" s="1550" t="s">
        <v>8</v>
      </c>
      <c r="S23" s="1551">
        <f>F23</f>
        <v>100</v>
      </c>
      <c r="T23" s="1550" t="s">
        <v>8</v>
      </c>
      <c r="U23" s="1551">
        <f>H23</f>
        <v>100</v>
      </c>
      <c r="V23" s="1550" t="s">
        <v>8</v>
      </c>
      <c r="W23" s="1551">
        <f>J23</f>
        <v>100</v>
      </c>
      <c r="X23" s="1544"/>
      <c r="Y23" s="3792"/>
      <c r="Z23" s="1552">
        <f>Q23</f>
        <v>111</v>
      </c>
      <c r="AA23" s="1553">
        <f t="shared" si="3"/>
        <v>1</v>
      </c>
      <c r="AB23" s="1553">
        <f t="shared" si="4"/>
        <v>1</v>
      </c>
      <c r="AC23" s="1553">
        <f t="shared" si="5"/>
        <v>1</v>
      </c>
    </row>
    <row r="24" spans="1:29" ht="15">
      <c r="A24" s="515"/>
      <c r="B24" s="916">
        <v>111</v>
      </c>
      <c r="C24" s="528"/>
      <c r="D24" s="540">
        <v>100</v>
      </c>
      <c r="E24" s="528"/>
      <c r="F24" s="575">
        <f>SUMIF(75:75,E24,76:76)-SUMIF(75:75,C24,76:76)+100</f>
        <v>100</v>
      </c>
      <c r="G24" s="528"/>
      <c r="H24" s="540">
        <f>SUMIF(75:75,G24,76:76)-SUMIF(75:75,C24,76:76)+100</f>
        <v>100</v>
      </c>
      <c r="I24" s="528"/>
      <c r="J24" s="540">
        <f>SUMIF(75:75,I24,76:76)-SUMIF(75:75,C24,76:76)+100</f>
        <v>100</v>
      </c>
      <c r="K24" s="581"/>
      <c r="L24" s="2118"/>
      <c r="M24" s="2110"/>
      <c r="N24" s="2110"/>
      <c r="O24" s="2117"/>
      <c r="P24" s="3792"/>
      <c r="Q24" s="1549">
        <f t="shared" ref="Q24:Q36" si="11">B24</f>
        <v>111</v>
      </c>
      <c r="R24" s="1550" t="s">
        <v>8</v>
      </c>
      <c r="S24" s="1551">
        <f>F24</f>
        <v>100</v>
      </c>
      <c r="T24" s="1550" t="s">
        <v>8</v>
      </c>
      <c r="U24" s="1551">
        <f>H24</f>
        <v>100</v>
      </c>
      <c r="V24" s="1550" t="s">
        <v>8</v>
      </c>
      <c r="W24" s="1551">
        <f>J24</f>
        <v>100</v>
      </c>
      <c r="X24" s="1544"/>
      <c r="Y24" s="3792"/>
      <c r="Z24" s="1552">
        <f>Q24</f>
        <v>111</v>
      </c>
      <c r="AA24" s="1553">
        <f t="shared" si="3"/>
        <v>1</v>
      </c>
      <c r="AB24" s="1553">
        <f t="shared" si="4"/>
        <v>1</v>
      </c>
      <c r="AC24" s="1553">
        <f t="shared" si="5"/>
        <v>1</v>
      </c>
    </row>
    <row r="25" spans="1:29" s="1206" customFormat="1" ht="15.75" thickBot="1">
      <c r="A25" s="577"/>
      <c r="B25" s="907">
        <v>111</v>
      </c>
      <c r="C25" s="545"/>
      <c r="D25" s="917">
        <v>100</v>
      </c>
      <c r="E25" s="905"/>
      <c r="F25" s="918">
        <f>SUMIF(77:77,E25,78:78)-SUMIF(77:77,C25,78:78)+100</f>
        <v>100</v>
      </c>
      <c r="G25" s="905"/>
      <c r="H25" s="917">
        <f>SUMIF(77:77,G25,78:78)-SUMIF(77:77,C25,78:78)+100</f>
        <v>100</v>
      </c>
      <c r="I25" s="905"/>
      <c r="J25" s="917">
        <f>SUMIF(77:77,I25,78:78)-SUMIF(77:77,C25,78:78)+100</f>
        <v>100</v>
      </c>
      <c r="K25" s="581"/>
      <c r="L25" s="2111"/>
      <c r="M25" s="2112"/>
      <c r="N25" s="2112"/>
      <c r="O25" s="2113"/>
      <c r="P25" s="3792"/>
      <c r="Q25" s="1138">
        <f t="shared" si="11"/>
        <v>111</v>
      </c>
      <c r="R25" s="1545" t="s">
        <v>8</v>
      </c>
      <c r="S25" s="1546">
        <f>F25</f>
        <v>100</v>
      </c>
      <c r="T25" s="1545" t="s">
        <v>8</v>
      </c>
      <c r="U25" s="1546">
        <f>H25</f>
        <v>100</v>
      </c>
      <c r="V25" s="1545" t="s">
        <v>8</v>
      </c>
      <c r="W25" s="1546">
        <f>J25</f>
        <v>100</v>
      </c>
      <c r="X25" s="1547"/>
      <c r="Y25" s="3792"/>
      <c r="Z25" s="1137">
        <f>Q25</f>
        <v>111</v>
      </c>
      <c r="AA25" s="1553">
        <f>D25/F25</f>
        <v>1</v>
      </c>
      <c r="AB25" s="1553">
        <f>D25/H25</f>
        <v>1</v>
      </c>
      <c r="AC25" s="1553">
        <f>D25/J25</f>
        <v>1</v>
      </c>
    </row>
    <row r="26" spans="1:29" ht="15">
      <c r="A26" s="2837" t="s">
        <v>2729</v>
      </c>
      <c r="B26" s="170" t="s">
        <v>784</v>
      </c>
      <c r="C26" s="919">
        <f>B1</f>
        <v>0</v>
      </c>
      <c r="D26" s="555">
        <v>100</v>
      </c>
      <c r="E26" s="576"/>
      <c r="F26" s="557">
        <f>SUMIF(79:79,E26,80:80)-SUMIF(79:79,C26,80:80)+100</f>
        <v>100</v>
      </c>
      <c r="G26" s="576"/>
      <c r="H26" s="555">
        <f>SUMIF(79:79,G26,80:80)-SUMIF(79:79,C26,80:80)+100</f>
        <v>100</v>
      </c>
      <c r="I26" s="576"/>
      <c r="J26" s="555">
        <f>SUMIF(79:79,I26,80:80)-SUMIF(79:79,C26,80:80)+100</f>
        <v>100</v>
      </c>
      <c r="K26" s="584"/>
      <c r="L26" s="2118"/>
      <c r="M26" s="2110"/>
      <c r="N26" s="2110"/>
      <c r="O26" s="2117"/>
      <c r="P26" s="3793" t="s">
        <v>549</v>
      </c>
      <c r="Q26" s="1549" t="str">
        <f t="shared" si="11"/>
        <v>配套类型</v>
      </c>
      <c r="R26" s="1550" t="s">
        <v>8</v>
      </c>
      <c r="S26" s="1551">
        <f t="shared" ref="S26:S36" si="12">F26</f>
        <v>100</v>
      </c>
      <c r="T26" s="1550" t="s">
        <v>8</v>
      </c>
      <c r="U26" s="1551">
        <f t="shared" ref="U26:U36" si="13">H26</f>
        <v>100</v>
      </c>
      <c r="V26" s="1550" t="s">
        <v>8</v>
      </c>
      <c r="W26" s="1551">
        <f t="shared" ref="W26:W36" si="14">J26</f>
        <v>100</v>
      </c>
      <c r="X26" s="1544"/>
      <c r="Y26" s="3794" t="s">
        <v>549</v>
      </c>
      <c r="Z26" s="1552" t="str">
        <f t="shared" ref="Z26:Z36" si="15">Q26</f>
        <v>配套类型</v>
      </c>
      <c r="AA26" s="1553">
        <f t="shared" si="3"/>
        <v>1</v>
      </c>
      <c r="AB26" s="1553">
        <f t="shared" si="4"/>
        <v>1</v>
      </c>
      <c r="AC26" s="1553">
        <f t="shared" si="5"/>
        <v>1</v>
      </c>
    </row>
    <row r="27" spans="1:29" s="1325" customFormat="1" ht="15">
      <c r="A27" s="920"/>
      <c r="B27" s="582" t="s">
        <v>785</v>
      </c>
      <c r="C27" s="921"/>
      <c r="D27" s="255">
        <v>100</v>
      </c>
      <c r="E27" s="921"/>
      <c r="F27" s="575">
        <f>SUMIF(81:81,E27,82:82)-SUMIF(81:81,C27,82:82)+100</f>
        <v>100</v>
      </c>
      <c r="G27" s="921"/>
      <c r="H27" s="540">
        <f>SUMIF(81:81,G27,82:82)-SUMIF(81:81,C27,82:82)+100</f>
        <v>100</v>
      </c>
      <c r="I27" s="921"/>
      <c r="J27" s="540">
        <f>SUMIF(81:81,I27,82:82)-SUMIF(81:81,C27,82:82)+100</f>
        <v>100</v>
      </c>
      <c r="K27" s="581"/>
      <c r="L27" s="2116"/>
      <c r="M27" s="2147"/>
      <c r="N27" s="2147"/>
      <c r="O27" s="2119"/>
      <c r="P27" s="3794"/>
      <c r="Q27" s="1581" t="str">
        <f t="shared" si="11"/>
        <v>项目停车位配比</v>
      </c>
      <c r="R27" s="1554" t="s">
        <v>8</v>
      </c>
      <c r="S27" s="1555">
        <f t="shared" si="12"/>
        <v>100</v>
      </c>
      <c r="T27" s="1554" t="s">
        <v>8</v>
      </c>
      <c r="U27" s="1555">
        <f t="shared" si="13"/>
        <v>100</v>
      </c>
      <c r="V27" s="1554" t="s">
        <v>8</v>
      </c>
      <c r="W27" s="1555">
        <f t="shared" si="14"/>
        <v>100</v>
      </c>
      <c r="X27" s="1556"/>
      <c r="Y27" s="3794"/>
      <c r="Z27" s="1557" t="str">
        <f t="shared" si="15"/>
        <v>项目停车位配比</v>
      </c>
      <c r="AA27" s="1553">
        <f t="shared" si="3"/>
        <v>1</v>
      </c>
      <c r="AB27" s="1553">
        <f t="shared" si="4"/>
        <v>1</v>
      </c>
      <c r="AC27" s="1553">
        <f t="shared" si="5"/>
        <v>1</v>
      </c>
    </row>
    <row r="28" spans="1:29" ht="15">
      <c r="A28" s="922"/>
      <c r="B28" s="582" t="s">
        <v>786</v>
      </c>
      <c r="C28" s="574"/>
      <c r="D28" s="540">
        <v>100</v>
      </c>
      <c r="E28" s="574"/>
      <c r="F28" s="575">
        <f>SUMIF(83:83,E28,84:84)-SUMIF(83:83,C28,84:84)+100</f>
        <v>100</v>
      </c>
      <c r="G28" s="574"/>
      <c r="H28" s="540">
        <f>SUMIF(83:83,G28,84:84)-SUMIF(83:83,C28,84:84)+100</f>
        <v>100</v>
      </c>
      <c r="I28" s="574"/>
      <c r="J28" s="540">
        <f>SUMIF(83:83,I28,84:84)-SUMIF(83:83,C28,84:84)+100</f>
        <v>100</v>
      </c>
      <c r="K28" s="584"/>
      <c r="L28" s="2118"/>
      <c r="M28" s="2110"/>
      <c r="N28" s="2110"/>
      <c r="O28" s="2117"/>
      <c r="P28" s="3794"/>
      <c r="Q28" s="1549" t="str">
        <f t="shared" si="11"/>
        <v>公共部分装修</v>
      </c>
      <c r="R28" s="1550" t="s">
        <v>8</v>
      </c>
      <c r="S28" s="1551">
        <f t="shared" si="12"/>
        <v>100</v>
      </c>
      <c r="T28" s="1550" t="s">
        <v>8</v>
      </c>
      <c r="U28" s="1551">
        <f t="shared" si="13"/>
        <v>100</v>
      </c>
      <c r="V28" s="1550" t="s">
        <v>8</v>
      </c>
      <c r="W28" s="1551">
        <f t="shared" si="14"/>
        <v>100</v>
      </c>
      <c r="X28" s="1544"/>
      <c r="Y28" s="3794"/>
      <c r="Z28" s="1552" t="str">
        <f t="shared" si="15"/>
        <v>公共部分装修</v>
      </c>
      <c r="AA28" s="1553">
        <f t="shared" si="3"/>
        <v>1</v>
      </c>
      <c r="AB28" s="1553">
        <f t="shared" si="4"/>
        <v>1</v>
      </c>
      <c r="AC28" s="1553">
        <f t="shared" si="5"/>
        <v>1</v>
      </c>
    </row>
    <row r="29" spans="1:29" ht="15">
      <c r="A29" s="922"/>
      <c r="B29" s="582" t="s">
        <v>787</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18"/>
      <c r="M29" s="2110"/>
      <c r="N29" s="2110"/>
      <c r="O29" s="2117"/>
      <c r="P29" s="3794"/>
      <c r="Q29" s="1549" t="str">
        <f t="shared" si="11"/>
        <v>成新率</v>
      </c>
      <c r="R29" s="1550" t="s">
        <v>8</v>
      </c>
      <c r="S29" s="1551" t="e">
        <f t="shared" si="12"/>
        <v>#N/A</v>
      </c>
      <c r="T29" s="1550" t="s">
        <v>8</v>
      </c>
      <c r="U29" s="1551" t="e">
        <f t="shared" si="13"/>
        <v>#N/A</v>
      </c>
      <c r="V29" s="1550" t="s">
        <v>8</v>
      </c>
      <c r="W29" s="1551" t="e">
        <f t="shared" si="14"/>
        <v>#N/A</v>
      </c>
      <c r="X29" s="1544"/>
      <c r="Y29" s="3794"/>
      <c r="Z29" s="1552" t="str">
        <f t="shared" si="15"/>
        <v>成新率</v>
      </c>
      <c r="AA29" s="1553" t="e">
        <f t="shared" si="3"/>
        <v>#N/A</v>
      </c>
      <c r="AB29" s="1553" t="e">
        <f t="shared" si="4"/>
        <v>#N/A</v>
      </c>
      <c r="AC29" s="1553" t="e">
        <f t="shared" si="5"/>
        <v>#N/A</v>
      </c>
    </row>
    <row r="30" spans="1:29" ht="15">
      <c r="A30" s="922"/>
      <c r="B30" s="582" t="s">
        <v>788</v>
      </c>
      <c r="C30" s="923"/>
      <c r="D30" s="540">
        <v>100</v>
      </c>
      <c r="E30" s="923"/>
      <c r="F30" s="575">
        <f>SUMIF(88:88,E30,89:89)-SUMIF(88:88,C30,89:89)+100</f>
        <v>100</v>
      </c>
      <c r="G30" s="923"/>
      <c r="H30" s="540">
        <f>SUMIF(88:88,E30,89:89)-SUMIF(88:88,C30,89:89)+100</f>
        <v>100</v>
      </c>
      <c r="I30" s="923"/>
      <c r="J30" s="540">
        <f>SUMIF(88:88,E30,89:89)-SUMIF(88:88,C30,89:89)+100</f>
        <v>100</v>
      </c>
      <c r="K30" s="584"/>
      <c r="L30" s="2118"/>
      <c r="M30" s="2110"/>
      <c r="N30" s="2110"/>
      <c r="O30" s="2117"/>
      <c r="P30" s="3794"/>
      <c r="Q30" s="1549" t="str">
        <f t="shared" si="11"/>
        <v>物业等级</v>
      </c>
      <c r="R30" s="1550" t="s">
        <v>8</v>
      </c>
      <c r="S30" s="1551">
        <f t="shared" si="12"/>
        <v>100</v>
      </c>
      <c r="T30" s="1550" t="s">
        <v>8</v>
      </c>
      <c r="U30" s="1551">
        <f t="shared" si="13"/>
        <v>100</v>
      </c>
      <c r="V30" s="1550" t="s">
        <v>8</v>
      </c>
      <c r="W30" s="1551">
        <f t="shared" si="14"/>
        <v>100</v>
      </c>
      <c r="X30" s="1544"/>
      <c r="Y30" s="3794"/>
      <c r="Z30" s="1552" t="str">
        <f t="shared" si="15"/>
        <v>物业等级</v>
      </c>
      <c r="AA30" s="1553">
        <f t="shared" si="3"/>
        <v>1</v>
      </c>
      <c r="AB30" s="1553">
        <f t="shared" si="4"/>
        <v>1</v>
      </c>
      <c r="AC30" s="1553">
        <f t="shared" si="5"/>
        <v>1</v>
      </c>
    </row>
    <row r="31" spans="1:29" s="1206" customFormat="1" ht="15">
      <c r="A31" s="924"/>
      <c r="B31" s="582" t="s">
        <v>789</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1"/>
      <c r="M31" s="2112"/>
      <c r="N31" s="2112"/>
      <c r="O31" s="2113"/>
      <c r="P31" s="3794"/>
      <c r="Q31" s="1138" t="str">
        <f t="shared" si="11"/>
        <v>停车位面积</v>
      </c>
      <c r="R31" s="1545" t="s">
        <v>8</v>
      </c>
      <c r="S31" s="1546" t="e">
        <f t="shared" si="12"/>
        <v>#N/A</v>
      </c>
      <c r="T31" s="1545" t="s">
        <v>8</v>
      </c>
      <c r="U31" s="1546" t="e">
        <f t="shared" si="13"/>
        <v>#N/A</v>
      </c>
      <c r="V31" s="1545" t="s">
        <v>8</v>
      </c>
      <c r="W31" s="1546" t="e">
        <f t="shared" si="14"/>
        <v>#N/A</v>
      </c>
      <c r="X31" s="1547"/>
      <c r="Y31" s="3794"/>
      <c r="Z31" s="1137" t="str">
        <f t="shared" si="15"/>
        <v>停车位面积</v>
      </c>
      <c r="AA31" s="1548" t="e">
        <f t="shared" si="3"/>
        <v>#N/A</v>
      </c>
      <c r="AB31" s="1548" t="e">
        <f t="shared" si="4"/>
        <v>#N/A</v>
      </c>
      <c r="AC31" s="1548" t="e">
        <f t="shared" si="5"/>
        <v>#N/A</v>
      </c>
    </row>
    <row r="32" spans="1:29" ht="15">
      <c r="A32" s="922"/>
      <c r="B32" s="582" t="s">
        <v>790</v>
      </c>
      <c r="C32" s="574"/>
      <c r="D32" s="540">
        <v>100</v>
      </c>
      <c r="E32" s="574"/>
      <c r="F32" s="575">
        <f>SUMIF(93:93,E32,94:94)-SUMIF(93:93,C32,94:94)+100</f>
        <v>100</v>
      </c>
      <c r="G32" s="574"/>
      <c r="H32" s="540">
        <f>SUMIF(93:93,G32,94:94)-SUMIF(93:93,C32,94:94)+100</f>
        <v>100</v>
      </c>
      <c r="I32" s="574"/>
      <c r="J32" s="540">
        <f>SUMIF(93:93,I32,94:94)-SUMIF(93:93,C32,94:94)+100</f>
        <v>100</v>
      </c>
      <c r="K32" s="584"/>
      <c r="L32" s="2118"/>
      <c r="M32" s="2110"/>
      <c r="N32" s="2110"/>
      <c r="O32" s="2117"/>
      <c r="P32" s="3794" t="s">
        <v>549</v>
      </c>
      <c r="Q32" s="1549" t="str">
        <f t="shared" si="11"/>
        <v>车位类型</v>
      </c>
      <c r="R32" s="1550" t="s">
        <v>8</v>
      </c>
      <c r="S32" s="1551">
        <f t="shared" si="12"/>
        <v>100</v>
      </c>
      <c r="T32" s="1550" t="s">
        <v>8</v>
      </c>
      <c r="U32" s="1551">
        <f t="shared" si="13"/>
        <v>100</v>
      </c>
      <c r="V32" s="1550" t="s">
        <v>8</v>
      </c>
      <c r="W32" s="1551">
        <f t="shared" si="14"/>
        <v>100</v>
      </c>
      <c r="X32" s="1544"/>
      <c r="Y32" s="3794" t="s">
        <v>549</v>
      </c>
      <c r="Z32" s="1552" t="str">
        <f t="shared" si="15"/>
        <v>车位类型</v>
      </c>
      <c r="AA32" s="1553">
        <f t="shared" si="3"/>
        <v>1</v>
      </c>
      <c r="AB32" s="1553">
        <f t="shared" si="4"/>
        <v>1</v>
      </c>
      <c r="AC32" s="1553">
        <f t="shared" si="5"/>
        <v>1</v>
      </c>
    </row>
    <row r="33" spans="1:29" ht="15">
      <c r="A33" s="922"/>
      <c r="B33" s="582" t="s">
        <v>791</v>
      </c>
      <c r="C33" s="574"/>
      <c r="D33" s="540">
        <v>100</v>
      </c>
      <c r="E33" s="574"/>
      <c r="F33" s="575">
        <f>SUMIF(95:95,E33,96:96)-SUMIF(95:95,C33,96:96)+100</f>
        <v>100</v>
      </c>
      <c r="G33" s="574"/>
      <c r="H33" s="540">
        <f>SUMIF(95:95,G33,96:96)-SUMIF(95:95,C33,96:96)+100</f>
        <v>100</v>
      </c>
      <c r="I33" s="574"/>
      <c r="J33" s="540">
        <f>SUMIF(95:95,I33,96:96)-SUMIF(95:95,C33,96:96)+100</f>
        <v>100</v>
      </c>
      <c r="K33" s="584"/>
      <c r="L33" s="2118"/>
      <c r="M33" s="2110"/>
      <c r="N33" s="2110"/>
      <c r="O33" s="2117"/>
      <c r="P33" s="3794"/>
      <c r="Q33" s="1549" t="str">
        <f t="shared" si="11"/>
        <v>是否直接入户</v>
      </c>
      <c r="R33" s="1550" t="s">
        <v>8</v>
      </c>
      <c r="S33" s="1551">
        <f t="shared" si="12"/>
        <v>100</v>
      </c>
      <c r="T33" s="1550" t="s">
        <v>8</v>
      </c>
      <c r="U33" s="1551">
        <f t="shared" si="13"/>
        <v>100</v>
      </c>
      <c r="V33" s="1550" t="s">
        <v>8</v>
      </c>
      <c r="W33" s="1551">
        <f t="shared" si="14"/>
        <v>100</v>
      </c>
      <c r="X33" s="1544"/>
      <c r="Y33" s="3794"/>
      <c r="Z33" s="1552" t="str">
        <f t="shared" si="15"/>
        <v>是否直接入户</v>
      </c>
      <c r="AA33" s="1553">
        <f t="shared" si="3"/>
        <v>1</v>
      </c>
      <c r="AB33" s="1553">
        <f t="shared" si="4"/>
        <v>1</v>
      </c>
      <c r="AC33" s="1553">
        <f t="shared" si="5"/>
        <v>1</v>
      </c>
    </row>
    <row r="34" spans="1:29" ht="15">
      <c r="A34" s="922"/>
      <c r="B34" s="916">
        <v>111</v>
      </c>
      <c r="C34" s="528"/>
      <c r="D34" s="540">
        <v>100</v>
      </c>
      <c r="E34" s="528"/>
      <c r="F34" s="575">
        <f>SUMIF(97:97,E34,98:98)-SUMIF(97:97,C34,98:98)+100</f>
        <v>100</v>
      </c>
      <c r="G34" s="528"/>
      <c r="H34" s="540">
        <f>SUMIF(97:97,G34,98:98)-SUMIF(97:97,C34,98:98)+100</f>
        <v>100</v>
      </c>
      <c r="I34" s="528"/>
      <c r="J34" s="540">
        <f>SUMIF(97:97,I34,98:98)-SUMIF(97:97,C34,98:98)+100</f>
        <v>100</v>
      </c>
      <c r="K34" s="581"/>
      <c r="L34" s="2118"/>
      <c r="M34" s="2110"/>
      <c r="N34" s="2110"/>
      <c r="O34" s="2117"/>
      <c r="P34" s="3794"/>
      <c r="Q34" s="1549">
        <f t="shared" si="11"/>
        <v>111</v>
      </c>
      <c r="R34" s="1550" t="s">
        <v>8</v>
      </c>
      <c r="S34" s="1551">
        <f t="shared" si="12"/>
        <v>100</v>
      </c>
      <c r="T34" s="1550" t="s">
        <v>8</v>
      </c>
      <c r="U34" s="1551">
        <f t="shared" si="13"/>
        <v>100</v>
      </c>
      <c r="V34" s="1550" t="s">
        <v>8</v>
      </c>
      <c r="W34" s="1551">
        <f t="shared" si="14"/>
        <v>100</v>
      </c>
      <c r="X34" s="1544"/>
      <c r="Y34" s="3794"/>
      <c r="Z34" s="1552">
        <f t="shared" si="15"/>
        <v>111</v>
      </c>
      <c r="AA34" s="1553">
        <f t="shared" si="3"/>
        <v>1</v>
      </c>
      <c r="AB34" s="1553">
        <f t="shared" si="4"/>
        <v>1</v>
      </c>
      <c r="AC34" s="1553">
        <f t="shared" si="5"/>
        <v>1</v>
      </c>
    </row>
    <row r="35" spans="1:29" s="1325" customFormat="1" ht="15">
      <c r="A35" s="920"/>
      <c r="B35" s="916">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16"/>
      <c r="M35" s="2147"/>
      <c r="N35" s="2147"/>
      <c r="O35" s="2119"/>
      <c r="P35" s="3794"/>
      <c r="Q35" s="1581">
        <f t="shared" si="11"/>
        <v>111</v>
      </c>
      <c r="R35" s="1554" t="s">
        <v>8</v>
      </c>
      <c r="S35" s="1555">
        <f t="shared" si="12"/>
        <v>100</v>
      </c>
      <c r="T35" s="1554" t="s">
        <v>8</v>
      </c>
      <c r="U35" s="1555">
        <f t="shared" si="13"/>
        <v>100</v>
      </c>
      <c r="V35" s="1554" t="s">
        <v>8</v>
      </c>
      <c r="W35" s="1555">
        <f t="shared" si="14"/>
        <v>100</v>
      </c>
      <c r="X35" s="1556"/>
      <c r="Y35" s="3794"/>
      <c r="Z35" s="1557">
        <f t="shared" si="15"/>
        <v>111</v>
      </c>
      <c r="AA35" s="1553">
        <f t="shared" si="3"/>
        <v>1</v>
      </c>
      <c r="AB35" s="1553">
        <f t="shared" si="4"/>
        <v>1</v>
      </c>
      <c r="AC35" s="1553">
        <f t="shared" si="5"/>
        <v>1</v>
      </c>
    </row>
    <row r="36" spans="1:29" ht="15.75" thickBot="1">
      <c r="A36" s="925"/>
      <c r="B36" s="907">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18"/>
      <c r="M36" s="2110"/>
      <c r="N36" s="2110"/>
      <c r="O36" s="2117"/>
      <c r="P36" s="3794"/>
      <c r="Q36" s="1549">
        <f t="shared" si="11"/>
        <v>111</v>
      </c>
      <c r="R36" s="1550" t="s">
        <v>8</v>
      </c>
      <c r="S36" s="1551">
        <f t="shared" si="12"/>
        <v>100</v>
      </c>
      <c r="T36" s="1550" t="s">
        <v>8</v>
      </c>
      <c r="U36" s="1551">
        <f t="shared" si="13"/>
        <v>100</v>
      </c>
      <c r="V36" s="1550" t="s">
        <v>8</v>
      </c>
      <c r="W36" s="1551">
        <f t="shared" si="14"/>
        <v>100</v>
      </c>
      <c r="X36" s="1544"/>
      <c r="Y36" s="3794"/>
      <c r="Z36" s="1552">
        <f t="shared" si="15"/>
        <v>111</v>
      </c>
      <c r="AA36" s="1553">
        <f t="shared" si="3"/>
        <v>1</v>
      </c>
      <c r="AB36" s="1553">
        <f t="shared" si="4"/>
        <v>1</v>
      </c>
      <c r="AC36" s="1553">
        <f t="shared" si="5"/>
        <v>1</v>
      </c>
    </row>
    <row r="37" spans="1:29" ht="15">
      <c r="A37" s="1822" t="s">
        <v>2053</v>
      </c>
      <c r="B37" s="1823" t="s">
        <v>2054</v>
      </c>
      <c r="C37" s="2566" t="s">
        <v>1</v>
      </c>
      <c r="D37" s="2567"/>
      <c r="E37" s="2568"/>
      <c r="F37" s="2569"/>
      <c r="G37" s="2570"/>
      <c r="H37" s="2571"/>
      <c r="I37" s="2568"/>
      <c r="J37" s="2571"/>
      <c r="K37" s="1587"/>
      <c r="L37" s="2120"/>
      <c r="M37" s="2121"/>
      <c r="N37" s="2110"/>
      <c r="O37" s="2121"/>
      <c r="P37" s="3789" t="str">
        <f>A37</f>
        <v>成交单价</v>
      </c>
      <c r="Q37" s="3789"/>
      <c r="R37" s="3960">
        <f>E37</f>
        <v>0</v>
      </c>
      <c r="S37" s="3960"/>
      <c r="T37" s="3960">
        <f>G37</f>
        <v>0</v>
      </c>
      <c r="U37" s="3960"/>
      <c r="V37" s="3960">
        <f>I37</f>
        <v>0</v>
      </c>
      <c r="W37" s="3960"/>
      <c r="X37" s="1536"/>
      <c r="Y37" s="1558"/>
      <c r="Z37" s="1536"/>
      <c r="AA37" s="1536"/>
      <c r="AB37" s="1536"/>
      <c r="AC37" s="1536"/>
    </row>
    <row r="38" spans="1:29" ht="15.75" thickBot="1">
      <c r="A38" s="615" t="s">
        <v>2734</v>
      </c>
      <c r="B38" s="888"/>
      <c r="C38" s="2572" t="e">
        <f>R39</f>
        <v>#DIV/0!</v>
      </c>
      <c r="D38" s="2573"/>
      <c r="E38" s="2574" t="e">
        <f>R38</f>
        <v>#DIV/0!</v>
      </c>
      <c r="F38" s="2574"/>
      <c r="G38" s="2572" t="e">
        <f>T38</f>
        <v>#DIV/0!</v>
      </c>
      <c r="H38" s="2573"/>
      <c r="I38" s="2574" t="e">
        <f>V38</f>
        <v>#DIV/0!</v>
      </c>
      <c r="J38" s="2573"/>
      <c r="K38" s="1588"/>
      <c r="L38" s="2120"/>
      <c r="M38" s="2121"/>
      <c r="N38" s="2121"/>
      <c r="O38" s="2121"/>
      <c r="P38" s="3789" t="str">
        <f>A38</f>
        <v>比较价格（元/平方米）</v>
      </c>
      <c r="Q38" s="3789"/>
      <c r="R38" s="3960" t="e">
        <f>IF(F1="售价",ROUND(PRODUCT(R37,AA7:AA36),0),ROUND(PRODUCT(R37,AA7:AA36),1))</f>
        <v>#DIV/0!</v>
      </c>
      <c r="S38" s="3960"/>
      <c r="T38" s="3960" t="e">
        <f>IF(F1="售价",ROUND(PRODUCT(T37,AB7:AB36),0),ROUND(PRODUCT(T37,AB7:AB36),1))</f>
        <v>#DIV/0!</v>
      </c>
      <c r="U38" s="3960"/>
      <c r="V38" s="3960" t="e">
        <f>IF(F1="售价",ROUND(PRODUCT(V37,AC7:AC36),0),ROUND(PRODUCT(V37,AC7:AC36),1))</f>
        <v>#DIV/0!</v>
      </c>
      <c r="W38" s="3960"/>
      <c r="X38" s="1536"/>
      <c r="Y38" s="1536"/>
      <c r="Z38" s="1536"/>
      <c r="AA38" s="1536"/>
      <c r="AB38" s="1536"/>
      <c r="AC38" s="1536"/>
    </row>
    <row r="39" spans="1:29" ht="15.75" thickBot="1">
      <c r="A39" s="621" t="s">
        <v>2911</v>
      </c>
      <c r="B39" s="622"/>
      <c r="C39" s="2575" t="e">
        <f>R39</f>
        <v>#DIV/0!</v>
      </c>
      <c r="D39" s="2575"/>
      <c r="E39" s="2575"/>
      <c r="F39" s="2575"/>
      <c r="G39" s="2575"/>
      <c r="H39" s="2575"/>
      <c r="I39" s="2575"/>
      <c r="J39" s="2575"/>
      <c r="K39" s="1589"/>
      <c r="L39" s="2120"/>
      <c r="M39" s="2121"/>
      <c r="N39" s="2121"/>
      <c r="O39" s="2121"/>
      <c r="P39" s="3810" t="str">
        <f>A39</f>
        <v>估价对象XX用房的比较价格（楼面单价，元/平方米）</v>
      </c>
      <c r="Q39" s="3811"/>
      <c r="R39" s="3959" t="e">
        <f>IF(F1="售价",ROUND(AVERAGE(R38:V38),0),ROUND(AVERAGE(R38:V38),1))</f>
        <v>#DIV/0!</v>
      </c>
      <c r="S39" s="3959"/>
      <c r="T39" s="3959"/>
      <c r="U39" s="3959"/>
      <c r="V39" s="3959"/>
      <c r="W39" s="3959"/>
      <c r="X39" s="1536"/>
      <c r="Y39" s="1536"/>
      <c r="Z39" s="1536"/>
      <c r="AA39" s="1536"/>
      <c r="AB39" s="1536"/>
      <c r="AC39" s="1536"/>
    </row>
    <row r="40" spans="1:29">
      <c r="A40" s="2121"/>
      <c r="B40" s="2121"/>
      <c r="C40" s="2121"/>
      <c r="D40" s="2121"/>
      <c r="E40" s="2121"/>
      <c r="F40" s="2121"/>
      <c r="G40" s="2124"/>
      <c r="H40" s="2121"/>
      <c r="I40" s="2121"/>
      <c r="J40" s="2121"/>
      <c r="K40" s="2125"/>
      <c r="L40" s="2126"/>
      <c r="M40" s="2121"/>
      <c r="N40" s="2121"/>
      <c r="O40" s="2121"/>
      <c r="P40" s="2121"/>
      <c r="Q40" s="2121"/>
      <c r="R40" s="2121"/>
      <c r="S40" s="2121"/>
      <c r="T40" s="2121"/>
      <c r="U40" s="2121"/>
      <c r="V40" s="2121"/>
      <c r="W40" s="2121"/>
      <c r="X40" s="2121"/>
      <c r="Y40" s="2121"/>
      <c r="Z40" s="2121"/>
      <c r="AA40" s="2121"/>
      <c r="AB40" s="2121"/>
      <c r="AC40" s="2121"/>
    </row>
    <row r="41" spans="1:29">
      <c r="A41" s="2121"/>
      <c r="B41" s="2121"/>
      <c r="C41" s="2121"/>
      <c r="D41" s="2121"/>
      <c r="E41" s="2121"/>
      <c r="F41" s="2121"/>
      <c r="G41" s="2121"/>
      <c r="H41" s="2121"/>
      <c r="I41" s="2121"/>
      <c r="J41" s="2121"/>
      <c r="K41" s="2125"/>
      <c r="L41" s="2126"/>
      <c r="M41" s="2121"/>
      <c r="N41" s="2121"/>
      <c r="O41" s="2121"/>
      <c r="P41" s="2121"/>
      <c r="Q41" s="2121"/>
      <c r="R41" s="2121"/>
      <c r="S41" s="2121"/>
      <c r="T41" s="2121"/>
      <c r="U41" s="2121"/>
      <c r="V41" s="2121"/>
      <c r="W41" s="2121"/>
      <c r="X41" s="2121"/>
      <c r="Y41" s="2121"/>
      <c r="Z41" s="2121"/>
      <c r="AA41" s="2121"/>
      <c r="AB41" s="2121"/>
      <c r="AC41" s="2121"/>
    </row>
    <row r="42" spans="1:29" ht="13.5" customHeight="1">
      <c r="A42" s="2121"/>
      <c r="B42" s="2121"/>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25"/>
      <c r="L42" s="2126"/>
      <c r="M42" s="2121"/>
      <c r="N42" s="2121"/>
      <c r="O42" s="2121"/>
      <c r="P42" s="2121"/>
      <c r="Q42" s="2121"/>
      <c r="R42" s="2121"/>
      <c r="S42" s="2121"/>
      <c r="T42" s="2121"/>
      <c r="U42" s="2121"/>
      <c r="V42" s="2121"/>
      <c r="W42" s="2121"/>
      <c r="X42" s="2121"/>
      <c r="Y42" s="2121"/>
      <c r="Z42" s="2121"/>
      <c r="AA42" s="2121"/>
      <c r="AB42" s="2121"/>
      <c r="AC42" s="2121"/>
    </row>
    <row r="43" spans="1:29" ht="13.5" customHeight="1">
      <c r="A43" s="2121"/>
      <c r="B43" s="2121"/>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25"/>
      <c r="L43" s="2126"/>
      <c r="M43" s="2121"/>
      <c r="N43" s="2121"/>
      <c r="O43" s="2121"/>
      <c r="P43" s="2121"/>
      <c r="Q43" s="2121"/>
      <c r="R43" s="2121"/>
      <c r="S43" s="2121"/>
      <c r="T43" s="2121"/>
      <c r="U43" s="2121"/>
      <c r="V43" s="2121"/>
      <c r="W43" s="2121"/>
      <c r="X43" s="2121"/>
      <c r="Y43" s="2121"/>
      <c r="Z43" s="2121"/>
      <c r="AA43" s="2121"/>
      <c r="AB43" s="2121"/>
      <c r="AC43" s="2121"/>
    </row>
    <row r="44" spans="1:29" s="1331" customFormat="1" ht="13.5" customHeight="1">
      <c r="A44" s="2122"/>
      <c r="B44" s="2122"/>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28"/>
      <c r="L44" s="2129"/>
      <c r="M44" s="2122"/>
      <c r="N44" s="2122"/>
      <c r="O44" s="2122"/>
      <c r="P44" s="2122"/>
      <c r="Q44" s="2122"/>
      <c r="R44" s="2122"/>
      <c r="S44" s="2122"/>
      <c r="T44" s="2122"/>
      <c r="U44" s="2122"/>
      <c r="V44" s="2122"/>
      <c r="W44" s="2122"/>
      <c r="X44" s="2122"/>
      <c r="Y44" s="2122"/>
      <c r="Z44" s="2122"/>
      <c r="AA44" s="2122"/>
      <c r="AB44" s="2122"/>
      <c r="AC44" s="2122"/>
    </row>
    <row r="45" spans="1:29" s="1331" customFormat="1">
      <c r="A45" s="2122"/>
      <c r="B45" s="2123"/>
      <c r="C45" s="2127"/>
      <c r="D45" s="2122"/>
      <c r="E45" s="2122"/>
      <c r="F45" s="2122"/>
      <c r="G45" s="2122"/>
      <c r="H45" s="2122"/>
      <c r="I45" s="2122"/>
      <c r="J45" s="2122"/>
      <c r="K45" s="2128"/>
      <c r="L45" s="2129"/>
      <c r="M45" s="2122"/>
      <c r="N45" s="2122"/>
      <c r="O45" s="2122"/>
      <c r="P45" s="2122"/>
      <c r="Q45" s="2122"/>
      <c r="R45" s="2122"/>
      <c r="S45" s="2122"/>
      <c r="T45" s="2122"/>
      <c r="U45" s="2122"/>
      <c r="V45" s="2122"/>
      <c r="W45" s="2122"/>
      <c r="X45" s="2122"/>
      <c r="Y45" s="2122"/>
      <c r="Z45" s="2122"/>
      <c r="AA45" s="2122"/>
      <c r="AB45" s="2122"/>
      <c r="AC45" s="2122"/>
    </row>
    <row r="46" spans="1:29">
      <c r="A46" s="2121"/>
      <c r="B46" s="2123"/>
      <c r="C46" s="2127"/>
      <c r="D46" s="2121"/>
      <c r="E46" s="2121"/>
      <c r="F46" s="2121"/>
      <c r="G46" s="2121"/>
      <c r="H46" s="2121"/>
      <c r="I46" s="2121"/>
      <c r="J46" s="2121"/>
      <c r="K46" s="2125"/>
      <c r="L46" s="2126"/>
      <c r="M46" s="2121"/>
      <c r="N46" s="2121"/>
      <c r="O46" s="2121"/>
      <c r="P46" s="2121"/>
      <c r="Q46" s="2121"/>
      <c r="R46" s="2121"/>
      <c r="S46" s="2121"/>
      <c r="T46" s="2121"/>
      <c r="U46" s="2121"/>
      <c r="V46" s="2121"/>
      <c r="W46" s="2121"/>
      <c r="X46" s="2121"/>
      <c r="Y46" s="2121"/>
      <c r="Z46" s="2121"/>
      <c r="AA46" s="2121"/>
      <c r="AB46" s="2121"/>
      <c r="AC46" s="2121"/>
    </row>
    <row r="47" spans="1:29" ht="21.75" thickBot="1">
      <c r="A47" s="1561" t="s">
        <v>573</v>
      </c>
      <c r="B47" s="1536"/>
      <c r="C47" s="2133"/>
      <c r="D47" s="2133"/>
      <c r="E47" s="2133"/>
      <c r="F47" s="2183"/>
      <c r="G47" s="2183"/>
      <c r="H47" s="2133"/>
      <c r="I47" s="2133"/>
      <c r="J47" s="2133"/>
      <c r="K47" s="2184"/>
      <c r="L47" s="2185"/>
      <c r="M47" s="2133"/>
      <c r="N47" s="2133"/>
      <c r="O47" s="2133"/>
      <c r="P47" s="2133"/>
      <c r="Q47" s="2134"/>
      <c r="R47" s="2121"/>
      <c r="S47" s="2121"/>
      <c r="T47" s="2121"/>
      <c r="U47" s="2121"/>
      <c r="V47" s="2121"/>
      <c r="W47" s="2121"/>
      <c r="X47" s="2121"/>
      <c r="Y47" s="2121"/>
      <c r="Z47" s="2121"/>
      <c r="AA47" s="2121"/>
      <c r="AB47" s="2121"/>
      <c r="AC47" s="2121"/>
    </row>
    <row r="48" spans="1:29" s="1333" customFormat="1" ht="15">
      <c r="A48" s="645" t="s">
        <v>528</v>
      </c>
      <c r="B48" s="646"/>
      <c r="C48" s="2732" t="str">
        <f>YEAR(C7)&amp;"-"&amp;MONTH(C7)</f>
        <v>2020-4</v>
      </c>
      <c r="D48" s="2734">
        <f>EDATE(C48,-1)</f>
        <v>43891</v>
      </c>
      <c r="E48" s="2734">
        <f t="shared" ref="E48:O48" si="16">EDATE(D48,-1)</f>
        <v>43862</v>
      </c>
      <c r="F48" s="2734">
        <f t="shared" si="16"/>
        <v>43831</v>
      </c>
      <c r="G48" s="2734">
        <f t="shared" si="16"/>
        <v>43800</v>
      </c>
      <c r="H48" s="2734">
        <f t="shared" si="16"/>
        <v>43770</v>
      </c>
      <c r="I48" s="2734">
        <f t="shared" si="16"/>
        <v>43739</v>
      </c>
      <c r="J48" s="2734">
        <f t="shared" si="16"/>
        <v>43709</v>
      </c>
      <c r="K48" s="2734">
        <f t="shared" si="16"/>
        <v>43678</v>
      </c>
      <c r="L48" s="2734">
        <f t="shared" si="16"/>
        <v>43647</v>
      </c>
      <c r="M48" s="2734">
        <f t="shared" si="16"/>
        <v>43617</v>
      </c>
      <c r="N48" s="2734">
        <f t="shared" si="16"/>
        <v>43586</v>
      </c>
      <c r="O48" s="2734">
        <f t="shared" si="16"/>
        <v>43556</v>
      </c>
      <c r="P48" s="2136"/>
      <c r="Q48" s="2137"/>
      <c r="R48" s="2137"/>
      <c r="S48" s="2137"/>
      <c r="T48" s="2137"/>
      <c r="U48" s="2137"/>
      <c r="V48" s="2137"/>
      <c r="W48" s="2137"/>
      <c r="X48" s="2137"/>
      <c r="Y48" s="2137"/>
      <c r="Z48" s="2137"/>
      <c r="AA48" s="2137"/>
      <c r="AB48" s="2137"/>
      <c r="AC48" s="2137"/>
    </row>
    <row r="49" spans="1:29" s="1206" customFormat="1" ht="15">
      <c r="A49" s="647"/>
      <c r="B49" s="648"/>
      <c r="C49" s="2733">
        <v>100</v>
      </c>
      <c r="D49" s="650"/>
      <c r="E49" s="650"/>
      <c r="F49" s="650"/>
      <c r="G49" s="650"/>
      <c r="H49" s="650"/>
      <c r="I49" s="650"/>
      <c r="J49" s="650"/>
      <c r="K49" s="650"/>
      <c r="L49" s="650"/>
      <c r="M49" s="651"/>
      <c r="N49" s="650"/>
      <c r="O49" s="652"/>
      <c r="P49" s="2134"/>
      <c r="Q49" s="1969"/>
      <c r="R49" s="1969"/>
      <c r="S49" s="1969"/>
      <c r="T49" s="1969"/>
      <c r="U49" s="1969"/>
      <c r="V49" s="1969"/>
      <c r="W49" s="1969"/>
      <c r="X49" s="1969"/>
      <c r="Y49" s="1969"/>
      <c r="Z49" s="1969"/>
      <c r="AA49" s="1969"/>
      <c r="AB49" s="1969"/>
      <c r="AC49" s="1969"/>
    </row>
    <row r="50" spans="1:29" s="1206" customFormat="1" ht="15.75" thickBot="1">
      <c r="A50" s="653" t="s">
        <v>574</v>
      </c>
      <c r="B50" s="654"/>
      <c r="C50" s="655"/>
      <c r="D50" s="656"/>
      <c r="E50" s="656"/>
      <c r="F50" s="656"/>
      <c r="G50" s="656"/>
      <c r="H50" s="656"/>
      <c r="I50" s="656"/>
      <c r="J50" s="656"/>
      <c r="K50" s="656"/>
      <c r="L50" s="656"/>
      <c r="M50" s="657"/>
      <c r="N50" s="656"/>
      <c r="O50" s="658"/>
      <c r="P50" s="2134"/>
      <c r="Q50" s="2134"/>
      <c r="R50" s="1969"/>
      <c r="S50" s="1969"/>
      <c r="T50" s="1969"/>
      <c r="U50" s="1969"/>
      <c r="V50" s="1969"/>
      <c r="W50" s="1969"/>
      <c r="X50" s="1969"/>
      <c r="Y50" s="1969"/>
      <c r="Z50" s="1969"/>
      <c r="AA50" s="1969"/>
      <c r="AB50" s="1969"/>
      <c r="AC50" s="1969"/>
    </row>
    <row r="51" spans="1:29" s="1206" customFormat="1" ht="15">
      <c r="A51" s="659" t="s">
        <v>530</v>
      </c>
      <c r="B51" s="648"/>
      <c r="C51" s="660" t="s">
        <v>575</v>
      </c>
      <c r="D51" s="661"/>
      <c r="E51" s="661"/>
      <c r="F51" s="661"/>
      <c r="G51" s="661"/>
      <c r="H51" s="661"/>
      <c r="I51" s="661"/>
      <c r="J51" s="661"/>
      <c r="K51" s="661"/>
      <c r="L51" s="662"/>
      <c r="M51" s="663"/>
      <c r="N51" s="2138"/>
      <c r="O51" s="2138"/>
      <c r="P51" s="2139"/>
      <c r="Q51" s="2134"/>
      <c r="R51" s="1969"/>
      <c r="S51" s="1969"/>
      <c r="T51" s="1969"/>
      <c r="U51" s="1969"/>
      <c r="V51" s="1969"/>
      <c r="W51" s="1969"/>
      <c r="X51" s="1969"/>
      <c r="Y51" s="1969"/>
      <c r="Z51" s="1969"/>
      <c r="AA51" s="1969"/>
      <c r="AB51" s="1969"/>
      <c r="AC51" s="1969"/>
    </row>
    <row r="52" spans="1:29" s="1206" customFormat="1" ht="15.75" thickBot="1">
      <c r="A52" s="659"/>
      <c r="B52" s="648"/>
      <c r="C52" s="649">
        <v>100</v>
      </c>
      <c r="D52" s="650"/>
      <c r="E52" s="650"/>
      <c r="F52" s="650"/>
      <c r="G52" s="650"/>
      <c r="H52" s="650"/>
      <c r="I52" s="650"/>
      <c r="J52" s="650"/>
      <c r="K52" s="650"/>
      <c r="L52" s="650"/>
      <c r="M52" s="652"/>
      <c r="N52" s="2138"/>
      <c r="O52" s="2138"/>
      <c r="P52" s="2134"/>
      <c r="Q52" s="2134"/>
      <c r="R52" s="1969"/>
      <c r="S52" s="1969"/>
      <c r="T52" s="1969"/>
      <c r="U52" s="1969"/>
      <c r="V52" s="1969"/>
      <c r="W52" s="1969"/>
      <c r="X52" s="1969"/>
      <c r="Y52" s="1969"/>
      <c r="Z52" s="1969"/>
      <c r="AA52" s="1969"/>
      <c r="AB52" s="1969"/>
      <c r="AC52" s="1969"/>
    </row>
    <row r="53" spans="1:29">
      <c r="A53" s="664" t="s">
        <v>576</v>
      </c>
      <c r="B53" s="665" t="s">
        <v>533</v>
      </c>
      <c r="C53" s="704">
        <f>C9</f>
        <v>0</v>
      </c>
      <c r="D53" s="598"/>
      <c r="E53" s="598"/>
      <c r="F53" s="598"/>
      <c r="G53" s="598"/>
      <c r="H53" s="598"/>
      <c r="I53" s="598"/>
      <c r="J53" s="598"/>
      <c r="K53" s="666"/>
      <c r="L53" s="667"/>
      <c r="M53" s="668"/>
      <c r="N53" s="2140"/>
      <c r="O53" s="2140"/>
      <c r="P53" s="2141"/>
      <c r="Q53" s="2134"/>
      <c r="R53" s="2121"/>
      <c r="S53" s="2121"/>
      <c r="T53" s="2121"/>
      <c r="U53" s="2121"/>
      <c r="V53" s="2121"/>
      <c r="W53" s="2121"/>
      <c r="X53" s="2121"/>
      <c r="Y53" s="2121"/>
      <c r="Z53" s="2121"/>
      <c r="AA53" s="2121"/>
      <c r="AB53" s="2121"/>
      <c r="AC53" s="2121"/>
    </row>
    <row r="54" spans="1:29" ht="15.75" thickBot="1">
      <c r="A54" s="669"/>
      <c r="B54" s="670"/>
      <c r="C54" s="671"/>
      <c r="D54" s="671"/>
      <c r="E54" s="671"/>
      <c r="F54" s="671"/>
      <c r="G54" s="671"/>
      <c r="H54" s="671"/>
      <c r="I54" s="671"/>
      <c r="J54" s="671"/>
      <c r="K54" s="671"/>
      <c r="L54" s="671"/>
      <c r="M54" s="672"/>
      <c r="N54" s="2142"/>
      <c r="O54" s="2142"/>
      <c r="P54" s="2141"/>
      <c r="Q54" s="2134"/>
      <c r="R54" s="2121"/>
      <c r="S54" s="2121"/>
      <c r="T54" s="2121"/>
      <c r="U54" s="2121"/>
      <c r="V54" s="2121"/>
      <c r="W54" s="2121"/>
      <c r="X54" s="2121"/>
      <c r="Y54" s="2121"/>
      <c r="Z54" s="2121"/>
      <c r="AA54" s="2121"/>
      <c r="AB54" s="2121"/>
      <c r="AC54" s="2121"/>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0"/>
      <c r="O55" s="2140"/>
      <c r="P55" s="2141"/>
      <c r="Q55" s="2134"/>
      <c r="R55" s="2121"/>
      <c r="S55" s="2121"/>
      <c r="T55" s="2121"/>
      <c r="U55" s="2121"/>
      <c r="V55" s="2121"/>
      <c r="W55" s="2121"/>
      <c r="X55" s="2121"/>
      <c r="Y55" s="2121"/>
      <c r="Z55" s="2121"/>
      <c r="AA55" s="2121"/>
      <c r="AB55" s="2121"/>
      <c r="AC55" s="212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2"/>
      <c r="O56" s="2142"/>
      <c r="P56" s="2141"/>
      <c r="Q56" s="2134"/>
      <c r="R56" s="2121"/>
      <c r="S56" s="2121"/>
      <c r="T56" s="2121"/>
      <c r="U56" s="2121"/>
      <c r="V56" s="2121"/>
      <c r="W56" s="2121"/>
      <c r="X56" s="2121"/>
      <c r="Y56" s="2121"/>
      <c r="Z56" s="2121"/>
      <c r="AA56" s="2121"/>
      <c r="AB56" s="2121"/>
      <c r="AC56" s="2121"/>
    </row>
    <row r="57" spans="1:29" ht="15.75" thickTop="1">
      <c r="A57" s="669"/>
      <c r="B57" s="926">
        <f>B11</f>
        <v>111</v>
      </c>
      <c r="C57" s="541"/>
      <c r="D57" s="541"/>
      <c r="E57" s="541"/>
      <c r="F57" s="541"/>
      <c r="G57" s="541"/>
      <c r="H57" s="541"/>
      <c r="I57" s="541"/>
      <c r="J57" s="541"/>
      <c r="K57" s="684"/>
      <c r="L57" s="685"/>
      <c r="M57" s="686"/>
      <c r="N57" s="2140"/>
      <c r="O57" s="2140"/>
      <c r="P57" s="2141"/>
      <c r="Q57" s="2134"/>
      <c r="R57" s="2121"/>
      <c r="S57" s="2121"/>
      <c r="T57" s="2121"/>
      <c r="U57" s="2121"/>
      <c r="V57" s="2121"/>
      <c r="W57" s="2121"/>
      <c r="X57" s="2121"/>
      <c r="Y57" s="2121"/>
      <c r="Z57" s="2121"/>
      <c r="AA57" s="2121"/>
      <c r="AB57" s="2121"/>
      <c r="AC57" s="2121"/>
    </row>
    <row r="58" spans="1:29" ht="15.75" thickBot="1">
      <c r="A58" s="669"/>
      <c r="B58" s="670"/>
      <c r="C58" s="692"/>
      <c r="D58" s="671"/>
      <c r="E58" s="671"/>
      <c r="F58" s="671"/>
      <c r="G58" s="671"/>
      <c r="H58" s="671"/>
      <c r="I58" s="671"/>
      <c r="J58" s="671"/>
      <c r="K58" s="671"/>
      <c r="L58" s="671"/>
      <c r="M58" s="672"/>
      <c r="N58" s="2142"/>
      <c r="O58" s="2142"/>
      <c r="P58" s="2141"/>
      <c r="Q58" s="2134"/>
      <c r="R58" s="2121"/>
      <c r="S58" s="2121"/>
      <c r="T58" s="2121"/>
      <c r="U58" s="2121"/>
      <c r="V58" s="2121"/>
      <c r="W58" s="2121"/>
      <c r="X58" s="2121"/>
      <c r="Y58" s="2121"/>
      <c r="Z58" s="2121"/>
      <c r="AA58" s="2121"/>
      <c r="AB58" s="2121"/>
      <c r="AC58" s="2121"/>
    </row>
    <row r="59" spans="1:29" s="1325" customFormat="1" ht="15.75" thickTop="1">
      <c r="A59" s="687"/>
      <c r="B59" s="673">
        <f>B12</f>
        <v>111</v>
      </c>
      <c r="C59" s="541"/>
      <c r="D59" s="541"/>
      <c r="E59" s="541"/>
      <c r="F59" s="541"/>
      <c r="G59" s="688"/>
      <c r="H59" s="689"/>
      <c r="I59" s="689"/>
      <c r="J59" s="689"/>
      <c r="K59" s="689"/>
      <c r="L59" s="690"/>
      <c r="M59" s="691"/>
      <c r="N59" s="2143"/>
      <c r="O59" s="2143"/>
      <c r="P59" s="2144"/>
      <c r="Q59" s="2145"/>
      <c r="R59" s="2146"/>
      <c r="S59" s="2146"/>
      <c r="T59" s="2146"/>
      <c r="U59" s="2146"/>
      <c r="V59" s="2146"/>
      <c r="W59" s="2146"/>
      <c r="X59" s="2146"/>
      <c r="Y59" s="2146"/>
      <c r="Z59" s="2146"/>
      <c r="AA59" s="2146"/>
      <c r="AB59" s="2146"/>
      <c r="AC59" s="2146"/>
    </row>
    <row r="60" spans="1:29" s="1325" customFormat="1" ht="15.75" thickBot="1">
      <c r="A60" s="687"/>
      <c r="B60" s="678"/>
      <c r="C60" s="692"/>
      <c r="D60" s="671"/>
      <c r="E60" s="671"/>
      <c r="F60" s="671"/>
      <c r="G60" s="671"/>
      <c r="H60" s="671"/>
      <c r="I60" s="671"/>
      <c r="J60" s="671"/>
      <c r="K60" s="671"/>
      <c r="L60" s="671"/>
      <c r="M60" s="672"/>
      <c r="N60" s="2142"/>
      <c r="O60" s="2142"/>
      <c r="P60" s="2144"/>
      <c r="Q60" s="2145"/>
      <c r="R60" s="2146"/>
      <c r="S60" s="2146"/>
      <c r="T60" s="2146"/>
      <c r="U60" s="2146"/>
      <c r="V60" s="2146"/>
      <c r="W60" s="2146"/>
      <c r="X60" s="2146"/>
      <c r="Y60" s="2146"/>
      <c r="Z60" s="2146"/>
      <c r="AA60" s="2146"/>
      <c r="AB60" s="2146"/>
      <c r="AC60" s="2146"/>
    </row>
    <row r="61" spans="1:29" s="1325" customFormat="1" ht="15.75" thickTop="1">
      <c r="A61" s="687"/>
      <c r="B61" s="673">
        <f>B13</f>
        <v>111</v>
      </c>
      <c r="C61" s="688"/>
      <c r="D61" s="688"/>
      <c r="E61" s="688"/>
      <c r="F61" s="688"/>
      <c r="G61" s="688"/>
      <c r="H61" s="689"/>
      <c r="I61" s="689"/>
      <c r="J61" s="689"/>
      <c r="K61" s="689"/>
      <c r="L61" s="690"/>
      <c r="M61" s="691"/>
      <c r="N61" s="2143"/>
      <c r="O61" s="2143"/>
      <c r="P61" s="2147"/>
      <c r="Q61" s="2148"/>
      <c r="R61" s="2146"/>
      <c r="S61" s="2146"/>
      <c r="T61" s="2146"/>
      <c r="U61" s="2146"/>
      <c r="V61" s="2146"/>
      <c r="W61" s="2146"/>
      <c r="X61" s="2146"/>
      <c r="Y61" s="2146"/>
      <c r="Z61" s="2146"/>
      <c r="AA61" s="2146"/>
      <c r="AB61" s="2146"/>
      <c r="AC61" s="2146"/>
    </row>
    <row r="62" spans="1:29" s="1325" customFormat="1" ht="15.75" thickBot="1">
      <c r="A62" s="687"/>
      <c r="B62" s="678"/>
      <c r="C62" s="692"/>
      <c r="D62" s="692"/>
      <c r="E62" s="692"/>
      <c r="F62" s="692"/>
      <c r="G62" s="692"/>
      <c r="H62" s="693"/>
      <c r="I62" s="693"/>
      <c r="J62" s="693"/>
      <c r="K62" s="693"/>
      <c r="L62" s="693"/>
      <c r="M62" s="694"/>
      <c r="N62" s="2143"/>
      <c r="O62" s="2143"/>
      <c r="P62" s="2144"/>
      <c r="Q62" s="2145"/>
      <c r="R62" s="2146"/>
      <c r="S62" s="2146"/>
      <c r="T62" s="2146"/>
      <c r="U62" s="2146"/>
      <c r="V62" s="2146"/>
      <c r="W62" s="2146"/>
      <c r="X62" s="2146"/>
      <c r="Y62" s="2146"/>
      <c r="Z62" s="2146"/>
      <c r="AA62" s="2146"/>
      <c r="AB62" s="2146"/>
      <c r="AC62" s="2146"/>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0"/>
      <c r="O63" s="2140"/>
      <c r="P63" s="2150"/>
      <c r="Q63" s="2134"/>
      <c r="R63" s="2121"/>
      <c r="S63" s="2121"/>
      <c r="T63" s="2121"/>
      <c r="U63" s="2121"/>
      <c r="V63" s="2121"/>
      <c r="W63" s="2121"/>
      <c r="X63" s="2121"/>
      <c r="Y63" s="2121"/>
      <c r="Z63" s="2121"/>
      <c r="AA63" s="2121"/>
      <c r="AB63" s="2121"/>
      <c r="AC63" s="212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2"/>
      <c r="O64" s="2142"/>
      <c r="P64" s="2141"/>
      <c r="Q64" s="2134"/>
      <c r="R64" s="2121"/>
      <c r="S64" s="2121"/>
      <c r="T64" s="2121"/>
      <c r="U64" s="2121"/>
      <c r="V64" s="2121"/>
      <c r="W64" s="2121"/>
      <c r="X64" s="2121"/>
      <c r="Y64" s="2121"/>
      <c r="Z64" s="2121"/>
      <c r="AA64" s="2121"/>
      <c r="AB64" s="2121"/>
      <c r="AC64" s="2121"/>
    </row>
    <row r="65" spans="1:29" ht="15.75" thickTop="1">
      <c r="A65" s="669"/>
      <c r="B65" s="1872" t="s">
        <v>2532</v>
      </c>
      <c r="C65" s="708" t="s">
        <v>578</v>
      </c>
      <c r="D65" s="708" t="s">
        <v>579</v>
      </c>
      <c r="E65" s="708" t="s">
        <v>580</v>
      </c>
      <c r="F65" s="708" t="s">
        <v>581</v>
      </c>
      <c r="G65" s="708" t="s">
        <v>582</v>
      </c>
      <c r="H65" s="674"/>
      <c r="I65" s="674"/>
      <c r="J65" s="674"/>
      <c r="K65" s="675"/>
      <c r="L65" s="676"/>
      <c r="M65" s="677"/>
      <c r="N65" s="2140"/>
      <c r="O65" s="2140"/>
      <c r="P65" s="2141"/>
      <c r="Q65" s="2134"/>
      <c r="R65" s="2121"/>
      <c r="S65" s="2121"/>
      <c r="T65" s="2121"/>
      <c r="U65" s="2121"/>
      <c r="V65" s="2121"/>
      <c r="W65" s="2121"/>
      <c r="X65" s="2121"/>
      <c r="Y65" s="2121"/>
      <c r="Z65" s="2121"/>
      <c r="AA65" s="2121"/>
      <c r="AB65" s="2121"/>
      <c r="AC65" s="212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2"/>
      <c r="O66" s="2142"/>
      <c r="P66" s="2141"/>
      <c r="Q66" s="2134"/>
      <c r="R66" s="2121"/>
      <c r="S66" s="2121"/>
      <c r="T66" s="2121"/>
      <c r="U66" s="2121"/>
      <c r="V66" s="2121"/>
      <c r="W66" s="2121"/>
      <c r="X66" s="2121"/>
      <c r="Y66" s="2121"/>
      <c r="Z66" s="2121"/>
      <c r="AA66" s="2121"/>
      <c r="AB66" s="2121"/>
      <c r="AC66" s="2121"/>
    </row>
    <row r="67" spans="1:29" ht="15.75" thickTop="1">
      <c r="A67" s="669"/>
      <c r="B67" s="2536" t="s">
        <v>2533</v>
      </c>
      <c r="C67" s="2537" t="s">
        <v>2534</v>
      </c>
      <c r="D67" s="2537" t="s">
        <v>2535</v>
      </c>
      <c r="E67" s="2537" t="s">
        <v>2536</v>
      </c>
      <c r="F67" s="2537" t="s">
        <v>2537</v>
      </c>
      <c r="G67" s="2537" t="s">
        <v>2538</v>
      </c>
      <c r="H67" s="674"/>
      <c r="I67" s="674"/>
      <c r="J67" s="674"/>
      <c r="K67" s="674"/>
      <c r="L67" s="674"/>
      <c r="M67" s="2540"/>
      <c r="N67" s="2142"/>
      <c r="O67" s="2142"/>
      <c r="P67" s="2141"/>
      <c r="Q67" s="2134"/>
      <c r="R67" s="2121"/>
      <c r="S67" s="2121"/>
      <c r="T67" s="2121"/>
      <c r="U67" s="2121"/>
      <c r="V67" s="2121"/>
      <c r="W67" s="2121"/>
      <c r="X67" s="2121"/>
      <c r="Y67" s="2121"/>
      <c r="Z67" s="2121"/>
      <c r="AA67" s="2121"/>
      <c r="AB67" s="2121"/>
      <c r="AC67" s="2121"/>
    </row>
    <row r="68" spans="1:29" ht="15.75" thickBot="1">
      <c r="A68" s="669"/>
      <c r="B68" s="681"/>
      <c r="C68" s="679">
        <v>100</v>
      </c>
      <c r="D68" s="679">
        <f>C68-$K18</f>
        <v>100</v>
      </c>
      <c r="E68" s="679">
        <f>D68-$K18</f>
        <v>100</v>
      </c>
      <c r="F68" s="679">
        <f>E68-$K18</f>
        <v>100</v>
      </c>
      <c r="G68" s="679">
        <f>F68-$K18</f>
        <v>100</v>
      </c>
      <c r="H68" s="926"/>
      <c r="I68" s="926"/>
      <c r="J68" s="926"/>
      <c r="K68" s="926"/>
      <c r="L68" s="926"/>
      <c r="M68" s="559"/>
      <c r="N68" s="2142"/>
      <c r="O68" s="2142"/>
      <c r="P68" s="2141"/>
      <c r="Q68" s="2134"/>
      <c r="R68" s="2121"/>
      <c r="S68" s="2121"/>
      <c r="T68" s="2121"/>
      <c r="U68" s="2121"/>
      <c r="V68" s="2121"/>
      <c r="W68" s="2121"/>
      <c r="X68" s="2121"/>
      <c r="Y68" s="2121"/>
      <c r="Z68" s="2121"/>
      <c r="AA68" s="2121"/>
      <c r="AB68" s="2121"/>
      <c r="AC68" s="2121"/>
    </row>
    <row r="69" spans="1:29" ht="15.75" thickTop="1">
      <c r="A69" s="669"/>
      <c r="B69" s="673" t="s">
        <v>743</v>
      </c>
      <c r="C69" s="708" t="s">
        <v>578</v>
      </c>
      <c r="D69" s="708" t="s">
        <v>579</v>
      </c>
      <c r="E69" s="708" t="s">
        <v>580</v>
      </c>
      <c r="F69" s="708" t="s">
        <v>581</v>
      </c>
      <c r="G69" s="708" t="s">
        <v>582</v>
      </c>
      <c r="H69" s="674"/>
      <c r="I69" s="674"/>
      <c r="J69" s="674"/>
      <c r="K69" s="675"/>
      <c r="L69" s="676"/>
      <c r="M69" s="677"/>
      <c r="N69" s="2140"/>
      <c r="O69" s="2140"/>
      <c r="P69" s="2141"/>
      <c r="Q69" s="2134"/>
      <c r="R69" s="2121"/>
      <c r="S69" s="2121"/>
      <c r="T69" s="2121"/>
      <c r="U69" s="2121"/>
      <c r="V69" s="2121"/>
      <c r="W69" s="2121"/>
      <c r="X69" s="2121"/>
      <c r="Y69" s="2121"/>
      <c r="Z69" s="2121"/>
      <c r="AA69" s="2121"/>
      <c r="AB69" s="2121"/>
      <c r="AC69" s="212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2"/>
      <c r="O70" s="2142"/>
      <c r="P70" s="2141"/>
      <c r="Q70" s="2134"/>
      <c r="R70" s="2121"/>
      <c r="S70" s="2121"/>
      <c r="T70" s="2121"/>
      <c r="U70" s="2121"/>
      <c r="V70" s="2121"/>
      <c r="W70" s="2121"/>
      <c r="X70" s="2121"/>
      <c r="Y70" s="2121"/>
      <c r="Z70" s="2121"/>
      <c r="AA70" s="2121"/>
      <c r="AB70" s="2121"/>
      <c r="AC70" s="2121"/>
    </row>
    <row r="71" spans="1:29" ht="15.75" thickTop="1">
      <c r="A71" s="669"/>
      <c r="B71" s="673" t="s">
        <v>744</v>
      </c>
      <c r="C71" s="688"/>
      <c r="D71" s="688"/>
      <c r="E71" s="688"/>
      <c r="F71" s="688"/>
      <c r="G71" s="688"/>
      <c r="H71" s="718"/>
      <c r="I71" s="718"/>
      <c r="J71" s="718"/>
      <c r="K71" s="719"/>
      <c r="L71" s="720"/>
      <c r="M71" s="721"/>
      <c r="N71" s="2140"/>
      <c r="O71" s="2140"/>
      <c r="P71" s="2141"/>
      <c r="Q71" s="2134"/>
      <c r="R71" s="2121"/>
      <c r="S71" s="2121"/>
      <c r="T71" s="2121"/>
      <c r="U71" s="2121"/>
      <c r="V71" s="2121"/>
      <c r="W71" s="2121"/>
      <c r="X71" s="2121"/>
      <c r="Y71" s="2121"/>
      <c r="Z71" s="2121"/>
      <c r="AA71" s="2121"/>
      <c r="AB71" s="2121"/>
      <c r="AC71" s="212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2"/>
      <c r="O72" s="2142"/>
      <c r="P72" s="2141"/>
      <c r="Q72" s="2134"/>
      <c r="R72" s="2121"/>
      <c r="S72" s="2121"/>
      <c r="T72" s="2121"/>
      <c r="U72" s="2121"/>
      <c r="V72" s="2121"/>
      <c r="W72" s="2121"/>
      <c r="X72" s="2121"/>
      <c r="Y72" s="2121"/>
      <c r="Z72" s="2121"/>
      <c r="AA72" s="2121"/>
      <c r="AB72" s="2121"/>
      <c r="AC72" s="2121"/>
    </row>
    <row r="73" spans="1:29" s="1206" customFormat="1" ht="15.75" thickTop="1">
      <c r="A73" s="709"/>
      <c r="B73" s="673">
        <f>B23</f>
        <v>111</v>
      </c>
      <c r="C73" s="541"/>
      <c r="D73" s="541"/>
      <c r="E73" s="541"/>
      <c r="F73" s="541"/>
      <c r="G73" s="688"/>
      <c r="H73" s="688"/>
      <c r="I73" s="688"/>
      <c r="J73" s="688"/>
      <c r="K73" s="688"/>
      <c r="L73" s="890"/>
      <c r="M73" s="891"/>
      <c r="N73" s="2138"/>
      <c r="O73" s="2138"/>
      <c r="P73" s="2141"/>
      <c r="Q73" s="2134"/>
      <c r="R73" s="1969"/>
      <c r="S73" s="1969"/>
      <c r="T73" s="1969"/>
      <c r="U73" s="1969"/>
      <c r="V73" s="1969"/>
      <c r="W73" s="1969"/>
      <c r="X73" s="1969"/>
      <c r="Y73" s="1969"/>
      <c r="Z73" s="1969"/>
      <c r="AA73" s="1969"/>
      <c r="AB73" s="1969"/>
      <c r="AC73" s="1969"/>
    </row>
    <row r="74" spans="1:29" s="1206" customFormat="1" ht="15.75" thickBot="1">
      <c r="A74" s="709"/>
      <c r="B74" s="678"/>
      <c r="C74" s="692"/>
      <c r="D74" s="671"/>
      <c r="E74" s="671"/>
      <c r="F74" s="671"/>
      <c r="G74" s="671"/>
      <c r="H74" s="671"/>
      <c r="I74" s="671"/>
      <c r="J74" s="671"/>
      <c r="K74" s="671"/>
      <c r="L74" s="671"/>
      <c r="M74" s="672"/>
      <c r="N74" s="2142"/>
      <c r="O74" s="2142"/>
      <c r="P74" s="2141"/>
      <c r="Q74" s="2134"/>
      <c r="R74" s="1969"/>
      <c r="S74" s="1969"/>
      <c r="T74" s="1969"/>
      <c r="U74" s="1969"/>
      <c r="V74" s="1969"/>
      <c r="W74" s="1969"/>
      <c r="X74" s="1969"/>
      <c r="Y74" s="1969"/>
      <c r="Z74" s="1969"/>
      <c r="AA74" s="1969"/>
      <c r="AB74" s="1969"/>
      <c r="AC74" s="1969"/>
    </row>
    <row r="75" spans="1:29" s="1206" customFormat="1" ht="15.75" thickTop="1">
      <c r="A75" s="709"/>
      <c r="B75" s="673">
        <f>B24</f>
        <v>111</v>
      </c>
      <c r="C75" s="541"/>
      <c r="D75" s="541"/>
      <c r="E75" s="541"/>
      <c r="F75" s="541"/>
      <c r="G75" s="688"/>
      <c r="H75" s="688"/>
      <c r="I75" s="688"/>
      <c r="J75" s="688"/>
      <c r="K75" s="688"/>
      <c r="L75" s="688"/>
      <c r="M75" s="891"/>
      <c r="N75" s="2138"/>
      <c r="O75" s="2138"/>
      <c r="P75" s="2141"/>
      <c r="Q75" s="2134"/>
      <c r="R75" s="1969"/>
      <c r="S75" s="1969"/>
      <c r="T75" s="1969"/>
      <c r="U75" s="1969"/>
      <c r="V75" s="1969"/>
      <c r="W75" s="1969"/>
      <c r="X75" s="1969"/>
      <c r="Y75" s="1969"/>
      <c r="Z75" s="1969"/>
      <c r="AA75" s="1969"/>
      <c r="AB75" s="1969"/>
      <c r="AC75" s="1969"/>
    </row>
    <row r="76" spans="1:29" s="1206" customFormat="1" ht="15.75" thickBot="1">
      <c r="A76" s="709"/>
      <c r="B76" s="678"/>
      <c r="C76" s="692"/>
      <c r="D76" s="671"/>
      <c r="E76" s="671"/>
      <c r="F76" s="671"/>
      <c r="G76" s="671"/>
      <c r="H76" s="671"/>
      <c r="I76" s="671"/>
      <c r="J76" s="671"/>
      <c r="K76" s="671"/>
      <c r="L76" s="671"/>
      <c r="M76" s="672"/>
      <c r="N76" s="2142"/>
      <c r="O76" s="2142"/>
      <c r="P76" s="2141"/>
      <c r="Q76" s="2134"/>
      <c r="R76" s="1969"/>
      <c r="S76" s="1969"/>
      <c r="T76" s="1969"/>
      <c r="U76" s="1969"/>
      <c r="V76" s="1969"/>
      <c r="W76" s="1969"/>
      <c r="X76" s="1969"/>
      <c r="Y76" s="1969"/>
      <c r="Z76" s="1969"/>
      <c r="AA76" s="1969"/>
      <c r="AB76" s="1969"/>
      <c r="AC76" s="1969"/>
    </row>
    <row r="77" spans="1:29" s="1325" customFormat="1" ht="15.75" thickTop="1">
      <c r="A77" s="687"/>
      <c r="B77" s="673">
        <f>B25</f>
        <v>111</v>
      </c>
      <c r="C77" s="688"/>
      <c r="D77" s="688"/>
      <c r="E77" s="688"/>
      <c r="F77" s="688"/>
      <c r="G77" s="688"/>
      <c r="H77" s="689"/>
      <c r="I77" s="689"/>
      <c r="J77" s="689"/>
      <c r="K77" s="689"/>
      <c r="L77" s="690"/>
      <c r="M77" s="691"/>
      <c r="N77" s="2143"/>
      <c r="O77" s="2143"/>
      <c r="P77" s="2144"/>
      <c r="Q77" s="2145"/>
      <c r="R77" s="2146"/>
      <c r="S77" s="2146"/>
      <c r="T77" s="2146"/>
      <c r="U77" s="2146"/>
      <c r="V77" s="2146"/>
      <c r="W77" s="2146"/>
      <c r="X77" s="2146"/>
      <c r="Y77" s="2146"/>
      <c r="Z77" s="2146"/>
      <c r="AA77" s="2146"/>
      <c r="AB77" s="2146"/>
      <c r="AC77" s="2146"/>
    </row>
    <row r="78" spans="1:29" s="1325" customFormat="1" ht="15.75" thickBot="1">
      <c r="A78" s="687"/>
      <c r="B78" s="678"/>
      <c r="C78" s="692"/>
      <c r="D78" s="692"/>
      <c r="E78" s="692"/>
      <c r="F78" s="692"/>
      <c r="G78" s="671"/>
      <c r="H78" s="671"/>
      <c r="I78" s="671"/>
      <c r="J78" s="671"/>
      <c r="K78" s="671"/>
      <c r="L78" s="671"/>
      <c r="M78" s="672"/>
      <c r="N78" s="2143"/>
      <c r="O78" s="2143"/>
      <c r="P78" s="2144"/>
      <c r="Q78" s="2145"/>
      <c r="R78" s="2146"/>
      <c r="S78" s="2146"/>
      <c r="T78" s="2146"/>
      <c r="U78" s="2146"/>
      <c r="V78" s="2146"/>
      <c r="W78" s="2146"/>
      <c r="X78" s="2146"/>
      <c r="Y78" s="2146"/>
      <c r="Z78" s="2146"/>
      <c r="AA78" s="2146"/>
      <c r="AB78" s="2146"/>
      <c r="AC78" s="2146"/>
    </row>
    <row r="79" spans="1:29" ht="27.75" thickTop="1">
      <c r="A79" s="664" t="s">
        <v>550</v>
      </c>
      <c r="B79" s="665" t="s">
        <v>792</v>
      </c>
      <c r="C79" s="704">
        <f>C26</f>
        <v>0</v>
      </c>
      <c r="D79" s="598"/>
      <c r="E79" s="598"/>
      <c r="F79" s="598"/>
      <c r="G79" s="598"/>
      <c r="H79" s="598"/>
      <c r="I79" s="598"/>
      <c r="J79" s="598"/>
      <c r="K79" s="666"/>
      <c r="L79" s="667"/>
      <c r="M79" s="668"/>
      <c r="N79" s="2140"/>
      <c r="O79" s="2140"/>
      <c r="P79" s="2141"/>
      <c r="Q79" s="2134"/>
      <c r="R79" s="2121"/>
      <c r="S79" s="2121"/>
      <c r="T79" s="2121"/>
      <c r="U79" s="2121"/>
      <c r="V79" s="2121"/>
      <c r="W79" s="2121"/>
      <c r="X79" s="2121"/>
      <c r="Y79" s="2121"/>
      <c r="Z79" s="2121"/>
      <c r="AA79" s="2121"/>
      <c r="AB79" s="2121"/>
      <c r="AC79" s="212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2"/>
      <c r="O80" s="2142"/>
      <c r="P80" s="2141"/>
      <c r="Q80" s="2134"/>
      <c r="R80" s="2121"/>
      <c r="S80" s="2121"/>
      <c r="T80" s="2121"/>
      <c r="U80" s="2121"/>
      <c r="V80" s="2121"/>
      <c r="W80" s="2121"/>
      <c r="X80" s="2121"/>
      <c r="Y80" s="2121"/>
      <c r="Z80" s="2121"/>
      <c r="AA80" s="2121"/>
      <c r="AB80" s="2121"/>
      <c r="AC80" s="2121"/>
    </row>
    <row r="81" spans="1:29" ht="15.75" thickTop="1">
      <c r="A81" s="669"/>
      <c r="B81" s="673" t="s">
        <v>793</v>
      </c>
      <c r="C81" s="927"/>
      <c r="D81" s="927"/>
      <c r="E81" s="927"/>
      <c r="F81" s="927"/>
      <c r="G81" s="927"/>
      <c r="H81" s="927"/>
      <c r="I81" s="927"/>
      <c r="J81" s="927"/>
      <c r="K81" s="928"/>
      <c r="L81" s="929"/>
      <c r="M81" s="930"/>
      <c r="N81" s="2138"/>
      <c r="O81" s="2138"/>
      <c r="P81" s="2141"/>
      <c r="Q81" s="2134"/>
      <c r="R81" s="2121"/>
      <c r="S81" s="2121"/>
      <c r="T81" s="2121"/>
      <c r="U81" s="2121"/>
      <c r="V81" s="2121"/>
      <c r="W81" s="2121"/>
      <c r="X81" s="2121"/>
      <c r="Y81" s="2121"/>
      <c r="Z81" s="2121"/>
      <c r="AA81" s="2121"/>
      <c r="AB81" s="2121"/>
      <c r="AC81" s="2121"/>
    </row>
    <row r="82" spans="1:29" s="1325" customFormat="1" ht="15.75" thickBot="1">
      <c r="A82" s="687"/>
      <c r="B82" s="678"/>
      <c r="C82" s="692"/>
      <c r="D82" s="671"/>
      <c r="E82" s="671"/>
      <c r="F82" s="671"/>
      <c r="G82" s="671"/>
      <c r="H82" s="671"/>
      <c r="I82" s="671"/>
      <c r="J82" s="671"/>
      <c r="K82" s="671"/>
      <c r="L82" s="671"/>
      <c r="M82" s="672"/>
      <c r="N82" s="2142"/>
      <c r="O82" s="2142"/>
      <c r="P82" s="2144"/>
      <c r="Q82" s="2145"/>
      <c r="R82" s="2146"/>
      <c r="S82" s="2146"/>
      <c r="T82" s="2146"/>
      <c r="U82" s="2146"/>
      <c r="V82" s="2146"/>
      <c r="W82" s="2146"/>
      <c r="X82" s="2146"/>
      <c r="Y82" s="2146"/>
      <c r="Z82" s="2146"/>
      <c r="AA82" s="2146"/>
      <c r="AB82" s="2146"/>
      <c r="AC82" s="2146"/>
    </row>
    <row r="83" spans="1:29" ht="15" thickTop="1">
      <c r="A83" s="735"/>
      <c r="B83" s="673" t="s">
        <v>750</v>
      </c>
      <c r="C83" s="688"/>
      <c r="D83" s="688"/>
      <c r="E83" s="718"/>
      <c r="F83" s="718"/>
      <c r="G83" s="718"/>
      <c r="H83" s="718"/>
      <c r="I83" s="718"/>
      <c r="J83" s="718"/>
      <c r="K83" s="719"/>
      <c r="L83" s="720"/>
      <c r="M83" s="721"/>
      <c r="N83" s="2140"/>
      <c r="O83" s="2140"/>
      <c r="P83" s="2141"/>
      <c r="Q83" s="2134"/>
      <c r="R83" s="2121"/>
      <c r="S83" s="2121"/>
      <c r="T83" s="2121"/>
      <c r="U83" s="2121"/>
      <c r="V83" s="2121"/>
      <c r="W83" s="2121"/>
      <c r="X83" s="2121"/>
      <c r="Y83" s="2121"/>
      <c r="Z83" s="2121"/>
      <c r="AA83" s="2121"/>
      <c r="AB83" s="2121"/>
      <c r="AC83" s="212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2"/>
      <c r="O84" s="2142"/>
      <c r="P84" s="2141"/>
      <c r="Q84" s="2134"/>
      <c r="R84" s="2121"/>
      <c r="S84" s="2121"/>
      <c r="T84" s="2121"/>
      <c r="U84" s="2121"/>
      <c r="V84" s="2121"/>
      <c r="W84" s="2121"/>
      <c r="X84" s="2121"/>
      <c r="Y84" s="2121"/>
      <c r="Z84" s="2121"/>
      <c r="AA84" s="2121"/>
      <c r="AB84" s="2121"/>
      <c r="AC84" s="2121"/>
    </row>
    <row r="85" spans="1:29" ht="15" thickTop="1">
      <c r="A85" s="735"/>
      <c r="B85" s="673" t="s">
        <v>794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0"/>
      <c r="O85" s="2140"/>
      <c r="P85" s="2141"/>
      <c r="Q85" s="2134"/>
      <c r="R85" s="2121"/>
      <c r="S85" s="2121"/>
      <c r="T85" s="2121"/>
      <c r="U85" s="2121"/>
      <c r="V85" s="2121"/>
      <c r="W85" s="2121"/>
      <c r="X85" s="2121"/>
      <c r="Y85" s="2121"/>
      <c r="Z85" s="2121"/>
      <c r="AA85" s="2121"/>
      <c r="AB85" s="2121"/>
      <c r="AC85" s="2121"/>
    </row>
    <row r="86" spans="1:29">
      <c r="A86" s="735"/>
      <c r="B86" s="681"/>
      <c r="C86" s="894">
        <v>0.5</v>
      </c>
      <c r="D86" s="894">
        <v>0.6</v>
      </c>
      <c r="E86" s="894">
        <v>0.7</v>
      </c>
      <c r="F86" s="894">
        <v>0.8</v>
      </c>
      <c r="G86" s="894">
        <v>0.9</v>
      </c>
      <c r="H86" s="894">
        <v>1.0001</v>
      </c>
      <c r="I86" s="900"/>
      <c r="J86" s="900"/>
      <c r="K86" s="901"/>
      <c r="L86" s="902"/>
      <c r="M86" s="903"/>
      <c r="N86" s="2140"/>
      <c r="O86" s="2140"/>
      <c r="P86" s="2141"/>
      <c r="Q86" s="2134"/>
      <c r="R86" s="2121"/>
      <c r="S86" s="2121"/>
      <c r="T86" s="2121"/>
      <c r="U86" s="2121"/>
      <c r="V86" s="2121"/>
      <c r="W86" s="2121"/>
      <c r="X86" s="2121"/>
      <c r="Y86" s="2121"/>
      <c r="Z86" s="2121"/>
      <c r="AA86" s="2121"/>
      <c r="AB86" s="2121"/>
      <c r="AC86" s="212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2"/>
      <c r="O87" s="2142"/>
      <c r="P87" s="2141"/>
      <c r="Q87" s="2134"/>
      <c r="R87" s="2121"/>
      <c r="S87" s="2121"/>
      <c r="T87" s="2121"/>
      <c r="U87" s="2121"/>
      <c r="V87" s="2121"/>
      <c r="W87" s="2121"/>
      <c r="X87" s="2121"/>
      <c r="Y87" s="2121"/>
      <c r="Z87" s="2121"/>
      <c r="AA87" s="2121"/>
      <c r="AB87" s="2121"/>
      <c r="AC87" s="2121"/>
    </row>
    <row r="88" spans="1:29" ht="15" thickTop="1">
      <c r="A88" s="735"/>
      <c r="B88" s="681" t="s">
        <v>795</v>
      </c>
      <c r="C88" s="598"/>
      <c r="D88" s="598"/>
      <c r="E88" s="598"/>
      <c r="F88" s="598"/>
      <c r="G88" s="598"/>
      <c r="H88" s="598"/>
      <c r="I88" s="598"/>
      <c r="J88" s="598"/>
      <c r="K88" s="666"/>
      <c r="L88" s="667"/>
      <c r="M88" s="668"/>
      <c r="N88" s="2140"/>
      <c r="O88" s="2140"/>
      <c r="P88" s="2141"/>
      <c r="Q88" s="2134"/>
      <c r="R88" s="2121"/>
      <c r="S88" s="2121"/>
      <c r="T88" s="2121"/>
      <c r="U88" s="2121"/>
      <c r="V88" s="2121"/>
      <c r="W88" s="2121"/>
      <c r="X88" s="2121"/>
      <c r="Y88" s="2121"/>
      <c r="Z88" s="2121"/>
      <c r="AA88" s="2121"/>
      <c r="AB88" s="2121"/>
      <c r="AC88" s="212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2"/>
      <c r="O89" s="2142"/>
      <c r="P89" s="2141"/>
      <c r="Q89" s="2134"/>
      <c r="R89" s="2121"/>
      <c r="S89" s="2121"/>
      <c r="T89" s="2121"/>
      <c r="U89" s="2121"/>
      <c r="V89" s="2121"/>
      <c r="W89" s="2121"/>
      <c r="X89" s="2121"/>
      <c r="Y89" s="2121"/>
      <c r="Z89" s="2121"/>
      <c r="AA89" s="2121"/>
      <c r="AB89" s="2121"/>
      <c r="AC89" s="2121"/>
    </row>
    <row r="90" spans="1:29" s="1325" customFormat="1" ht="15" thickTop="1">
      <c r="A90" s="728"/>
      <c r="B90" s="673" t="s">
        <v>796</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43"/>
      <c r="O90" s="2143"/>
      <c r="P90" s="2144"/>
      <c r="Q90" s="2145"/>
      <c r="R90" s="2146"/>
      <c r="S90" s="2146"/>
      <c r="T90" s="2146"/>
      <c r="U90" s="2146"/>
      <c r="V90" s="2146"/>
      <c r="W90" s="2146"/>
      <c r="X90" s="2146"/>
      <c r="Y90" s="2146"/>
      <c r="Z90" s="2146"/>
      <c r="AA90" s="2146"/>
      <c r="AB90" s="2146"/>
      <c r="AC90" s="2146"/>
    </row>
    <row r="91" spans="1:29" s="1325" customFormat="1">
      <c r="A91" s="728"/>
      <c r="B91" s="681"/>
      <c r="C91" s="730"/>
      <c r="D91" s="730"/>
      <c r="E91" s="730"/>
      <c r="F91" s="730"/>
      <c r="G91" s="730"/>
      <c r="H91" s="730"/>
      <c r="I91" s="730"/>
      <c r="J91" s="731"/>
      <c r="K91" s="731"/>
      <c r="L91" s="732"/>
      <c r="M91" s="733"/>
      <c r="N91" s="2143"/>
      <c r="O91" s="2143"/>
      <c r="P91" s="2144"/>
      <c r="Q91" s="2145"/>
      <c r="R91" s="2146"/>
      <c r="S91" s="2146"/>
      <c r="T91" s="2146"/>
      <c r="U91" s="2146"/>
      <c r="V91" s="2146"/>
      <c r="W91" s="2146"/>
      <c r="X91" s="2146"/>
      <c r="Y91" s="2146"/>
      <c r="Z91" s="2146"/>
      <c r="AA91" s="2146"/>
      <c r="AB91" s="2146"/>
      <c r="AC91" s="2146"/>
    </row>
    <row r="92" spans="1:29" s="1325" customFormat="1" ht="15.75" thickBot="1">
      <c r="A92" s="687"/>
      <c r="B92" s="678"/>
      <c r="C92" s="692"/>
      <c r="D92" s="671"/>
      <c r="E92" s="671"/>
      <c r="F92" s="671"/>
      <c r="G92" s="671"/>
      <c r="H92" s="671"/>
      <c r="I92" s="671"/>
      <c r="J92" s="671"/>
      <c r="K92" s="671"/>
      <c r="L92" s="671"/>
      <c r="M92" s="672"/>
      <c r="N92" s="2143"/>
      <c r="O92" s="2143"/>
      <c r="P92" s="2144"/>
      <c r="Q92" s="2145"/>
      <c r="R92" s="2146"/>
      <c r="S92" s="2146"/>
      <c r="T92" s="2146"/>
      <c r="U92" s="2146"/>
      <c r="V92" s="2146"/>
      <c r="W92" s="2146"/>
      <c r="X92" s="2146"/>
      <c r="Y92" s="2146"/>
      <c r="Z92" s="2146"/>
      <c r="AA92" s="2146"/>
      <c r="AB92" s="2146"/>
      <c r="AC92" s="2146"/>
    </row>
    <row r="93" spans="1:29" ht="15" thickTop="1">
      <c r="A93" s="735"/>
      <c r="B93" s="673" t="s">
        <v>797</v>
      </c>
      <c r="C93" s="688"/>
      <c r="D93" s="688"/>
      <c r="E93" s="718"/>
      <c r="F93" s="718"/>
      <c r="G93" s="718"/>
      <c r="H93" s="718"/>
      <c r="I93" s="718"/>
      <c r="J93" s="718"/>
      <c r="K93" s="719"/>
      <c r="L93" s="720"/>
      <c r="M93" s="721"/>
      <c r="N93" s="2140"/>
      <c r="O93" s="2140"/>
      <c r="P93" s="2141"/>
      <c r="Q93" s="2134"/>
      <c r="R93" s="2121"/>
      <c r="S93" s="2121"/>
      <c r="T93" s="2121"/>
      <c r="U93" s="2121"/>
      <c r="V93" s="2121"/>
      <c r="W93" s="2121"/>
      <c r="X93" s="2121"/>
      <c r="Y93" s="2121"/>
      <c r="Z93" s="2121"/>
      <c r="AA93" s="2121"/>
      <c r="AB93" s="2121"/>
      <c r="AC93" s="212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2"/>
      <c r="O94" s="2142"/>
      <c r="P94" s="2141"/>
      <c r="Q94" s="2134"/>
      <c r="R94" s="2121"/>
      <c r="S94" s="2121"/>
      <c r="T94" s="2121"/>
      <c r="U94" s="2121"/>
      <c r="V94" s="2121"/>
      <c r="W94" s="2121"/>
      <c r="X94" s="2121"/>
      <c r="Y94" s="2121"/>
      <c r="Z94" s="2121"/>
      <c r="AA94" s="2121"/>
      <c r="AB94" s="2121"/>
      <c r="AC94" s="2121"/>
    </row>
    <row r="95" spans="1:29" ht="15" thickTop="1">
      <c r="A95" s="735"/>
      <c r="B95" s="673" t="s">
        <v>798</v>
      </c>
      <c r="C95" s="598"/>
      <c r="D95" s="598"/>
      <c r="E95" s="598"/>
      <c r="F95" s="598"/>
      <c r="G95" s="598"/>
      <c r="H95" s="598"/>
      <c r="I95" s="598"/>
      <c r="J95" s="598"/>
      <c r="K95" s="666"/>
      <c r="L95" s="667"/>
      <c r="M95" s="668"/>
      <c r="N95" s="2140"/>
      <c r="O95" s="2140"/>
      <c r="P95" s="2141"/>
      <c r="Q95" s="2134"/>
      <c r="R95" s="2121"/>
      <c r="S95" s="2121"/>
      <c r="T95" s="2121"/>
      <c r="U95" s="2121"/>
      <c r="V95" s="2121"/>
      <c r="W95" s="2121"/>
      <c r="X95" s="2121"/>
      <c r="Y95" s="2121"/>
      <c r="Z95" s="2121"/>
      <c r="AA95" s="2121"/>
      <c r="AB95" s="2121"/>
      <c r="AC95" s="212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2"/>
      <c r="O96" s="2142"/>
      <c r="P96" s="2141"/>
      <c r="Q96" s="2134"/>
      <c r="R96" s="2121"/>
      <c r="S96" s="2121"/>
      <c r="T96" s="2121"/>
      <c r="U96" s="2121"/>
      <c r="V96" s="2121"/>
      <c r="W96" s="2121"/>
      <c r="X96" s="2121"/>
      <c r="Y96" s="2121"/>
      <c r="Z96" s="2121"/>
      <c r="AA96" s="2121"/>
      <c r="AB96" s="2121"/>
      <c r="AC96" s="2121"/>
    </row>
    <row r="97" spans="1:29" ht="15" thickTop="1">
      <c r="A97" s="735"/>
      <c r="B97" s="910">
        <f>B34</f>
        <v>111</v>
      </c>
      <c r="C97" s="541"/>
      <c r="D97" s="541"/>
      <c r="E97" s="541"/>
      <c r="F97" s="541"/>
      <c r="G97" s="688"/>
      <c r="H97" s="689"/>
      <c r="I97" s="689"/>
      <c r="J97" s="689"/>
      <c r="K97" s="689"/>
      <c r="L97" s="690"/>
      <c r="M97" s="691"/>
      <c r="N97" s="2142"/>
      <c r="O97" s="2142"/>
      <c r="P97" s="2181"/>
      <c r="Q97" s="2182"/>
      <c r="R97" s="2121"/>
      <c r="S97" s="2121"/>
      <c r="T97" s="2121"/>
      <c r="U97" s="2121"/>
      <c r="V97" s="2121"/>
      <c r="W97" s="2121"/>
      <c r="X97" s="2121"/>
      <c r="Y97" s="2121"/>
      <c r="Z97" s="2121"/>
      <c r="AA97" s="2121"/>
      <c r="AB97" s="2121"/>
      <c r="AC97" s="2121"/>
    </row>
    <row r="98" spans="1:29" ht="15.75" thickBot="1">
      <c r="A98" s="669"/>
      <c r="B98" s="678"/>
      <c r="C98" s="692"/>
      <c r="D98" s="671"/>
      <c r="E98" s="671"/>
      <c r="F98" s="671"/>
      <c r="G98" s="692"/>
      <c r="H98" s="693"/>
      <c r="I98" s="693"/>
      <c r="J98" s="693"/>
      <c r="K98" s="693"/>
      <c r="L98" s="693"/>
      <c r="M98" s="694"/>
      <c r="N98" s="2142"/>
      <c r="O98" s="2142"/>
      <c r="P98" s="2141"/>
      <c r="Q98" s="2134"/>
      <c r="R98" s="2121"/>
      <c r="S98" s="2121"/>
      <c r="T98" s="2121"/>
      <c r="U98" s="2121"/>
      <c r="V98" s="2121"/>
      <c r="W98" s="2121"/>
      <c r="X98" s="2121"/>
      <c r="Y98" s="2121"/>
      <c r="Z98" s="2121"/>
      <c r="AA98" s="2121"/>
      <c r="AB98" s="2121"/>
      <c r="AC98" s="2121"/>
    </row>
    <row r="99" spans="1:29" s="1325" customFormat="1" ht="15" thickTop="1">
      <c r="A99" s="728"/>
      <c r="B99" s="673">
        <f>B35</f>
        <v>111</v>
      </c>
      <c r="C99" s="541"/>
      <c r="D99" s="541"/>
      <c r="E99" s="541"/>
      <c r="F99" s="541"/>
      <c r="G99" s="688"/>
      <c r="H99" s="689"/>
      <c r="I99" s="689"/>
      <c r="J99" s="689"/>
      <c r="K99" s="689"/>
      <c r="L99" s="690"/>
      <c r="M99" s="691"/>
      <c r="N99" s="2143"/>
      <c r="O99" s="2143"/>
      <c r="P99" s="2144"/>
      <c r="Q99" s="2145"/>
      <c r="R99" s="2146"/>
      <c r="S99" s="2146"/>
      <c r="T99" s="2146"/>
      <c r="U99" s="2146"/>
      <c r="V99" s="2146"/>
      <c r="W99" s="2146"/>
      <c r="X99" s="2146"/>
      <c r="Y99" s="2146"/>
      <c r="Z99" s="2146"/>
      <c r="AA99" s="2146"/>
      <c r="AB99" s="2146"/>
      <c r="AC99" s="2146"/>
    </row>
    <row r="100" spans="1:29" s="1325" customFormat="1" ht="15.75" thickBot="1">
      <c r="A100" s="687"/>
      <c r="B100" s="670"/>
      <c r="C100" s="692"/>
      <c r="D100" s="671"/>
      <c r="E100" s="671"/>
      <c r="F100" s="671"/>
      <c r="G100" s="692"/>
      <c r="H100" s="693"/>
      <c r="I100" s="693"/>
      <c r="J100" s="693"/>
      <c r="K100" s="693"/>
      <c r="L100" s="693"/>
      <c r="M100" s="694"/>
      <c r="N100" s="2143"/>
      <c r="O100" s="2143"/>
      <c r="P100" s="2144"/>
      <c r="Q100" s="2145"/>
      <c r="R100" s="2146"/>
      <c r="S100" s="2146"/>
      <c r="T100" s="2146"/>
      <c r="U100" s="2146"/>
      <c r="V100" s="2146"/>
      <c r="W100" s="2146"/>
      <c r="X100" s="2146"/>
      <c r="Y100" s="2146"/>
      <c r="Z100" s="2146"/>
      <c r="AA100" s="2146"/>
      <c r="AB100" s="2146"/>
      <c r="AC100" s="2146"/>
    </row>
    <row r="101" spans="1:29" ht="15" thickTop="1">
      <c r="A101" s="735"/>
      <c r="B101" s="673">
        <f>B36</f>
        <v>111</v>
      </c>
      <c r="C101" s="688"/>
      <c r="D101" s="688"/>
      <c r="E101" s="688"/>
      <c r="F101" s="688"/>
      <c r="G101" s="688"/>
      <c r="H101" s="689"/>
      <c r="I101" s="689"/>
      <c r="J101" s="689"/>
      <c r="K101" s="689"/>
      <c r="L101" s="690"/>
      <c r="M101" s="691"/>
      <c r="N101" s="2140"/>
      <c r="O101" s="2140"/>
      <c r="P101" s="2141"/>
      <c r="Q101" s="2134"/>
      <c r="R101" s="2121"/>
      <c r="S101" s="2121"/>
      <c r="T101" s="2121"/>
      <c r="U101" s="2121"/>
      <c r="V101" s="2121"/>
      <c r="W101" s="2121"/>
      <c r="X101" s="2121"/>
      <c r="Y101" s="2121"/>
      <c r="Z101" s="2121"/>
      <c r="AA101" s="2121"/>
      <c r="AB101" s="2121"/>
      <c r="AC101" s="2121"/>
    </row>
    <row r="102" spans="1:29" ht="15.75" thickBot="1">
      <c r="A102" s="669"/>
      <c r="B102" s="678"/>
      <c r="C102" s="692"/>
      <c r="D102" s="692"/>
      <c r="E102" s="692"/>
      <c r="F102" s="692"/>
      <c r="G102" s="692"/>
      <c r="H102" s="693"/>
      <c r="I102" s="693"/>
      <c r="J102" s="693"/>
      <c r="K102" s="693"/>
      <c r="L102" s="693"/>
      <c r="M102" s="694"/>
      <c r="N102" s="2142"/>
      <c r="O102" s="2142"/>
      <c r="P102" s="2141"/>
      <c r="Q102" s="2134"/>
      <c r="R102" s="2121"/>
      <c r="S102" s="2121"/>
      <c r="T102" s="2121"/>
      <c r="U102" s="2121"/>
      <c r="V102" s="2121"/>
      <c r="W102" s="2121"/>
      <c r="X102" s="2121"/>
      <c r="Y102" s="2121"/>
      <c r="Z102" s="2121"/>
      <c r="AA102" s="2121"/>
      <c r="AB102" s="2121"/>
      <c r="AC102" s="2121"/>
    </row>
    <row r="103" spans="1:29" ht="15" thickTop="1">
      <c r="A103" s="2155"/>
      <c r="B103" s="2155"/>
      <c r="C103" s="2155"/>
      <c r="D103" s="2155"/>
      <c r="E103" s="2155"/>
      <c r="F103" s="2155"/>
      <c r="G103" s="2155"/>
      <c r="H103" s="2155"/>
      <c r="I103" s="2155"/>
      <c r="J103" s="2155"/>
      <c r="K103" s="2156"/>
      <c r="L103" s="2157"/>
      <c r="M103" s="2155"/>
      <c r="N103" s="2155"/>
      <c r="O103" s="2155"/>
      <c r="P103" s="2155"/>
      <c r="Q103" s="2155"/>
      <c r="R103" s="2155"/>
      <c r="S103" s="2155"/>
      <c r="T103" s="2155"/>
      <c r="U103" s="2155"/>
      <c r="V103" s="2155"/>
      <c r="W103" s="2155"/>
      <c r="X103" s="2155"/>
      <c r="Y103" s="2155"/>
      <c r="Z103" s="2155"/>
      <c r="AA103" s="2155"/>
      <c r="AB103" s="2155"/>
      <c r="AC103" s="2155"/>
    </row>
    <row r="104" spans="1:29">
      <c r="A104" s="2155"/>
      <c r="B104" s="2155"/>
      <c r="C104" s="2155"/>
      <c r="D104" s="2155"/>
      <c r="E104" s="2155"/>
      <c r="F104" s="2155"/>
      <c r="G104" s="2155"/>
      <c r="H104" s="2155"/>
      <c r="I104" s="2155"/>
      <c r="J104" s="2155"/>
      <c r="K104" s="2156"/>
      <c r="L104" s="2157"/>
      <c r="M104" s="2155"/>
      <c r="N104" s="2155"/>
      <c r="O104" s="2155"/>
      <c r="P104" s="2155"/>
      <c r="Q104" s="2155"/>
      <c r="R104" s="2155"/>
      <c r="S104" s="2155"/>
      <c r="T104" s="2155"/>
      <c r="U104" s="2155"/>
      <c r="V104" s="2155"/>
      <c r="W104" s="2155"/>
      <c r="X104" s="2155"/>
      <c r="Y104" s="2155"/>
      <c r="Z104" s="2155"/>
      <c r="AA104" s="2155"/>
      <c r="AB104" s="2155"/>
      <c r="AC104" s="2155"/>
    </row>
    <row r="105" spans="1:29">
      <c r="A105" s="2155"/>
      <c r="B105" s="2155"/>
      <c r="C105" s="2155"/>
      <c r="D105" s="2155"/>
      <c r="E105" s="2155"/>
      <c r="F105" s="2155"/>
      <c r="G105" s="2155"/>
      <c r="H105" s="2155"/>
      <c r="I105" s="2155"/>
      <c r="J105" s="2155"/>
      <c r="K105" s="2156"/>
      <c r="L105" s="2157"/>
      <c r="M105" s="2155"/>
      <c r="N105" s="2155"/>
      <c r="O105" s="2155"/>
      <c r="P105" s="2155"/>
      <c r="Q105" s="2155"/>
      <c r="R105" s="2155"/>
      <c r="S105" s="2155"/>
      <c r="T105" s="2155"/>
      <c r="U105" s="2155"/>
      <c r="V105" s="2155"/>
      <c r="W105" s="2155"/>
      <c r="X105" s="2155"/>
      <c r="Y105" s="2155"/>
      <c r="Z105" s="2155"/>
      <c r="AA105" s="2155"/>
      <c r="AB105" s="2155"/>
      <c r="AC105" s="2155"/>
    </row>
    <row r="106" spans="1:29">
      <c r="A106" s="2155"/>
      <c r="B106" s="2155"/>
      <c r="C106" s="2155"/>
      <c r="D106" s="2155"/>
      <c r="E106" s="2155"/>
      <c r="F106" s="2155"/>
      <c r="G106" s="2155"/>
      <c r="H106" s="2155"/>
      <c r="I106" s="2155"/>
      <c r="J106" s="2155"/>
      <c r="K106" s="2156"/>
      <c r="L106" s="2157"/>
      <c r="M106" s="2155"/>
      <c r="N106" s="2155"/>
      <c r="O106" s="2155"/>
      <c r="P106" s="2155"/>
      <c r="Q106" s="2155"/>
      <c r="R106" s="2155"/>
      <c r="S106" s="2155"/>
      <c r="T106" s="2155"/>
      <c r="U106" s="2155"/>
      <c r="V106" s="2155"/>
      <c r="W106" s="2155"/>
      <c r="X106" s="2155"/>
      <c r="Y106" s="2155"/>
      <c r="Z106" s="2155"/>
      <c r="AA106" s="2155"/>
      <c r="AB106" s="2155"/>
      <c r="AC106" s="2155"/>
    </row>
    <row r="107" spans="1:29">
      <c r="A107" s="2155"/>
      <c r="B107" s="2155"/>
      <c r="C107" s="2155"/>
      <c r="D107" s="2155"/>
      <c r="E107" s="2155"/>
      <c r="F107" s="2155"/>
      <c r="G107" s="2155"/>
      <c r="H107" s="2155"/>
      <c r="I107" s="2155"/>
      <c r="J107" s="2155"/>
      <c r="K107" s="2156"/>
      <c r="L107" s="2157"/>
      <c r="M107" s="2155"/>
      <c r="N107" s="2155"/>
      <c r="O107" s="2155"/>
      <c r="P107" s="2155"/>
      <c r="Q107" s="2155"/>
      <c r="R107" s="2155"/>
      <c r="S107" s="2155"/>
      <c r="T107" s="2155"/>
      <c r="U107" s="2155"/>
      <c r="V107" s="2155"/>
      <c r="W107" s="2155"/>
      <c r="X107" s="2155"/>
      <c r="Y107" s="2155"/>
      <c r="Z107" s="2155"/>
      <c r="AA107" s="2155"/>
      <c r="AB107" s="2155"/>
      <c r="AC107" s="2155"/>
    </row>
    <row r="108" spans="1:29">
      <c r="A108" s="2155"/>
      <c r="B108" s="2155"/>
      <c r="C108" s="2155"/>
      <c r="D108" s="2155"/>
      <c r="E108" s="2155"/>
      <c r="F108" s="2155"/>
      <c r="G108" s="2155"/>
      <c r="H108" s="2155"/>
      <c r="I108" s="2155"/>
      <c r="J108" s="2155"/>
      <c r="K108" s="2156"/>
      <c r="L108" s="2157"/>
      <c r="M108" s="2155"/>
      <c r="N108" s="2155"/>
      <c r="O108" s="2155"/>
      <c r="P108" s="2155"/>
      <c r="Q108" s="2155"/>
      <c r="R108" s="2155"/>
      <c r="S108" s="2155"/>
      <c r="T108" s="2155"/>
      <c r="U108" s="2155"/>
      <c r="V108" s="2155"/>
      <c r="W108" s="2155"/>
      <c r="X108" s="2155"/>
      <c r="Y108" s="2155"/>
      <c r="Z108" s="2155"/>
      <c r="AA108" s="2155"/>
      <c r="AB108" s="2155"/>
      <c r="AC108" s="2155"/>
    </row>
    <row r="109" spans="1:29">
      <c r="A109" s="2155"/>
      <c r="B109" s="2155"/>
      <c r="C109" s="2155"/>
      <c r="D109" s="2155"/>
      <c r="E109" s="2155"/>
      <c r="F109" s="2155"/>
      <c r="G109" s="2155"/>
      <c r="H109" s="2155"/>
      <c r="I109" s="2155"/>
      <c r="J109" s="2155"/>
      <c r="K109" s="2156"/>
      <c r="L109" s="2157"/>
      <c r="M109" s="2155"/>
      <c r="N109" s="2155"/>
      <c r="O109" s="2155"/>
      <c r="P109" s="2155"/>
      <c r="Q109" s="2155"/>
      <c r="R109" s="2155"/>
      <c r="S109" s="2155"/>
      <c r="T109" s="2155"/>
      <c r="U109" s="2155"/>
      <c r="V109" s="2155"/>
      <c r="W109" s="2155"/>
      <c r="X109" s="2155"/>
      <c r="Y109" s="2155"/>
      <c r="Z109" s="2155"/>
      <c r="AA109" s="2155"/>
      <c r="AB109" s="2155"/>
      <c r="AC109" s="2155"/>
    </row>
    <row r="110" spans="1:29">
      <c r="A110" s="2155"/>
      <c r="B110" s="2155"/>
      <c r="C110" s="2155"/>
      <c r="D110" s="2155"/>
      <c r="E110" s="2155"/>
      <c r="F110" s="2155"/>
      <c r="G110" s="2155"/>
      <c r="H110" s="2155"/>
      <c r="I110" s="2155"/>
      <c r="J110" s="2155"/>
      <c r="K110" s="2156"/>
      <c r="L110" s="2157"/>
      <c r="M110" s="2155"/>
      <c r="N110" s="2155"/>
      <c r="O110" s="2155"/>
      <c r="P110" s="2155"/>
      <c r="Q110" s="2155"/>
      <c r="R110" s="2155"/>
      <c r="S110" s="2155"/>
      <c r="T110" s="2155"/>
      <c r="U110" s="2155"/>
      <c r="V110" s="2155"/>
      <c r="W110" s="2155"/>
      <c r="X110" s="2155"/>
      <c r="Y110" s="2155"/>
      <c r="Z110" s="2155"/>
      <c r="AA110" s="2155"/>
      <c r="AB110" s="2155"/>
      <c r="AC110" s="2155"/>
    </row>
    <row r="111" spans="1:29">
      <c r="A111" s="2155"/>
      <c r="B111" s="2155"/>
      <c r="C111" s="2155"/>
      <c r="D111" s="2155"/>
      <c r="E111" s="2155"/>
      <c r="F111" s="2155"/>
      <c r="G111" s="2155"/>
      <c r="H111" s="2155"/>
      <c r="I111" s="2155"/>
      <c r="J111" s="2155"/>
      <c r="K111" s="2156"/>
      <c r="L111" s="2157"/>
      <c r="M111" s="2155"/>
      <c r="N111" s="2155"/>
      <c r="O111" s="2155"/>
      <c r="P111" s="2155"/>
      <c r="Q111" s="2155"/>
      <c r="R111" s="2155"/>
      <c r="S111" s="2155"/>
      <c r="T111" s="2155"/>
      <c r="U111" s="2155"/>
      <c r="V111" s="2155"/>
      <c r="W111" s="2155"/>
      <c r="X111" s="2155"/>
      <c r="Y111" s="2155"/>
      <c r="Z111" s="2155"/>
      <c r="AA111" s="2155"/>
      <c r="AB111" s="2155"/>
      <c r="AC111" s="2155"/>
    </row>
    <row r="112" spans="1:29">
      <c r="A112" s="2155"/>
      <c r="B112" s="2155"/>
      <c r="C112" s="2155"/>
      <c r="D112" s="2155"/>
      <c r="E112" s="2155"/>
      <c r="F112" s="2155"/>
      <c r="G112" s="2155"/>
      <c r="H112" s="2155"/>
      <c r="I112" s="2155"/>
      <c r="J112" s="2155"/>
      <c r="K112" s="2156"/>
      <c r="L112" s="2157"/>
      <c r="M112" s="2155"/>
      <c r="N112" s="2155"/>
      <c r="O112" s="2155"/>
      <c r="P112" s="2155"/>
      <c r="Q112" s="2155"/>
      <c r="R112" s="2155"/>
      <c r="S112" s="2155"/>
      <c r="T112" s="2155"/>
      <c r="U112" s="2155"/>
      <c r="V112" s="2155"/>
      <c r="W112" s="2155"/>
      <c r="X112" s="2155"/>
      <c r="Y112" s="2155"/>
      <c r="Z112" s="2155"/>
      <c r="AA112" s="2155"/>
      <c r="AB112" s="2155"/>
      <c r="AC112" s="2155"/>
    </row>
    <row r="113" spans="1:29">
      <c r="A113" s="2155"/>
      <c r="B113" s="2155"/>
      <c r="C113" s="2155"/>
      <c r="D113" s="2155"/>
      <c r="E113" s="2155"/>
      <c r="F113" s="2155"/>
      <c r="G113" s="2155"/>
      <c r="H113" s="2155"/>
      <c r="I113" s="2155"/>
      <c r="J113" s="2155"/>
      <c r="K113" s="2156"/>
      <c r="L113" s="2157"/>
      <c r="M113" s="2155"/>
      <c r="N113" s="2155"/>
      <c r="O113" s="2155"/>
      <c r="P113" s="2155"/>
      <c r="Q113" s="2155"/>
      <c r="R113" s="2155"/>
      <c r="S113" s="2155"/>
      <c r="T113" s="2155"/>
      <c r="U113" s="2155"/>
      <c r="V113" s="2155"/>
      <c r="W113" s="2155"/>
      <c r="X113" s="2155"/>
      <c r="Y113" s="2155"/>
      <c r="Z113" s="2155"/>
      <c r="AA113" s="2155"/>
      <c r="AB113" s="2155"/>
      <c r="AC113" s="2155"/>
    </row>
    <row r="114" spans="1:29">
      <c r="A114" s="2155"/>
      <c r="B114" s="2155"/>
      <c r="C114" s="2155"/>
      <c r="D114" s="2155"/>
      <c r="E114" s="2155"/>
      <c r="F114" s="2155"/>
      <c r="G114" s="2155"/>
      <c r="H114" s="2155"/>
      <c r="I114" s="2155"/>
      <c r="J114" s="2155"/>
      <c r="K114" s="2156"/>
      <c r="L114" s="2157"/>
      <c r="M114" s="2155"/>
      <c r="N114" s="2155"/>
      <c r="O114" s="2155"/>
      <c r="P114" s="2155"/>
      <c r="Q114" s="2155"/>
      <c r="R114" s="2155"/>
      <c r="S114" s="2155"/>
      <c r="T114" s="2155"/>
      <c r="U114" s="2155"/>
      <c r="V114" s="2155"/>
      <c r="W114" s="2155"/>
      <c r="X114" s="2155"/>
      <c r="Y114" s="2155"/>
      <c r="Z114" s="2155"/>
      <c r="AA114" s="2155"/>
      <c r="AB114" s="2155"/>
      <c r="AC114" s="2155"/>
    </row>
    <row r="115" spans="1:29">
      <c r="A115" s="2155"/>
      <c r="B115" s="2155"/>
      <c r="C115" s="2155"/>
      <c r="D115" s="2155"/>
      <c r="E115" s="2155"/>
      <c r="F115" s="2155"/>
      <c r="G115" s="2155"/>
      <c r="H115" s="2155"/>
      <c r="I115" s="2155"/>
      <c r="J115" s="2155"/>
      <c r="K115" s="2156"/>
      <c r="L115" s="2157"/>
      <c r="M115" s="2155"/>
      <c r="N115" s="2155"/>
      <c r="O115" s="2155"/>
      <c r="P115" s="2155"/>
      <c r="Q115" s="2155"/>
      <c r="R115" s="2155"/>
      <c r="S115" s="2155"/>
      <c r="T115" s="2155"/>
      <c r="U115" s="2155"/>
      <c r="V115" s="2155"/>
      <c r="W115" s="2155"/>
      <c r="X115" s="2155"/>
      <c r="Y115" s="2155"/>
      <c r="Z115" s="2155"/>
      <c r="AA115" s="2155"/>
      <c r="AB115" s="2155"/>
      <c r="AC115" s="2155"/>
    </row>
    <row r="116" spans="1:29">
      <c r="A116" s="2155"/>
      <c r="B116" s="2155"/>
      <c r="C116" s="2155"/>
      <c r="D116" s="2155"/>
      <c r="E116" s="2155"/>
      <c r="F116" s="2155"/>
      <c r="G116" s="2155"/>
      <c r="H116" s="2155"/>
      <c r="I116" s="2155"/>
      <c r="J116" s="2155"/>
      <c r="K116" s="2156"/>
      <c r="L116" s="2157"/>
      <c r="M116" s="2155"/>
      <c r="N116" s="2155"/>
      <c r="O116" s="2155"/>
      <c r="P116" s="2155"/>
      <c r="Q116" s="2155"/>
      <c r="R116" s="2155"/>
      <c r="S116" s="2155"/>
      <c r="T116" s="2155"/>
      <c r="U116" s="2155"/>
      <c r="V116" s="2155"/>
      <c r="W116" s="2155"/>
      <c r="X116" s="2155"/>
      <c r="Y116" s="2155"/>
      <c r="Z116" s="2155"/>
      <c r="AA116" s="2155"/>
      <c r="AB116" s="2155"/>
      <c r="AC116" s="2155"/>
    </row>
    <row r="117" spans="1:29">
      <c r="A117" s="2155"/>
      <c r="B117" s="2155"/>
      <c r="C117" s="2155"/>
      <c r="D117" s="2155"/>
      <c r="E117" s="2155"/>
      <c r="F117" s="2155"/>
      <c r="G117" s="2155"/>
      <c r="H117" s="2155"/>
      <c r="I117" s="2155"/>
      <c r="J117" s="2155"/>
      <c r="K117" s="2156"/>
      <c r="L117" s="2157"/>
      <c r="M117" s="2155"/>
      <c r="N117" s="2155"/>
      <c r="O117" s="2155"/>
      <c r="P117" s="2155"/>
      <c r="Q117" s="2155"/>
      <c r="R117" s="2155"/>
      <c r="S117" s="2155"/>
      <c r="T117" s="2155"/>
      <c r="U117" s="2155"/>
      <c r="V117" s="2155"/>
      <c r="W117" s="2155"/>
      <c r="X117" s="2155"/>
      <c r="Y117" s="2155"/>
      <c r="Z117" s="2155"/>
      <c r="AA117" s="2155"/>
      <c r="AB117" s="2155"/>
      <c r="AC117" s="2155"/>
    </row>
    <row r="118" spans="1:29">
      <c r="A118" s="2155"/>
      <c r="B118" s="2155"/>
      <c r="C118" s="2155"/>
      <c r="D118" s="2155"/>
      <c r="E118" s="2155"/>
      <c r="F118" s="2155"/>
      <c r="G118" s="2155"/>
      <c r="H118" s="2155"/>
      <c r="I118" s="2155"/>
      <c r="J118" s="2155"/>
      <c r="K118" s="2156"/>
      <c r="L118" s="2157"/>
      <c r="M118" s="2155"/>
      <c r="N118" s="2155"/>
      <c r="O118" s="2155"/>
      <c r="P118" s="2155"/>
      <c r="Q118" s="2155"/>
      <c r="R118" s="2155"/>
      <c r="S118" s="2155"/>
      <c r="T118" s="2155"/>
      <c r="U118" s="2155"/>
      <c r="V118" s="2155"/>
      <c r="W118" s="2155"/>
      <c r="X118" s="2155"/>
      <c r="Y118" s="2155"/>
      <c r="Z118" s="2155"/>
      <c r="AA118" s="2155"/>
      <c r="AB118" s="2155"/>
      <c r="AC118" s="2155"/>
    </row>
    <row r="119" spans="1:29">
      <c r="A119" s="2155"/>
      <c r="B119" s="2155"/>
      <c r="C119" s="2155"/>
      <c r="D119" s="2155"/>
      <c r="E119" s="2155"/>
      <c r="F119" s="2155"/>
      <c r="G119" s="2155"/>
      <c r="H119" s="2155"/>
      <c r="I119" s="2155"/>
      <c r="J119" s="2155"/>
      <c r="K119" s="2156"/>
      <c r="L119" s="2157"/>
      <c r="M119" s="2155"/>
      <c r="N119" s="2155"/>
      <c r="O119" s="2155"/>
      <c r="P119" s="2155"/>
      <c r="Q119" s="2155"/>
      <c r="R119" s="2155"/>
      <c r="S119" s="2155"/>
      <c r="T119" s="2155"/>
      <c r="U119" s="2155"/>
      <c r="V119" s="2155"/>
      <c r="W119" s="2155"/>
      <c r="X119" s="2155"/>
      <c r="Y119" s="2155"/>
      <c r="Z119" s="2155"/>
      <c r="AA119" s="2155"/>
      <c r="AB119" s="2155"/>
      <c r="AC119" s="2155"/>
    </row>
    <row r="120" spans="1:29">
      <c r="A120" s="2155"/>
      <c r="B120" s="2155"/>
      <c r="C120" s="2155"/>
      <c r="D120" s="2155"/>
      <c r="E120" s="2155"/>
      <c r="F120" s="2155"/>
      <c r="G120" s="2155"/>
      <c r="H120" s="2155"/>
      <c r="I120" s="2155"/>
      <c r="J120" s="2155"/>
      <c r="K120" s="2156"/>
      <c r="L120" s="2157"/>
      <c r="M120" s="2155"/>
      <c r="N120" s="2155"/>
      <c r="O120" s="2155"/>
      <c r="P120" s="2155"/>
      <c r="Q120" s="2155"/>
      <c r="R120" s="2155"/>
      <c r="S120" s="2155"/>
      <c r="T120" s="2155"/>
      <c r="U120" s="2155"/>
      <c r="V120" s="2155"/>
      <c r="W120" s="2155"/>
      <c r="X120" s="2155"/>
      <c r="Y120" s="2155"/>
      <c r="Z120" s="2155"/>
      <c r="AA120" s="2155"/>
      <c r="AB120" s="2155"/>
      <c r="AC120" s="2155"/>
    </row>
    <row r="121" spans="1:29">
      <c r="A121" s="2155"/>
      <c r="B121" s="2155"/>
      <c r="C121" s="2155"/>
      <c r="D121" s="2155"/>
      <c r="E121" s="2155"/>
      <c r="F121" s="2155"/>
      <c r="G121" s="2155"/>
      <c r="H121" s="2155"/>
      <c r="I121" s="2155"/>
      <c r="J121" s="2155"/>
      <c r="K121" s="2156"/>
      <c r="L121" s="2157"/>
      <c r="M121" s="2155"/>
      <c r="N121" s="2155"/>
      <c r="O121" s="2155"/>
      <c r="P121" s="2155"/>
      <c r="Q121" s="2155"/>
      <c r="R121" s="2155"/>
      <c r="S121" s="2155"/>
      <c r="T121" s="2155"/>
      <c r="U121" s="2155"/>
      <c r="V121" s="2155"/>
      <c r="W121" s="2155"/>
      <c r="X121" s="2155"/>
      <c r="Y121" s="2155"/>
      <c r="Z121" s="2155"/>
      <c r="AA121" s="2155"/>
      <c r="AB121" s="2155"/>
      <c r="AC121" s="2155"/>
    </row>
    <row r="122" spans="1:29">
      <c r="A122" s="2155"/>
      <c r="B122" s="2155"/>
      <c r="C122" s="2155"/>
      <c r="D122" s="2155"/>
      <c r="E122" s="2155"/>
      <c r="F122" s="2155"/>
      <c r="G122" s="2155"/>
      <c r="H122" s="2155"/>
      <c r="I122" s="2155"/>
      <c r="J122" s="2155"/>
      <c r="K122" s="2156"/>
      <c r="L122" s="2157"/>
      <c r="M122" s="2155"/>
      <c r="N122" s="2155"/>
      <c r="O122" s="2155"/>
      <c r="P122" s="2155"/>
      <c r="Q122" s="2155"/>
      <c r="R122" s="2155"/>
      <c r="S122" s="2155"/>
      <c r="T122" s="2155"/>
      <c r="U122" s="2155"/>
      <c r="V122" s="2155"/>
      <c r="W122" s="2155"/>
      <c r="X122" s="2155"/>
      <c r="Y122" s="2155"/>
      <c r="Z122" s="2155"/>
      <c r="AA122" s="2155"/>
      <c r="AB122" s="2155"/>
      <c r="AC122" s="2155"/>
    </row>
    <row r="123" spans="1:29">
      <c r="A123" s="2155"/>
      <c r="B123" s="2155"/>
      <c r="C123" s="2155"/>
      <c r="D123" s="2155"/>
      <c r="E123" s="2155"/>
      <c r="F123" s="2155"/>
      <c r="G123" s="2155"/>
      <c r="H123" s="2155"/>
      <c r="I123" s="2155"/>
      <c r="J123" s="2155"/>
      <c r="K123" s="2156"/>
      <c r="L123" s="2157"/>
      <c r="M123" s="2155"/>
      <c r="N123" s="2155"/>
      <c r="O123" s="2155"/>
      <c r="P123" s="2155"/>
      <c r="Q123" s="2155"/>
      <c r="R123" s="2155"/>
      <c r="S123" s="2155"/>
      <c r="T123" s="2155"/>
      <c r="U123" s="2155"/>
      <c r="V123" s="2155"/>
      <c r="W123" s="2155"/>
      <c r="X123" s="2155"/>
      <c r="Y123" s="2155"/>
      <c r="Z123" s="2155"/>
      <c r="AA123" s="2155"/>
      <c r="AB123" s="2155"/>
      <c r="AC123" s="2155"/>
    </row>
    <row r="124" spans="1:29">
      <c r="A124" s="2155"/>
      <c r="B124" s="2155"/>
      <c r="C124" s="2155"/>
      <c r="D124" s="2155"/>
      <c r="E124" s="2155"/>
      <c r="F124" s="2155"/>
      <c r="G124" s="2155"/>
      <c r="H124" s="2155"/>
      <c r="I124" s="2155"/>
      <c r="J124" s="2155"/>
      <c r="K124" s="2156"/>
      <c r="L124" s="2157"/>
      <c r="M124" s="2155"/>
      <c r="N124" s="2155"/>
      <c r="O124" s="2155"/>
      <c r="P124" s="2155"/>
      <c r="Q124" s="2155"/>
      <c r="R124" s="2155"/>
      <c r="S124" s="2155"/>
      <c r="T124" s="2155"/>
      <c r="U124" s="2155"/>
      <c r="V124" s="2155"/>
      <c r="W124" s="2155"/>
      <c r="X124" s="2155"/>
      <c r="Y124" s="2155"/>
      <c r="Z124" s="2155"/>
      <c r="AA124" s="2155"/>
      <c r="AB124" s="2155"/>
      <c r="AC124" s="2155"/>
    </row>
    <row r="125" spans="1:29">
      <c r="A125" s="2155"/>
      <c r="B125" s="2155"/>
      <c r="C125" s="2155"/>
      <c r="D125" s="2155"/>
      <c r="E125" s="2155"/>
      <c r="F125" s="2155"/>
      <c r="G125" s="2155"/>
      <c r="H125" s="2155"/>
      <c r="I125" s="2155"/>
      <c r="J125" s="2155"/>
      <c r="K125" s="2156"/>
      <c r="L125" s="2157"/>
      <c r="M125" s="2155"/>
      <c r="N125" s="2155"/>
      <c r="O125" s="2155"/>
      <c r="P125" s="2155"/>
      <c r="Q125" s="2155"/>
      <c r="R125" s="2155"/>
      <c r="S125" s="2155"/>
      <c r="T125" s="2155"/>
      <c r="U125" s="2155"/>
      <c r="V125" s="2155"/>
      <c r="W125" s="2155"/>
      <c r="X125" s="2155"/>
      <c r="Y125" s="2155"/>
      <c r="Z125" s="2155"/>
      <c r="AA125" s="2155"/>
      <c r="AB125" s="2155"/>
      <c r="AC125" s="2155"/>
    </row>
    <row r="126" spans="1:29">
      <c r="A126" s="2155"/>
      <c r="B126" s="2155"/>
      <c r="C126" s="2155"/>
      <c r="D126" s="2155"/>
      <c r="E126" s="2155"/>
      <c r="F126" s="2155"/>
      <c r="G126" s="2155"/>
      <c r="H126" s="2155"/>
      <c r="I126" s="2155"/>
      <c r="J126" s="2155"/>
      <c r="K126" s="2156"/>
      <c r="L126" s="2157"/>
      <c r="M126" s="2155"/>
      <c r="N126" s="2155"/>
      <c r="O126" s="2155"/>
      <c r="P126" s="2155"/>
      <c r="Q126" s="2155"/>
      <c r="R126" s="2155"/>
      <c r="S126" s="2155"/>
      <c r="T126" s="2155"/>
      <c r="U126" s="2155"/>
      <c r="V126" s="2155"/>
      <c r="W126" s="2155"/>
      <c r="X126" s="2155"/>
      <c r="Y126" s="2155"/>
      <c r="Z126" s="2155"/>
      <c r="AA126" s="2155"/>
      <c r="AB126" s="2155"/>
      <c r="AC126" s="2155"/>
    </row>
    <row r="127" spans="1:29">
      <c r="A127" s="2155"/>
      <c r="B127" s="2155"/>
      <c r="C127" s="2155"/>
      <c r="D127" s="2155"/>
      <c r="E127" s="2155"/>
      <c r="F127" s="2155"/>
      <c r="G127" s="2155"/>
      <c r="H127" s="2155"/>
      <c r="I127" s="2155"/>
      <c r="J127" s="2155"/>
      <c r="K127" s="2156"/>
      <c r="L127" s="2157"/>
      <c r="M127" s="2155"/>
      <c r="N127" s="2155"/>
      <c r="O127" s="2155"/>
      <c r="P127" s="2155"/>
      <c r="Q127" s="2155"/>
      <c r="R127" s="2155"/>
      <c r="S127" s="2155"/>
      <c r="T127" s="2155"/>
      <c r="U127" s="2155"/>
      <c r="V127" s="2155"/>
      <c r="W127" s="2155"/>
      <c r="X127" s="2155"/>
      <c r="Y127" s="2155"/>
      <c r="Z127" s="2155"/>
      <c r="AA127" s="2155"/>
      <c r="AB127" s="2155"/>
      <c r="AC127" s="2155"/>
    </row>
    <row r="128" spans="1:29">
      <c r="A128" s="2155"/>
      <c r="B128" s="2155"/>
      <c r="C128" s="2155"/>
      <c r="D128" s="2155"/>
      <c r="E128" s="2155"/>
      <c r="F128" s="2155"/>
      <c r="G128" s="2155"/>
      <c r="H128" s="2155"/>
      <c r="I128" s="2155"/>
      <c r="J128" s="2155"/>
      <c r="K128" s="2156"/>
      <c r="L128" s="2157"/>
      <c r="M128" s="2155"/>
      <c r="N128" s="2155"/>
      <c r="O128" s="2155"/>
      <c r="P128" s="2155"/>
      <c r="Q128" s="2155"/>
      <c r="R128" s="2155"/>
      <c r="S128" s="2155"/>
      <c r="T128" s="2155"/>
      <c r="U128" s="2155"/>
      <c r="V128" s="2155"/>
      <c r="W128" s="2155"/>
      <c r="X128" s="2155"/>
      <c r="Y128" s="2155"/>
      <c r="Z128" s="2155"/>
      <c r="AA128" s="2155"/>
      <c r="AB128" s="2155"/>
      <c r="AC128" s="2155"/>
    </row>
    <row r="129" spans="1:29">
      <c r="A129" s="2155"/>
      <c r="B129" s="2155"/>
      <c r="C129" s="2155"/>
      <c r="D129" s="2155"/>
      <c r="E129" s="2155"/>
      <c r="F129" s="2155"/>
      <c r="G129" s="2155"/>
      <c r="H129" s="2155"/>
      <c r="I129" s="2155"/>
      <c r="J129" s="2155"/>
      <c r="K129" s="2156"/>
      <c r="L129" s="2157"/>
      <c r="M129" s="2155"/>
      <c r="N129" s="2155"/>
      <c r="O129" s="2155"/>
      <c r="P129" s="2155"/>
      <c r="Q129" s="2155"/>
      <c r="R129" s="2155"/>
      <c r="S129" s="2155"/>
      <c r="T129" s="2155"/>
      <c r="U129" s="2155"/>
      <c r="V129" s="2155"/>
      <c r="W129" s="2155"/>
      <c r="X129" s="2155"/>
      <c r="Y129" s="2155"/>
      <c r="Z129" s="2155"/>
      <c r="AA129" s="2155"/>
      <c r="AB129" s="2155"/>
      <c r="AC129" s="2155"/>
    </row>
    <row r="130" spans="1:29">
      <c r="A130" s="2155"/>
      <c r="B130" s="2155"/>
      <c r="C130" s="2155"/>
      <c r="D130" s="2155"/>
      <c r="E130" s="2155"/>
      <c r="F130" s="2155"/>
      <c r="G130" s="2155"/>
      <c r="H130" s="2155"/>
      <c r="I130" s="2155"/>
      <c r="J130" s="2155"/>
      <c r="K130" s="2156"/>
      <c r="L130" s="2157"/>
      <c r="M130" s="2155"/>
      <c r="N130" s="2155"/>
      <c r="O130" s="2155"/>
      <c r="P130" s="2155"/>
      <c r="Q130" s="2155"/>
      <c r="R130" s="2155"/>
      <c r="S130" s="2155"/>
      <c r="T130" s="2155"/>
      <c r="U130" s="2155"/>
      <c r="V130" s="2155"/>
      <c r="W130" s="2155"/>
      <c r="X130" s="2155"/>
      <c r="Y130" s="2155"/>
      <c r="Z130" s="2155"/>
      <c r="AA130" s="2155"/>
      <c r="AB130" s="2155"/>
      <c r="AC130" s="2155"/>
    </row>
    <row r="131" spans="1:29">
      <c r="A131" s="2155"/>
      <c r="B131" s="2155"/>
      <c r="C131" s="2155"/>
      <c r="D131" s="2155"/>
      <c r="E131" s="2155"/>
      <c r="F131" s="2155"/>
      <c r="G131" s="2155"/>
      <c r="H131" s="2155"/>
      <c r="I131" s="2155"/>
      <c r="J131" s="2155"/>
      <c r="K131" s="2156"/>
      <c r="L131" s="2157"/>
      <c r="M131" s="2155"/>
      <c r="N131" s="2155"/>
      <c r="O131" s="2155"/>
      <c r="P131" s="2155"/>
      <c r="Q131" s="2155"/>
      <c r="R131" s="2155"/>
      <c r="S131" s="2155"/>
      <c r="T131" s="2155"/>
      <c r="U131" s="2155"/>
      <c r="V131" s="2155"/>
      <c r="W131" s="2155"/>
      <c r="X131" s="2155"/>
      <c r="Y131" s="2155"/>
      <c r="Z131" s="2155"/>
      <c r="AA131" s="2155"/>
      <c r="AB131" s="2155"/>
      <c r="AC131" s="2155"/>
    </row>
    <row r="132" spans="1:29">
      <c r="A132" s="2155"/>
      <c r="B132" s="2155"/>
      <c r="C132" s="2155"/>
      <c r="D132" s="2155"/>
      <c r="E132" s="2155"/>
      <c r="F132" s="2155"/>
      <c r="G132" s="2155"/>
      <c r="H132" s="2155"/>
      <c r="I132" s="2155"/>
      <c r="J132" s="2155"/>
      <c r="K132" s="2156"/>
      <c r="L132" s="2157"/>
      <c r="M132" s="2155"/>
      <c r="N132" s="2155"/>
      <c r="O132" s="2155"/>
      <c r="P132" s="2155"/>
      <c r="Q132" s="2155"/>
      <c r="R132" s="2155"/>
      <c r="S132" s="2155"/>
      <c r="T132" s="2155"/>
      <c r="U132" s="2155"/>
      <c r="V132" s="2155"/>
      <c r="W132" s="2155"/>
      <c r="X132" s="2155"/>
      <c r="Y132" s="2155"/>
      <c r="Z132" s="2155"/>
      <c r="AA132" s="2155"/>
      <c r="AB132" s="2155"/>
      <c r="AC132" s="2155"/>
    </row>
    <row r="133" spans="1:29">
      <c r="A133" s="2155"/>
      <c r="B133" s="2155"/>
      <c r="C133" s="2155"/>
      <c r="D133" s="2155"/>
      <c r="E133" s="2155"/>
      <c r="F133" s="2155"/>
      <c r="G133" s="2155"/>
      <c r="H133" s="2155"/>
      <c r="I133" s="2155"/>
      <c r="J133" s="2155"/>
      <c r="K133" s="2156"/>
      <c r="L133" s="2157"/>
      <c r="M133" s="2155"/>
      <c r="N133" s="2155"/>
      <c r="O133" s="2155"/>
      <c r="P133" s="2155"/>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55"/>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ColWidth="9" defaultRowHeight="14.25"/>
  <cols>
    <col min="1" max="1" width="10.5" style="1323" customWidth="1"/>
    <col min="2" max="2" width="15.625" style="1323" customWidth="1"/>
    <col min="3" max="3" width="14.375" style="1323" customWidth="1"/>
    <col min="4" max="4" width="12.125" style="1323" customWidth="1"/>
    <col min="5" max="5" width="14.375" style="1323" customWidth="1"/>
    <col min="6" max="6" width="12.125" style="1323" customWidth="1"/>
    <col min="7" max="7" width="14.5" style="1323" customWidth="1"/>
    <col min="8" max="8" width="12.125" style="1323" customWidth="1"/>
    <col min="9" max="9" width="14.5" style="1323" customWidth="1"/>
    <col min="10" max="10" width="12.125" style="1323" customWidth="1"/>
    <col min="11" max="11" width="12.125" style="1329" customWidth="1"/>
    <col min="12" max="12" width="12.125" style="1330" customWidth="1"/>
    <col min="13" max="15" width="12.125" style="1323" customWidth="1"/>
    <col min="16" max="16" width="4.625" style="1323" customWidth="1"/>
    <col min="17" max="17" width="19.5" style="1323" customWidth="1"/>
    <col min="18" max="22" width="6.125" style="1323" customWidth="1"/>
    <col min="23" max="23" width="5.625" style="1323" customWidth="1"/>
    <col min="24" max="24" width="4.125" style="1323" customWidth="1"/>
    <col min="25" max="25" width="3.5" style="1323" customWidth="1"/>
    <col min="26" max="26" width="19.625" style="1323" customWidth="1"/>
    <col min="27" max="28" width="9.375" style="1323" customWidth="1"/>
    <col min="29" max="16384" width="9" style="1323"/>
  </cols>
  <sheetData>
    <row r="1" spans="1:29" s="1322" customFormat="1" ht="28.5" customHeight="1">
      <c r="A1" s="502" t="s">
        <v>717</v>
      </c>
      <c r="B1" s="914"/>
      <c r="C1" s="504" t="s">
        <v>770</v>
      </c>
      <c r="D1" s="849"/>
      <c r="E1" s="506"/>
      <c r="F1" s="2737"/>
      <c r="G1" s="1577" t="s">
        <v>771</v>
      </c>
      <c r="H1" s="506"/>
      <c r="I1" s="506"/>
      <c r="J1" s="506"/>
      <c r="K1" s="507"/>
      <c r="L1" s="1539"/>
      <c r="M1" s="1540"/>
      <c r="N1" s="1540"/>
      <c r="O1" s="1540"/>
      <c r="P1" s="1541"/>
      <c r="Q1" s="1541"/>
      <c r="R1" s="1541"/>
      <c r="S1" s="1541"/>
      <c r="T1" s="1541"/>
      <c r="U1" s="1541"/>
      <c r="V1" s="1541"/>
      <c r="W1" s="1541"/>
      <c r="X1" s="1541"/>
      <c r="Y1" s="1541"/>
      <c r="Z1" s="1541"/>
      <c r="AA1" s="1541"/>
      <c r="AB1" s="1541"/>
      <c r="AC1" s="1542"/>
    </row>
    <row r="2" spans="1:29" s="1322" customFormat="1" ht="28.5" customHeight="1">
      <c r="A2" s="423" t="s">
        <v>772</v>
      </c>
      <c r="B2" s="850" t="e">
        <f>ROUND(B3*D3/10000,0)</f>
        <v>#DIV/0!</v>
      </c>
      <c r="C2" s="2103"/>
      <c r="D2" s="2103"/>
      <c r="E2" s="2104"/>
      <c r="F2" s="2105"/>
      <c r="G2" s="2104"/>
      <c r="H2" s="2104"/>
      <c r="I2" s="2104"/>
      <c r="J2" s="2104"/>
      <c r="K2" s="2106"/>
      <c r="L2" s="2107"/>
      <c r="M2" s="2108"/>
      <c r="N2" s="2108"/>
      <c r="O2" s="2108"/>
      <c r="P2" s="1541"/>
      <c r="Q2" s="1541"/>
      <c r="R2" s="1541"/>
      <c r="S2" s="1541"/>
      <c r="T2" s="1541"/>
      <c r="U2" s="1541"/>
      <c r="V2" s="1541"/>
      <c r="W2" s="1541"/>
      <c r="X2" s="1541"/>
      <c r="Y2" s="1541"/>
      <c r="Z2" s="1541"/>
      <c r="AA2" s="1541"/>
      <c r="AB2" s="1541"/>
      <c r="AC2" s="1542"/>
    </row>
    <row r="3" spans="1:29" s="1322" customFormat="1" ht="28.5" customHeight="1" thickBot="1">
      <c r="A3" s="509" t="s">
        <v>773</v>
      </c>
      <c r="B3" s="510" t="e">
        <f>C37</f>
        <v>#DIV/0!</v>
      </c>
      <c r="C3" s="852" t="s">
        <v>774</v>
      </c>
      <c r="D3" s="851">
        <f>SUMIF('数据-汇总表'!$C19:$C33,D1,'数据-汇总表'!$E19:$E33)</f>
        <v>0</v>
      </c>
      <c r="E3" s="2104"/>
      <c r="F3" s="2105"/>
      <c r="G3" s="2104"/>
      <c r="H3" s="2104"/>
      <c r="I3" s="2104"/>
      <c r="J3" s="2104"/>
      <c r="K3" s="2106"/>
      <c r="L3" s="2107"/>
      <c r="M3" s="2108"/>
      <c r="N3" s="2108"/>
      <c r="O3" s="2108"/>
      <c r="P3" s="1541"/>
      <c r="Q3" s="1541"/>
      <c r="R3" s="1541"/>
      <c r="S3" s="1541"/>
      <c r="T3" s="1541"/>
      <c r="U3" s="1541"/>
      <c r="V3" s="1541"/>
      <c r="W3" s="1541"/>
      <c r="X3" s="1541"/>
      <c r="Y3" s="1541"/>
      <c r="Z3" s="1541"/>
      <c r="AA3" s="1541"/>
      <c r="AB3" s="1543"/>
      <c r="AC3" s="428"/>
    </row>
    <row r="4" spans="1:29" ht="15">
      <c r="A4" s="512" t="s">
        <v>775</v>
      </c>
      <c r="B4" s="513"/>
      <c r="C4" s="3795" t="s">
        <v>776</v>
      </c>
      <c r="D4" s="3796"/>
      <c r="E4" s="3819" t="s">
        <v>777</v>
      </c>
      <c r="F4" s="3820"/>
      <c r="G4" s="3795" t="s">
        <v>778</v>
      </c>
      <c r="H4" s="3796"/>
      <c r="I4" s="3795" t="s">
        <v>779</v>
      </c>
      <c r="J4" s="3796"/>
      <c r="K4" s="514" t="s">
        <v>780</v>
      </c>
      <c r="L4" s="2109"/>
      <c r="M4" s="2110"/>
      <c r="N4" s="2110"/>
      <c r="O4" s="2110"/>
      <c r="P4" s="3797" t="s">
        <v>781</v>
      </c>
      <c r="Q4" s="3798"/>
      <c r="R4" s="3783" t="s">
        <v>777</v>
      </c>
      <c r="S4" s="3784"/>
      <c r="T4" s="3783" t="s">
        <v>778</v>
      </c>
      <c r="U4" s="3784"/>
      <c r="V4" s="3803" t="s">
        <v>779</v>
      </c>
      <c r="W4" s="3803"/>
      <c r="X4" s="1544"/>
      <c r="Y4" s="3783" t="s">
        <v>781</v>
      </c>
      <c r="Z4" s="3784"/>
      <c r="AA4" s="3778" t="s">
        <v>777</v>
      </c>
      <c r="AB4" s="3779" t="s">
        <v>778</v>
      </c>
      <c r="AC4" s="3778" t="s">
        <v>779</v>
      </c>
    </row>
    <row r="5" spans="1:29" ht="15">
      <c r="A5" s="515"/>
      <c r="B5" s="516"/>
      <c r="C5" s="3806" t="s">
        <v>2905</v>
      </c>
      <c r="D5" s="3807"/>
      <c r="E5" s="3821" t="s">
        <v>2906</v>
      </c>
      <c r="F5" s="3822"/>
      <c r="G5" s="3806" t="s">
        <v>2907</v>
      </c>
      <c r="H5" s="3807"/>
      <c r="I5" s="3806" t="s">
        <v>2908</v>
      </c>
      <c r="J5" s="3807"/>
      <c r="K5" s="514"/>
      <c r="L5" s="2109"/>
      <c r="M5" s="2110"/>
      <c r="N5" s="2110"/>
      <c r="O5" s="2110"/>
      <c r="P5" s="3799"/>
      <c r="Q5" s="3800"/>
      <c r="R5" s="3785"/>
      <c r="S5" s="3786"/>
      <c r="T5" s="3785"/>
      <c r="U5" s="3786"/>
      <c r="V5" s="3803"/>
      <c r="W5" s="3803"/>
      <c r="X5" s="1544"/>
      <c r="Y5" s="3785"/>
      <c r="Z5" s="3786"/>
      <c r="AA5" s="3779"/>
      <c r="AB5" s="3779"/>
      <c r="AC5" s="3779"/>
    </row>
    <row r="6" spans="1:29" ht="15.75" thickBot="1">
      <c r="A6" s="517"/>
      <c r="B6" s="518"/>
      <c r="C6" s="3804" t="s">
        <v>2909</v>
      </c>
      <c r="D6" s="3805"/>
      <c r="E6" s="3823" t="s">
        <v>2909</v>
      </c>
      <c r="F6" s="3824"/>
      <c r="G6" s="3804" t="s">
        <v>2909</v>
      </c>
      <c r="H6" s="3805"/>
      <c r="I6" s="3804" t="s">
        <v>2909</v>
      </c>
      <c r="J6" s="3805"/>
      <c r="K6" s="514" t="s">
        <v>527</v>
      </c>
      <c r="L6" s="2109"/>
      <c r="M6" s="2110"/>
      <c r="N6" s="2110"/>
      <c r="O6" s="2110"/>
      <c r="P6" s="3801"/>
      <c r="Q6" s="3802"/>
      <c r="R6" s="3785"/>
      <c r="S6" s="3786"/>
      <c r="T6" s="3787"/>
      <c r="U6" s="3788"/>
      <c r="V6" s="3803"/>
      <c r="W6" s="3803"/>
      <c r="X6" s="1544"/>
      <c r="Y6" s="3787"/>
      <c r="Z6" s="3788"/>
      <c r="AA6" s="3780"/>
      <c r="AB6" s="3780"/>
      <c r="AC6" s="3780"/>
    </row>
    <row r="7" spans="1:29" s="1206" customFormat="1" ht="15.75" thickBot="1">
      <c r="A7" s="2842"/>
      <c r="B7" s="2849" t="s">
        <v>528</v>
      </c>
      <c r="C7" s="519">
        <f>'数据-取费表'!B2</f>
        <v>43933</v>
      </c>
      <c r="D7" s="520">
        <v>100</v>
      </c>
      <c r="E7" s="521"/>
      <c r="F7" s="522">
        <f>SUMIF(46:46,YEAR(E7)&amp;"-"&amp;MONTH(E7),47:47)</f>
        <v>0</v>
      </c>
      <c r="G7" s="523"/>
      <c r="H7" s="520">
        <f>SUMIF(46:46,YEAR(G7)&amp;"-"&amp;MONTH(G7),47:47)</f>
        <v>0</v>
      </c>
      <c r="I7" s="523"/>
      <c r="J7" s="520">
        <f>SUMIF(46:46,YEAR(I7)&amp;"-"&amp;MONTH(I7),47:47)</f>
        <v>0</v>
      </c>
      <c r="K7" s="524"/>
      <c r="L7" s="2111"/>
      <c r="M7" s="2112"/>
      <c r="N7" s="2112"/>
      <c r="O7" s="2112"/>
      <c r="P7" s="3781" t="s">
        <v>529</v>
      </c>
      <c r="Q7" s="3790"/>
      <c r="R7" s="1545" t="s">
        <v>8</v>
      </c>
      <c r="S7" s="1546">
        <f t="shared" ref="S7:S14" si="0">F7</f>
        <v>0</v>
      </c>
      <c r="T7" s="1545" t="s">
        <v>8</v>
      </c>
      <c r="U7" s="1546">
        <f t="shared" ref="U7:U14" si="1">H7</f>
        <v>0</v>
      </c>
      <c r="V7" s="1545" t="s">
        <v>8</v>
      </c>
      <c r="W7" s="1546">
        <f t="shared" ref="W7:W14" si="2">J7</f>
        <v>0</v>
      </c>
      <c r="X7" s="1547"/>
      <c r="Y7" s="3781" t="s">
        <v>529</v>
      </c>
      <c r="Z7" s="3782"/>
      <c r="AA7" s="1548" t="e">
        <f>D7/F7</f>
        <v>#DIV/0!</v>
      </c>
      <c r="AB7" s="1548" t="e">
        <f>D7/H7</f>
        <v>#DIV/0!</v>
      </c>
      <c r="AC7" s="1548" t="e">
        <f>D7/J7</f>
        <v>#DIV/0!</v>
      </c>
    </row>
    <row r="8" spans="1:29" s="1206" customFormat="1" ht="15.75" thickBot="1">
      <c r="A8" s="2843"/>
      <c r="B8" s="2850" t="s">
        <v>530</v>
      </c>
      <c r="C8" s="525" t="s">
        <v>575</v>
      </c>
      <c r="D8" s="520">
        <v>100</v>
      </c>
      <c r="E8" s="525"/>
      <c r="F8" s="522">
        <f>SUMIF(49:49,E8,50:50)-SUMIF(49:49,C8,50:50)+100</f>
        <v>0</v>
      </c>
      <c r="G8" s="525"/>
      <c r="H8" s="520">
        <f>SUMIF(49:49,G8,50:50)-SUMIF(49:49,C8,50:50)+100</f>
        <v>0</v>
      </c>
      <c r="I8" s="525"/>
      <c r="J8" s="520">
        <f>SUMIF(49:49,I8,50:50)-SUMIF(49:49,C8,50:50)+100</f>
        <v>0</v>
      </c>
      <c r="K8" s="524"/>
      <c r="L8" s="2111"/>
      <c r="M8" s="2112"/>
      <c r="N8" s="2112"/>
      <c r="O8" s="2112"/>
      <c r="P8" s="3781" t="s">
        <v>532</v>
      </c>
      <c r="Q8" s="3782"/>
      <c r="R8" s="1545" t="s">
        <v>8</v>
      </c>
      <c r="S8" s="1546">
        <f t="shared" si="0"/>
        <v>0</v>
      </c>
      <c r="T8" s="1545" t="s">
        <v>8</v>
      </c>
      <c r="U8" s="1546">
        <f t="shared" si="1"/>
        <v>0</v>
      </c>
      <c r="V8" s="1545" t="s">
        <v>8</v>
      </c>
      <c r="W8" s="1546">
        <f t="shared" si="2"/>
        <v>0</v>
      </c>
      <c r="X8" s="1547"/>
      <c r="Y8" s="3781" t="s">
        <v>532</v>
      </c>
      <c r="Z8" s="3782"/>
      <c r="AA8" s="1548" t="e">
        <f t="shared" ref="AA8:AA34" si="3">D8/F8</f>
        <v>#DIV/0!</v>
      </c>
      <c r="AB8" s="1548" t="e">
        <f t="shared" ref="AB8:AB34" si="4">D8/H8</f>
        <v>#DIV/0!</v>
      </c>
      <c r="AC8" s="1548" t="e">
        <f t="shared" ref="AC8:AC34" si="5">D8/J8</f>
        <v>#DIV/0!</v>
      </c>
    </row>
    <row r="9" spans="1:29" s="1206" customFormat="1" ht="15">
      <c r="A9" s="2844"/>
      <c r="B9" s="2851" t="s">
        <v>2730</v>
      </c>
      <c r="C9" s="857"/>
      <c r="D9" s="254">
        <v>100</v>
      </c>
      <c r="E9" s="860"/>
      <c r="F9" s="254">
        <f>SUMIF(51:51,E9,52:52)-SUMIF(51:51,C9,52:52)+100</f>
        <v>100</v>
      </c>
      <c r="G9" s="860"/>
      <c r="H9" s="254">
        <f>SUMIF(51:51,G9,52:52)-SUMIF(51:51,C9,52:52)+100</f>
        <v>100</v>
      </c>
      <c r="I9" s="860"/>
      <c r="J9" s="254">
        <f>SUMIF(51:51,I9,52:52)-SUMIF(51:51,C9,52:52)+100</f>
        <v>100</v>
      </c>
      <c r="K9" s="524"/>
      <c r="L9" s="2111"/>
      <c r="M9" s="2112"/>
      <c r="N9" s="2112"/>
      <c r="O9" s="2113"/>
      <c r="P9" s="3789" t="s">
        <v>534</v>
      </c>
      <c r="Q9" s="1138" t="str">
        <f t="shared" ref="Q9:Q14" si="6">B9</f>
        <v>用途</v>
      </c>
      <c r="R9" s="1545" t="s">
        <v>8</v>
      </c>
      <c r="S9" s="1546">
        <f t="shared" si="0"/>
        <v>100</v>
      </c>
      <c r="T9" s="1545" t="s">
        <v>8</v>
      </c>
      <c r="U9" s="1546">
        <f t="shared" si="1"/>
        <v>100</v>
      </c>
      <c r="V9" s="1545" t="s">
        <v>8</v>
      </c>
      <c r="W9" s="1546">
        <f t="shared" si="2"/>
        <v>100</v>
      </c>
      <c r="X9" s="1547"/>
      <c r="Y9" s="3746" t="s">
        <v>535</v>
      </c>
      <c r="Z9" s="1137" t="str">
        <f t="shared" ref="Z9:Z14" si="7">Q9</f>
        <v>用途</v>
      </c>
      <c r="AA9" s="1548">
        <f t="shared" si="3"/>
        <v>1</v>
      </c>
      <c r="AB9" s="1548">
        <f t="shared" si="4"/>
        <v>1</v>
      </c>
      <c r="AC9" s="1548">
        <f t="shared" si="5"/>
        <v>1</v>
      </c>
    </row>
    <row r="10" spans="1:29" s="1324" customFormat="1" ht="27">
      <c r="A10" s="2845"/>
      <c r="B10" s="2850" t="s">
        <v>2731</v>
      </c>
      <c r="C10" s="861"/>
      <c r="D10" s="255">
        <v>100</v>
      </c>
      <c r="E10" s="861"/>
      <c r="F10" s="255">
        <f>SUMIF(53:53,E10,54:54)-SUMIF(53:53,C10,54:54)+100</f>
        <v>100</v>
      </c>
      <c r="G10" s="862"/>
      <c r="H10" s="255">
        <f>SUMIF(53:53,G10,54:54)-SUMIF(53:53,C10,54:54)+100</f>
        <v>100</v>
      </c>
      <c r="I10" s="861"/>
      <c r="J10" s="255">
        <f>SUMIF(53:53,I10,54:54)-SUMIF(53:53,C10,54:54)+100</f>
        <v>100</v>
      </c>
      <c r="K10" s="584"/>
      <c r="L10" s="2114"/>
      <c r="M10" s="2154"/>
      <c r="N10" s="2154"/>
      <c r="O10" s="2115"/>
      <c r="P10" s="3789"/>
      <c r="Q10" s="1138" t="str">
        <f t="shared" si="6"/>
        <v>土地使用年限（年）</v>
      </c>
      <c r="R10" s="1545" t="s">
        <v>8</v>
      </c>
      <c r="S10" s="1546">
        <f t="shared" si="0"/>
        <v>100</v>
      </c>
      <c r="T10" s="1545" t="s">
        <v>8</v>
      </c>
      <c r="U10" s="1546">
        <f t="shared" si="1"/>
        <v>100</v>
      </c>
      <c r="V10" s="1545" t="s">
        <v>8</v>
      </c>
      <c r="W10" s="1546">
        <f t="shared" si="2"/>
        <v>100</v>
      </c>
      <c r="X10" s="1547"/>
      <c r="Y10" s="3746"/>
      <c r="Z10" s="1137" t="str">
        <f t="shared" si="7"/>
        <v>土地使用年限（年）</v>
      </c>
      <c r="AA10" s="1548">
        <f t="shared" si="3"/>
        <v>1</v>
      </c>
      <c r="AB10" s="1548">
        <f t="shared" si="4"/>
        <v>1</v>
      </c>
      <c r="AC10" s="1548">
        <f t="shared" si="5"/>
        <v>1</v>
      </c>
    </row>
    <row r="11" spans="1:29" ht="15">
      <c r="A11" s="2847"/>
      <c r="B11" s="2853">
        <v>111</v>
      </c>
      <c r="C11" s="528"/>
      <c r="D11" s="255">
        <v>100</v>
      </c>
      <c r="E11" s="880"/>
      <c r="F11" s="255">
        <f>SUMIF(55:55,E11,56:56)-SUMIF(55:55,C11,56:56)+100</f>
        <v>100</v>
      </c>
      <c r="G11" s="880"/>
      <c r="H11" s="255">
        <f>SUMIF(55:55,G11,56:56)-SUMIF(55:55,C11,56:56)+100</f>
        <v>100</v>
      </c>
      <c r="I11" s="880"/>
      <c r="J11" s="255">
        <f>SUMIF(55:55,I11,56:56)-SUMIF(55:55,C11,56:56)+100</f>
        <v>100</v>
      </c>
      <c r="K11" s="581"/>
      <c r="L11" s="2116"/>
      <c r="M11" s="2110"/>
      <c r="N11" s="2110"/>
      <c r="O11" s="2117"/>
      <c r="P11" s="3789"/>
      <c r="Q11" s="1138">
        <f t="shared" si="6"/>
        <v>111</v>
      </c>
      <c r="R11" s="1545" t="s">
        <v>8</v>
      </c>
      <c r="S11" s="1546">
        <f t="shared" si="0"/>
        <v>100</v>
      </c>
      <c r="T11" s="1545" t="s">
        <v>8</v>
      </c>
      <c r="U11" s="1546">
        <f t="shared" si="1"/>
        <v>100</v>
      </c>
      <c r="V11" s="1545" t="s">
        <v>8</v>
      </c>
      <c r="W11" s="1546">
        <f t="shared" si="2"/>
        <v>100</v>
      </c>
      <c r="X11" s="1547"/>
      <c r="Y11" s="3746"/>
      <c r="Z11" s="1137">
        <f t="shared" si="7"/>
        <v>111</v>
      </c>
      <c r="AA11" s="1548">
        <f t="shared" si="3"/>
        <v>1</v>
      </c>
      <c r="AB11" s="1548">
        <f t="shared" si="4"/>
        <v>1</v>
      </c>
      <c r="AC11" s="1548">
        <f t="shared" si="5"/>
        <v>1</v>
      </c>
    </row>
    <row r="12" spans="1:29" s="1206" customFormat="1" ht="15">
      <c r="A12" s="2847"/>
      <c r="B12" s="2853">
        <v>111</v>
      </c>
      <c r="C12" s="528"/>
      <c r="D12" s="538">
        <v>100</v>
      </c>
      <c r="E12" s="880"/>
      <c r="F12" s="255">
        <f>SUMIF(57:57,E12,58:58)-SUMIF(57:57,C12,58:58)+100</f>
        <v>100</v>
      </c>
      <c r="G12" s="880"/>
      <c r="H12" s="255">
        <f>SUMIF(57:57,G12,58:58)-SUMIF(57:57,C12,58:58)+100</f>
        <v>100</v>
      </c>
      <c r="I12" s="880"/>
      <c r="J12" s="255">
        <f>SUMIF(57:57,I12,58:58)-SUMIF(57:57,C12,58:58)+100</f>
        <v>100</v>
      </c>
      <c r="K12" s="581"/>
      <c r="L12" s="2111"/>
      <c r="M12" s="2112"/>
      <c r="N12" s="2112"/>
      <c r="O12" s="2113"/>
      <c r="P12" s="3789"/>
      <c r="Q12" s="1138">
        <f t="shared" si="6"/>
        <v>111</v>
      </c>
      <c r="R12" s="1545" t="s">
        <v>8</v>
      </c>
      <c r="S12" s="1546">
        <f t="shared" si="0"/>
        <v>100</v>
      </c>
      <c r="T12" s="1545" t="s">
        <v>8</v>
      </c>
      <c r="U12" s="1546">
        <f t="shared" si="1"/>
        <v>100</v>
      </c>
      <c r="V12" s="1545" t="s">
        <v>8</v>
      </c>
      <c r="W12" s="1546">
        <f t="shared" si="2"/>
        <v>100</v>
      </c>
      <c r="X12" s="1547"/>
      <c r="Y12" s="3746"/>
      <c r="Z12" s="1137">
        <f t="shared" si="7"/>
        <v>111</v>
      </c>
      <c r="AA12" s="1548">
        <f>D12/F12</f>
        <v>1</v>
      </c>
      <c r="AB12" s="1548">
        <f>D12/H12</f>
        <v>1</v>
      </c>
      <c r="AC12" s="1548">
        <f>D12/J12</f>
        <v>1</v>
      </c>
    </row>
    <row r="13" spans="1:29" ht="15.75" thickBot="1">
      <c r="A13" s="2848"/>
      <c r="B13" s="2854">
        <v>111</v>
      </c>
      <c r="C13" s="539"/>
      <c r="D13" s="540">
        <v>100</v>
      </c>
      <c r="E13" s="880"/>
      <c r="F13" s="255">
        <f>SUMIF(59:59,E13,60:60)-SUMIF(59:59,C13,60:60)+100</f>
        <v>100</v>
      </c>
      <c r="G13" s="880"/>
      <c r="H13" s="540">
        <f>SUMIF(59:59,G13,60:60)-SUMIF(59:59,C13,60:60)+100</f>
        <v>100</v>
      </c>
      <c r="I13" s="880"/>
      <c r="J13" s="540">
        <f>SUMIF(59:59,I13,60:60)-SUMIF(59:59,C13,60:60)+100</f>
        <v>100</v>
      </c>
      <c r="K13" s="581"/>
      <c r="L13" s="2118"/>
      <c r="M13" s="2110"/>
      <c r="N13" s="2110"/>
      <c r="O13" s="2117"/>
      <c r="P13" s="3789"/>
      <c r="Q13" s="1138">
        <f t="shared" si="6"/>
        <v>111</v>
      </c>
      <c r="R13" s="1545" t="s">
        <v>8</v>
      </c>
      <c r="S13" s="1546">
        <f t="shared" si="0"/>
        <v>100</v>
      </c>
      <c r="T13" s="1545" t="s">
        <v>8</v>
      </c>
      <c r="U13" s="1546">
        <f t="shared" si="1"/>
        <v>100</v>
      </c>
      <c r="V13" s="1545" t="s">
        <v>8</v>
      </c>
      <c r="W13" s="1546">
        <f t="shared" si="2"/>
        <v>100</v>
      </c>
      <c r="X13" s="1547"/>
      <c r="Y13" s="3746"/>
      <c r="Z13" s="1137">
        <f t="shared" si="7"/>
        <v>111</v>
      </c>
      <c r="AA13" s="1548">
        <f t="shared" si="3"/>
        <v>1</v>
      </c>
      <c r="AB13" s="1548">
        <f t="shared" si="4"/>
        <v>1</v>
      </c>
      <c r="AC13" s="1548">
        <f t="shared" si="5"/>
        <v>1</v>
      </c>
    </row>
    <row r="14" spans="1:29" ht="85.5">
      <c r="A14" s="2840" t="s">
        <v>2728</v>
      </c>
      <c r="B14" s="166" t="s">
        <v>542</v>
      </c>
      <c r="C14" s="912"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18"/>
      <c r="M14" s="2110"/>
      <c r="N14" s="2110"/>
      <c r="O14" s="2117"/>
      <c r="P14" s="3791" t="s">
        <v>539</v>
      </c>
      <c r="Q14" s="1549" t="str">
        <f t="shared" si="6"/>
        <v>交通便捷度</v>
      </c>
      <c r="R14" s="1550" t="s">
        <v>8</v>
      </c>
      <c r="S14" s="1551">
        <f t="shared" si="0"/>
        <v>100</v>
      </c>
      <c r="T14" s="1550" t="s">
        <v>8</v>
      </c>
      <c r="U14" s="1551">
        <f t="shared" si="1"/>
        <v>100</v>
      </c>
      <c r="V14" s="1550" t="s">
        <v>8</v>
      </c>
      <c r="W14" s="1551">
        <f t="shared" si="2"/>
        <v>100</v>
      </c>
      <c r="X14" s="1544"/>
      <c r="Y14" s="3791" t="s">
        <v>539</v>
      </c>
      <c r="Z14" s="1552" t="str">
        <f t="shared" si="7"/>
        <v>交通便捷度</v>
      </c>
      <c r="AA14" s="1553">
        <f t="shared" si="3"/>
        <v>1</v>
      </c>
      <c r="AB14" s="1553">
        <f t="shared" si="4"/>
        <v>1</v>
      </c>
      <c r="AC14" s="1553">
        <f t="shared" si="5"/>
        <v>1</v>
      </c>
    </row>
    <row r="15" spans="1:29" ht="15">
      <c r="A15" s="532"/>
      <c r="B15" s="869"/>
      <c r="C15" s="576"/>
      <c r="D15" s="555"/>
      <c r="E15" s="576"/>
      <c r="F15" s="557"/>
      <c r="G15" s="576"/>
      <c r="H15" s="559"/>
      <c r="I15" s="576"/>
      <c r="J15" s="555"/>
      <c r="K15" s="899"/>
      <c r="L15" s="2118"/>
      <c r="M15" s="2110"/>
      <c r="N15" s="2110"/>
      <c r="O15" s="2117"/>
      <c r="P15" s="3792"/>
      <c r="Q15" s="1549"/>
      <c r="R15" s="1550"/>
      <c r="S15" s="1551"/>
      <c r="T15" s="1550"/>
      <c r="U15" s="1551"/>
      <c r="V15" s="1550"/>
      <c r="W15" s="1551"/>
      <c r="X15" s="1544"/>
      <c r="Y15" s="3792"/>
      <c r="Z15" s="1552"/>
      <c r="AA15" s="1553">
        <v>1</v>
      </c>
      <c r="AB15" s="1553">
        <v>1</v>
      </c>
      <c r="AC15" s="1553">
        <v>1</v>
      </c>
    </row>
    <row r="16" spans="1:29" ht="42.75">
      <c r="A16" s="532"/>
      <c r="B16" s="2542" t="s">
        <v>2521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18"/>
      <c r="M16" s="2110"/>
      <c r="N16" s="2110"/>
      <c r="O16" s="2117"/>
      <c r="P16" s="3792"/>
      <c r="Q16" s="1549" t="str">
        <f>B16</f>
        <v>公共配套设施</v>
      </c>
      <c r="R16" s="1550" t="s">
        <v>8</v>
      </c>
      <c r="S16" s="1551">
        <f>F16</f>
        <v>100</v>
      </c>
      <c r="T16" s="1550" t="s">
        <v>8</v>
      </c>
      <c r="U16" s="1551">
        <f>H16</f>
        <v>100</v>
      </c>
      <c r="V16" s="1550" t="s">
        <v>8</v>
      </c>
      <c r="W16" s="1551">
        <f>J16</f>
        <v>100</v>
      </c>
      <c r="X16" s="1544"/>
      <c r="Y16" s="3792"/>
      <c r="Z16" s="1552" t="str">
        <f>Q16</f>
        <v>公共配套设施</v>
      </c>
      <c r="AA16" s="1553">
        <f t="shared" si="3"/>
        <v>1</v>
      </c>
      <c r="AB16" s="1553">
        <f t="shared" si="4"/>
        <v>1</v>
      </c>
      <c r="AC16" s="1553">
        <f t="shared" si="5"/>
        <v>1</v>
      </c>
    </row>
    <row r="17" spans="1:29" ht="15">
      <c r="A17" s="532"/>
      <c r="B17" s="566"/>
      <c r="C17" s="873"/>
      <c r="D17" s="555"/>
      <c r="E17" s="576"/>
      <c r="F17" s="557"/>
      <c r="G17" s="576"/>
      <c r="H17" s="555"/>
      <c r="I17" s="576"/>
      <c r="J17" s="555"/>
      <c r="K17" s="899"/>
      <c r="L17" s="2118"/>
      <c r="M17" s="2110"/>
      <c r="N17" s="2110"/>
      <c r="O17" s="2117"/>
      <c r="P17" s="3792"/>
      <c r="Q17" s="1549"/>
      <c r="R17" s="1550"/>
      <c r="S17" s="1551"/>
      <c r="T17" s="1550"/>
      <c r="U17" s="1551"/>
      <c r="V17" s="1550"/>
      <c r="W17" s="1551"/>
      <c r="X17" s="1544"/>
      <c r="Y17" s="3792"/>
      <c r="Z17" s="1552"/>
      <c r="AA17" s="1553">
        <v>1</v>
      </c>
      <c r="AB17" s="1553">
        <v>1</v>
      </c>
      <c r="AC17" s="1553">
        <v>1</v>
      </c>
    </row>
    <row r="18" spans="1:29" ht="28.5">
      <c r="A18" s="532"/>
      <c r="B18" s="2530" t="s">
        <v>2533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18"/>
      <c r="M18" s="2110"/>
      <c r="N18" s="2110"/>
      <c r="O18" s="2117"/>
      <c r="P18" s="3792"/>
      <c r="Q18" s="2518" t="str">
        <f>B18</f>
        <v>基础设施水平</v>
      </c>
      <c r="R18" s="1550" t="s">
        <v>8</v>
      </c>
      <c r="S18" s="1551">
        <f>F18</f>
        <v>100</v>
      </c>
      <c r="T18" s="1550" t="s">
        <v>8</v>
      </c>
      <c r="U18" s="1551">
        <f>H18</f>
        <v>100</v>
      </c>
      <c r="V18" s="1550" t="s">
        <v>8</v>
      </c>
      <c r="W18" s="1551">
        <f>J18</f>
        <v>100</v>
      </c>
      <c r="X18" s="2520"/>
      <c r="Y18" s="3792"/>
      <c r="Z18" s="2519" t="str">
        <f>Q18</f>
        <v>基础设施水平</v>
      </c>
      <c r="AA18" s="1553">
        <f t="shared" ref="AA18" si="8">D18/F18</f>
        <v>1</v>
      </c>
      <c r="AB18" s="1553">
        <f t="shared" ref="AB18" si="9">D18/H18</f>
        <v>1</v>
      </c>
      <c r="AC18" s="1553">
        <f t="shared" ref="AC18" si="10">D18/J18</f>
        <v>1</v>
      </c>
    </row>
    <row r="19" spans="1:29" ht="15">
      <c r="A19" s="532"/>
      <c r="B19" s="578"/>
      <c r="C19" s="873"/>
      <c r="D19" s="559"/>
      <c r="E19" s="873"/>
      <c r="F19" s="563"/>
      <c r="G19" s="873"/>
      <c r="H19" s="555"/>
      <c r="I19" s="576"/>
      <c r="J19" s="555"/>
      <c r="K19" s="2541"/>
      <c r="L19" s="2118"/>
      <c r="M19" s="2110"/>
      <c r="N19" s="2110"/>
      <c r="O19" s="2117"/>
      <c r="P19" s="3792"/>
      <c r="Q19" s="2518"/>
      <c r="R19" s="1550"/>
      <c r="S19" s="1551"/>
      <c r="T19" s="1550"/>
      <c r="U19" s="1551"/>
      <c r="V19" s="1550"/>
      <c r="W19" s="1551"/>
      <c r="X19" s="2520"/>
      <c r="Y19" s="3792"/>
      <c r="Z19" s="2519"/>
      <c r="AA19" s="1553">
        <v>1</v>
      </c>
      <c r="AB19" s="1553">
        <v>1</v>
      </c>
      <c r="AC19" s="1553">
        <v>1</v>
      </c>
    </row>
    <row r="20" spans="1:29" ht="57">
      <c r="A20" s="532"/>
      <c r="B20" s="871" t="s">
        <v>782</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18"/>
      <c r="M20" s="2110"/>
      <c r="N20" s="2110"/>
      <c r="O20" s="2117"/>
      <c r="P20" s="3792"/>
      <c r="Q20" s="1549" t="str">
        <f>B20</f>
        <v>自然及人文环境</v>
      </c>
      <c r="R20" s="1550" t="s">
        <v>8</v>
      </c>
      <c r="S20" s="1551">
        <f>F20</f>
        <v>100</v>
      </c>
      <c r="T20" s="1550" t="s">
        <v>8</v>
      </c>
      <c r="U20" s="1551">
        <f>H20</f>
        <v>100</v>
      </c>
      <c r="V20" s="1550" t="s">
        <v>8</v>
      </c>
      <c r="W20" s="1551">
        <f>J20</f>
        <v>100</v>
      </c>
      <c r="X20" s="1544"/>
      <c r="Y20" s="3792"/>
      <c r="Z20" s="1552" t="str">
        <f>Q20</f>
        <v>自然及人文环境</v>
      </c>
      <c r="AA20" s="1553">
        <f t="shared" si="3"/>
        <v>1</v>
      </c>
      <c r="AB20" s="1553">
        <f t="shared" si="4"/>
        <v>1</v>
      </c>
      <c r="AC20" s="1553">
        <f t="shared" si="5"/>
        <v>1</v>
      </c>
    </row>
    <row r="21" spans="1:29" ht="15">
      <c r="A21" s="532"/>
      <c r="B21" s="595"/>
      <c r="C21" s="576"/>
      <c r="D21" s="555"/>
      <c r="E21" s="576"/>
      <c r="F21" s="557"/>
      <c r="G21" s="576"/>
      <c r="H21" s="555"/>
      <c r="I21" s="576"/>
      <c r="J21" s="555"/>
      <c r="K21" s="899"/>
      <c r="L21" s="2118"/>
      <c r="M21" s="2110"/>
      <c r="N21" s="2110"/>
      <c r="O21" s="2117"/>
      <c r="P21" s="3792"/>
      <c r="Q21" s="1549"/>
      <c r="R21" s="1550"/>
      <c r="S21" s="1551"/>
      <c r="T21" s="1550"/>
      <c r="U21" s="1551"/>
      <c r="V21" s="1550"/>
      <c r="W21" s="1551"/>
      <c r="X21" s="1544"/>
      <c r="Y21" s="3792"/>
      <c r="Z21" s="1552"/>
      <c r="AA21" s="1553">
        <v>1</v>
      </c>
      <c r="AB21" s="1553">
        <v>1</v>
      </c>
      <c r="AC21" s="1553">
        <v>1</v>
      </c>
    </row>
    <row r="22" spans="1:29" ht="15">
      <c r="A22" s="532"/>
      <c r="B22" s="871" t="s">
        <v>783</v>
      </c>
      <c r="C22" s="583"/>
      <c r="D22" s="559">
        <v>100</v>
      </c>
      <c r="E22" s="583"/>
      <c r="F22" s="575">
        <f>SUMIF(69:69,E22,70:70)-SUMIF(69:69,C22,70:70)+100</f>
        <v>100</v>
      </c>
      <c r="G22" s="583"/>
      <c r="H22" s="540">
        <f>SUMIF(69:69,G22,70:70)-SUMIF(69:69,C22,70:70)+100</f>
        <v>100</v>
      </c>
      <c r="I22" s="583"/>
      <c r="J22" s="540">
        <f>SUMIF(69:69,I22,70:70)-SUMIF(69:69,C22,70:70)+100</f>
        <v>100</v>
      </c>
      <c r="K22" s="584"/>
      <c r="L22" s="2118"/>
      <c r="M22" s="2110"/>
      <c r="N22" s="2110"/>
      <c r="O22" s="2117"/>
      <c r="P22" s="3792"/>
      <c r="Q22" s="1549" t="str">
        <f>B22</f>
        <v>楼层</v>
      </c>
      <c r="R22" s="1550" t="s">
        <v>8</v>
      </c>
      <c r="S22" s="1551">
        <f>F22</f>
        <v>100</v>
      </c>
      <c r="T22" s="1550" t="s">
        <v>8</v>
      </c>
      <c r="U22" s="1551">
        <f>H22</f>
        <v>100</v>
      </c>
      <c r="V22" s="1550" t="s">
        <v>8</v>
      </c>
      <c r="W22" s="1551">
        <f>J22</f>
        <v>100</v>
      </c>
      <c r="X22" s="1544"/>
      <c r="Y22" s="3792"/>
      <c r="Z22" s="1552" t="str">
        <f>Q22</f>
        <v>楼层</v>
      </c>
      <c r="AA22" s="1553">
        <f t="shared" si="3"/>
        <v>1</v>
      </c>
      <c r="AB22" s="1553">
        <f t="shared" si="4"/>
        <v>1</v>
      </c>
      <c r="AC22" s="155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18"/>
      <c r="M23" s="2110"/>
      <c r="N23" s="2110"/>
      <c r="O23" s="2117"/>
      <c r="P23" s="3792"/>
      <c r="Q23" s="1549">
        <f>B23</f>
        <v>111</v>
      </c>
      <c r="R23" s="1550" t="s">
        <v>8</v>
      </c>
      <c r="S23" s="1551">
        <f>F23</f>
        <v>100</v>
      </c>
      <c r="T23" s="1550" t="s">
        <v>8</v>
      </c>
      <c r="U23" s="1551">
        <f>H23</f>
        <v>100</v>
      </c>
      <c r="V23" s="1550" t="s">
        <v>8</v>
      </c>
      <c r="W23" s="1551">
        <f>J23</f>
        <v>100</v>
      </c>
      <c r="X23" s="1544"/>
      <c r="Y23" s="3792"/>
      <c r="Z23" s="1552">
        <f>Q23</f>
        <v>111</v>
      </c>
      <c r="AA23" s="1553">
        <f t="shared" si="3"/>
        <v>1</v>
      </c>
      <c r="AB23" s="1553">
        <f t="shared" si="4"/>
        <v>1</v>
      </c>
      <c r="AC23" s="155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18"/>
      <c r="M24" s="2110"/>
      <c r="N24" s="2110"/>
      <c r="O24" s="2117"/>
      <c r="P24" s="3792"/>
      <c r="Q24" s="1549">
        <f t="shared" ref="Q24:Q34" si="11">B24</f>
        <v>111</v>
      </c>
      <c r="R24" s="1550" t="s">
        <v>8</v>
      </c>
      <c r="S24" s="1551">
        <f>F24</f>
        <v>100</v>
      </c>
      <c r="T24" s="1550" t="s">
        <v>8</v>
      </c>
      <c r="U24" s="1551">
        <f>H24</f>
        <v>100</v>
      </c>
      <c r="V24" s="1550" t="s">
        <v>8</v>
      </c>
      <c r="W24" s="1551">
        <f>J24</f>
        <v>100</v>
      </c>
      <c r="X24" s="1544"/>
      <c r="Y24" s="3792"/>
      <c r="Z24" s="1552">
        <f>Q24</f>
        <v>111</v>
      </c>
      <c r="AA24" s="1553">
        <f t="shared" si="3"/>
        <v>1</v>
      </c>
      <c r="AB24" s="1553">
        <f t="shared" si="4"/>
        <v>1</v>
      </c>
      <c r="AC24" s="1553">
        <f t="shared" si="5"/>
        <v>1</v>
      </c>
    </row>
    <row r="25" spans="1:29" s="1206" customFormat="1" ht="15.75" thickBot="1">
      <c r="A25" s="536"/>
      <c r="B25" s="537">
        <v>111</v>
      </c>
      <c r="C25" s="931"/>
      <c r="D25" s="932">
        <v>100</v>
      </c>
      <c r="E25" s="931"/>
      <c r="F25" s="933">
        <f>SUMIF(75:75,E25,76:76)-SUMIF(75:75,C25,76:76)+100</f>
        <v>100</v>
      </c>
      <c r="G25" s="931"/>
      <c r="H25" s="932">
        <f>SUMIF(75:75,G25,76:76)-SUMIF(75:75,C25,76:76)+100</f>
        <v>100</v>
      </c>
      <c r="I25" s="931"/>
      <c r="J25" s="932">
        <f>SUMIF(75:75,I25,76:76)-SUMIF(75:75,C25,76:76)+100</f>
        <v>100</v>
      </c>
      <c r="K25" s="581"/>
      <c r="L25" s="2111"/>
      <c r="M25" s="2112"/>
      <c r="N25" s="2112"/>
      <c r="O25" s="2113"/>
      <c r="P25" s="3792"/>
      <c r="Q25" s="1138">
        <f t="shared" si="11"/>
        <v>111</v>
      </c>
      <c r="R25" s="1545" t="s">
        <v>8</v>
      </c>
      <c r="S25" s="1546">
        <f>F25</f>
        <v>100</v>
      </c>
      <c r="T25" s="1545" t="s">
        <v>8</v>
      </c>
      <c r="U25" s="1546">
        <f>H25</f>
        <v>100</v>
      </c>
      <c r="V25" s="1545" t="s">
        <v>8</v>
      </c>
      <c r="W25" s="1546">
        <f>J25</f>
        <v>100</v>
      </c>
      <c r="X25" s="1547"/>
      <c r="Y25" s="3792"/>
      <c r="Z25" s="1137">
        <f>Q25</f>
        <v>111</v>
      </c>
      <c r="AA25" s="1553">
        <f>D25/F25</f>
        <v>1</v>
      </c>
      <c r="AB25" s="1553">
        <f>D25/H25</f>
        <v>1</v>
      </c>
      <c r="AC25" s="1553">
        <f>D25/J25</f>
        <v>1</v>
      </c>
    </row>
    <row r="26" spans="1:29" ht="15">
      <c r="A26" s="2837" t="s">
        <v>2729</v>
      </c>
      <c r="B26" s="172" t="s">
        <v>786</v>
      </c>
      <c r="C26" s="909"/>
      <c r="D26" s="597">
        <v>100</v>
      </c>
      <c r="E26" s="909"/>
      <c r="F26" s="934">
        <f>SUMIF(77:77,E26,78:78)-SUMIF(77:77,C26,78:78)+100</f>
        <v>100</v>
      </c>
      <c r="G26" s="909"/>
      <c r="H26" s="597">
        <f>SUMIF(77:77,G26,78:78)-SUMIF(77:77,C26,78:78)+100</f>
        <v>100</v>
      </c>
      <c r="I26" s="909"/>
      <c r="J26" s="597">
        <f>SUMIF(77:77,I26,78:78)-SUMIF(77:77,C26,78:78)+100</f>
        <v>100</v>
      </c>
      <c r="K26" s="584"/>
      <c r="L26" s="2118"/>
      <c r="M26" s="2110"/>
      <c r="N26" s="2110"/>
      <c r="O26" s="2117"/>
      <c r="P26" s="3793" t="s">
        <v>799</v>
      </c>
      <c r="Q26" s="1549" t="str">
        <f t="shared" si="11"/>
        <v>公共部分装修</v>
      </c>
      <c r="R26" s="1550" t="s">
        <v>8</v>
      </c>
      <c r="S26" s="1551">
        <f t="shared" ref="S26:S34" si="12">F26</f>
        <v>100</v>
      </c>
      <c r="T26" s="1550" t="s">
        <v>8</v>
      </c>
      <c r="U26" s="1551">
        <f t="shared" ref="U26:U34" si="13">H26</f>
        <v>100</v>
      </c>
      <c r="V26" s="1550" t="s">
        <v>8</v>
      </c>
      <c r="W26" s="1551">
        <f t="shared" ref="W26:W34" si="14">J26</f>
        <v>100</v>
      </c>
      <c r="X26" s="1544"/>
      <c r="Y26" s="3794" t="s">
        <v>799</v>
      </c>
      <c r="Z26" s="1552" t="str">
        <f t="shared" ref="Z26:Z34" si="15">Q26</f>
        <v>公共部分装修</v>
      </c>
      <c r="AA26" s="1553">
        <f t="shared" si="3"/>
        <v>1</v>
      </c>
      <c r="AB26" s="1553">
        <f t="shared" si="4"/>
        <v>1</v>
      </c>
      <c r="AC26" s="1553">
        <f t="shared" si="5"/>
        <v>1</v>
      </c>
    </row>
    <row r="27" spans="1:29" s="1325" customFormat="1" ht="15">
      <c r="A27" s="603"/>
      <c r="B27" s="527" t="s">
        <v>787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16"/>
      <c r="M27" s="2147"/>
      <c r="N27" s="2147"/>
      <c r="O27" s="2119"/>
      <c r="P27" s="3794"/>
      <c r="Q27" s="1581" t="str">
        <f t="shared" si="11"/>
        <v>成新率</v>
      </c>
      <c r="R27" s="1554" t="s">
        <v>8</v>
      </c>
      <c r="S27" s="1555" t="e">
        <f t="shared" si="12"/>
        <v>#N/A</v>
      </c>
      <c r="T27" s="1554" t="s">
        <v>8</v>
      </c>
      <c r="U27" s="1555" t="e">
        <f t="shared" si="13"/>
        <v>#N/A</v>
      </c>
      <c r="V27" s="1554" t="s">
        <v>8</v>
      </c>
      <c r="W27" s="1555" t="e">
        <f t="shared" si="14"/>
        <v>#N/A</v>
      </c>
      <c r="X27" s="1556"/>
      <c r="Y27" s="3794"/>
      <c r="Z27" s="1557" t="str">
        <f t="shared" si="15"/>
        <v>成新率</v>
      </c>
      <c r="AA27" s="1553" t="e">
        <f t="shared" si="3"/>
        <v>#N/A</v>
      </c>
      <c r="AB27" s="1553" t="e">
        <f t="shared" si="4"/>
        <v>#N/A</v>
      </c>
      <c r="AC27" s="1553" t="e">
        <f t="shared" si="5"/>
        <v>#N/A</v>
      </c>
    </row>
    <row r="28" spans="1:29" ht="15">
      <c r="A28" s="594"/>
      <c r="B28" s="527" t="s">
        <v>788</v>
      </c>
      <c r="C28" s="574"/>
      <c r="D28" s="540">
        <v>100</v>
      </c>
      <c r="E28" s="574"/>
      <c r="F28" s="575">
        <f>SUMIF(82:82,E28,83:83)-SUMIF(82:82,C28,83:83)+100</f>
        <v>100</v>
      </c>
      <c r="G28" s="574"/>
      <c r="H28" s="540">
        <f>SUMIF(82:82,G28,83:83)-SUMIF(82:82,C28,83:83)+100</f>
        <v>100</v>
      </c>
      <c r="I28" s="574"/>
      <c r="J28" s="540">
        <f>SUMIF(82:82,I28,83:83)-SUMIF(82:82,C28,83:83)+100</f>
        <v>100</v>
      </c>
      <c r="K28" s="584"/>
      <c r="L28" s="2118"/>
      <c r="M28" s="2110"/>
      <c r="N28" s="2110"/>
      <c r="O28" s="2117"/>
      <c r="P28" s="3794"/>
      <c r="Q28" s="1549" t="str">
        <f t="shared" si="11"/>
        <v>物业等级</v>
      </c>
      <c r="R28" s="1550" t="s">
        <v>8</v>
      </c>
      <c r="S28" s="1551">
        <f t="shared" si="12"/>
        <v>100</v>
      </c>
      <c r="T28" s="1550" t="s">
        <v>8</v>
      </c>
      <c r="U28" s="1551">
        <f t="shared" si="13"/>
        <v>100</v>
      </c>
      <c r="V28" s="1550" t="s">
        <v>8</v>
      </c>
      <c r="W28" s="1551">
        <f t="shared" si="14"/>
        <v>100</v>
      </c>
      <c r="X28" s="1544"/>
      <c r="Y28" s="3794"/>
      <c r="Z28" s="1552" t="str">
        <f t="shared" si="15"/>
        <v>物业等级</v>
      </c>
      <c r="AA28" s="1553">
        <f t="shared" si="3"/>
        <v>1</v>
      </c>
      <c r="AB28" s="1553">
        <f t="shared" si="4"/>
        <v>1</v>
      </c>
      <c r="AC28" s="1553">
        <f t="shared" si="5"/>
        <v>1</v>
      </c>
    </row>
    <row r="29" spans="1:29" ht="15">
      <c r="A29" s="594"/>
      <c r="B29" s="527" t="s">
        <v>800</v>
      </c>
      <c r="C29" s="923"/>
      <c r="D29" s="540">
        <v>100</v>
      </c>
      <c r="E29" s="923"/>
      <c r="F29" s="575">
        <f>SUMIF(84:84,E29,85:85)-SUMIF(84:84,C29,85:85)+100</f>
        <v>100</v>
      </c>
      <c r="G29" s="923"/>
      <c r="H29" s="540">
        <f>SUMIF(84:84,G29,85:85)-SUMIF(84:84,C29,85:85)+100</f>
        <v>100</v>
      </c>
      <c r="I29" s="923"/>
      <c r="J29" s="540">
        <f>SUMIF(84:84,I29,85:85)-SUMIF(84:84,C29,85:85)+100</f>
        <v>100</v>
      </c>
      <c r="K29" s="584"/>
      <c r="L29" s="2118"/>
      <c r="M29" s="2110"/>
      <c r="N29" s="2110"/>
      <c r="O29" s="2117"/>
      <c r="P29" s="3794"/>
      <c r="Q29" s="1549" t="str">
        <f t="shared" si="11"/>
        <v>有无电梯</v>
      </c>
      <c r="R29" s="1550" t="s">
        <v>8</v>
      </c>
      <c r="S29" s="1551">
        <f t="shared" si="12"/>
        <v>100</v>
      </c>
      <c r="T29" s="1550" t="s">
        <v>8</v>
      </c>
      <c r="U29" s="1551">
        <f t="shared" si="13"/>
        <v>100</v>
      </c>
      <c r="V29" s="1550" t="s">
        <v>8</v>
      </c>
      <c r="W29" s="1551">
        <f t="shared" si="14"/>
        <v>100</v>
      </c>
      <c r="X29" s="1544"/>
      <c r="Y29" s="3794"/>
      <c r="Z29" s="1552" t="str">
        <f t="shared" si="15"/>
        <v>有无电梯</v>
      </c>
      <c r="AA29" s="1553">
        <f t="shared" si="3"/>
        <v>1</v>
      </c>
      <c r="AB29" s="1553">
        <f t="shared" si="4"/>
        <v>1</v>
      </c>
      <c r="AC29" s="1553">
        <f t="shared" si="5"/>
        <v>1</v>
      </c>
    </row>
    <row r="30" spans="1:29" ht="15">
      <c r="A30" s="594"/>
      <c r="B30" s="527" t="s">
        <v>801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18"/>
      <c r="M30" s="2110"/>
      <c r="N30" s="2110"/>
      <c r="O30" s="2117"/>
      <c r="P30" s="3794"/>
      <c r="Q30" s="1549" t="str">
        <f t="shared" si="11"/>
        <v>建筑面积</v>
      </c>
      <c r="R30" s="1550" t="s">
        <v>8</v>
      </c>
      <c r="S30" s="1551" t="e">
        <f t="shared" si="12"/>
        <v>#N/A</v>
      </c>
      <c r="T30" s="1550" t="s">
        <v>8</v>
      </c>
      <c r="U30" s="1551" t="e">
        <f t="shared" si="13"/>
        <v>#N/A</v>
      </c>
      <c r="V30" s="1550" t="s">
        <v>8</v>
      </c>
      <c r="W30" s="1551" t="e">
        <f t="shared" si="14"/>
        <v>#N/A</v>
      </c>
      <c r="X30" s="1544"/>
      <c r="Y30" s="3794"/>
      <c r="Z30" s="1552" t="str">
        <f t="shared" si="15"/>
        <v>建筑面积</v>
      </c>
      <c r="AA30" s="1553" t="e">
        <f t="shared" si="3"/>
        <v>#N/A</v>
      </c>
      <c r="AB30" s="1553" t="e">
        <f t="shared" si="4"/>
        <v>#N/A</v>
      </c>
      <c r="AC30" s="1553" t="e">
        <f t="shared" si="5"/>
        <v>#N/A</v>
      </c>
    </row>
    <row r="31" spans="1:29" s="1206" customFormat="1" ht="15">
      <c r="A31" s="600"/>
      <c r="B31" s="527" t="s">
        <v>802</v>
      </c>
      <c r="C31" s="923"/>
      <c r="D31" s="255">
        <v>100</v>
      </c>
      <c r="E31" s="923"/>
      <c r="F31" s="575">
        <f>SUMIF(89:89,E31,90:90)-SUMIF(89:89,C31,90:90)+100</f>
        <v>100</v>
      </c>
      <c r="G31" s="923"/>
      <c r="H31" s="540">
        <f>SUMIF(89:89,G31,90:90)-SUMIF(89:89,C31,90:90)+100</f>
        <v>100</v>
      </c>
      <c r="I31" s="923"/>
      <c r="J31" s="540">
        <f>SUMIF(89:89,I31,90:90)-SUMIF(89:89,C31,90:90)+100</f>
        <v>100</v>
      </c>
      <c r="K31" s="584"/>
      <c r="L31" s="2111"/>
      <c r="M31" s="2112"/>
      <c r="N31" s="2112"/>
      <c r="O31" s="2113"/>
      <c r="P31" s="3794"/>
      <c r="Q31" s="1138" t="str">
        <f t="shared" si="11"/>
        <v>是否封闭</v>
      </c>
      <c r="R31" s="1545" t="s">
        <v>8</v>
      </c>
      <c r="S31" s="1546">
        <f t="shared" si="12"/>
        <v>100</v>
      </c>
      <c r="T31" s="1545" t="s">
        <v>8</v>
      </c>
      <c r="U31" s="1546">
        <f t="shared" si="13"/>
        <v>100</v>
      </c>
      <c r="V31" s="1545" t="s">
        <v>8</v>
      </c>
      <c r="W31" s="1546">
        <f t="shared" si="14"/>
        <v>100</v>
      </c>
      <c r="X31" s="1547"/>
      <c r="Y31" s="3794"/>
      <c r="Z31" s="1137" t="str">
        <f t="shared" si="15"/>
        <v>是否封闭</v>
      </c>
      <c r="AA31" s="1548">
        <f t="shared" si="3"/>
        <v>1</v>
      </c>
      <c r="AB31" s="1548">
        <f t="shared" si="4"/>
        <v>1</v>
      </c>
      <c r="AC31" s="154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18"/>
      <c r="M32" s="2110"/>
      <c r="N32" s="2110"/>
      <c r="O32" s="2117"/>
      <c r="P32" s="3794" t="s">
        <v>549</v>
      </c>
      <c r="Q32" s="1549">
        <f t="shared" si="11"/>
        <v>111</v>
      </c>
      <c r="R32" s="1550" t="s">
        <v>8</v>
      </c>
      <c r="S32" s="1551">
        <f t="shared" si="12"/>
        <v>100</v>
      </c>
      <c r="T32" s="1550" t="s">
        <v>8</v>
      </c>
      <c r="U32" s="1551">
        <f t="shared" si="13"/>
        <v>100</v>
      </c>
      <c r="V32" s="1550" t="s">
        <v>8</v>
      </c>
      <c r="W32" s="1551">
        <f t="shared" si="14"/>
        <v>100</v>
      </c>
      <c r="X32" s="1544"/>
      <c r="Y32" s="3794" t="s">
        <v>549</v>
      </c>
      <c r="Z32" s="1552">
        <f t="shared" si="15"/>
        <v>111</v>
      </c>
      <c r="AA32" s="1553">
        <f t="shared" si="3"/>
        <v>1</v>
      </c>
      <c r="AB32" s="1553">
        <f t="shared" si="4"/>
        <v>1</v>
      </c>
      <c r="AC32" s="155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18"/>
      <c r="M33" s="2110"/>
      <c r="N33" s="2110"/>
      <c r="O33" s="2117"/>
      <c r="P33" s="3794"/>
      <c r="Q33" s="1549">
        <f t="shared" si="11"/>
        <v>111</v>
      </c>
      <c r="R33" s="1550" t="s">
        <v>8</v>
      </c>
      <c r="S33" s="1551">
        <f t="shared" si="12"/>
        <v>100</v>
      </c>
      <c r="T33" s="1550" t="s">
        <v>8</v>
      </c>
      <c r="U33" s="1551">
        <f t="shared" si="13"/>
        <v>100</v>
      </c>
      <c r="V33" s="1550" t="s">
        <v>8</v>
      </c>
      <c r="W33" s="1551">
        <f t="shared" si="14"/>
        <v>100</v>
      </c>
      <c r="X33" s="1544"/>
      <c r="Y33" s="3794"/>
      <c r="Z33" s="1552">
        <f t="shared" si="15"/>
        <v>111</v>
      </c>
      <c r="AA33" s="1553">
        <f t="shared" si="3"/>
        <v>1</v>
      </c>
      <c r="AB33" s="1553">
        <f t="shared" si="4"/>
        <v>1</v>
      </c>
      <c r="AC33" s="1553">
        <f t="shared" si="5"/>
        <v>1</v>
      </c>
    </row>
    <row r="34" spans="1:29" ht="15.75" thickBot="1">
      <c r="A34" s="886"/>
      <c r="B34" s="544">
        <v>111</v>
      </c>
      <c r="C34" s="545"/>
      <c r="D34" s="546">
        <v>100</v>
      </c>
      <c r="E34" s="935"/>
      <c r="F34" s="866">
        <f>SUMIF(95:95,E34,96:96)-SUMIF(95:95,C34,96:96)+100</f>
        <v>100</v>
      </c>
      <c r="G34" s="935"/>
      <c r="H34" s="546">
        <f>SUMIF(95:95,G34,96:96)-SUMIF(95:95,C34,96:96)+100</f>
        <v>100</v>
      </c>
      <c r="I34" s="935"/>
      <c r="J34" s="546">
        <f>SUMIF(95:95,I34,96:96)-SUMIF(95:95,C34,96:96)+100</f>
        <v>100</v>
      </c>
      <c r="K34" s="581"/>
      <c r="L34" s="2118"/>
      <c r="M34" s="2110"/>
      <c r="N34" s="2110"/>
      <c r="O34" s="2117"/>
      <c r="P34" s="3794"/>
      <c r="Q34" s="1549">
        <f t="shared" si="11"/>
        <v>111</v>
      </c>
      <c r="R34" s="1550" t="s">
        <v>8</v>
      </c>
      <c r="S34" s="1551">
        <f t="shared" si="12"/>
        <v>100</v>
      </c>
      <c r="T34" s="1550" t="s">
        <v>8</v>
      </c>
      <c r="U34" s="1551">
        <f t="shared" si="13"/>
        <v>100</v>
      </c>
      <c r="V34" s="1550" t="s">
        <v>8</v>
      </c>
      <c r="W34" s="1551">
        <f t="shared" si="14"/>
        <v>100</v>
      </c>
      <c r="X34" s="1544"/>
      <c r="Y34" s="3794"/>
      <c r="Z34" s="1552">
        <f t="shared" si="15"/>
        <v>111</v>
      </c>
      <c r="AA34" s="1553">
        <f t="shared" si="3"/>
        <v>1</v>
      </c>
      <c r="AB34" s="1553">
        <f t="shared" si="4"/>
        <v>1</v>
      </c>
      <c r="AC34" s="1553">
        <f t="shared" si="5"/>
        <v>1</v>
      </c>
    </row>
    <row r="35" spans="1:29" ht="15">
      <c r="A35" s="607" t="s">
        <v>735</v>
      </c>
      <c r="B35" s="887"/>
      <c r="C35" s="2566" t="s">
        <v>1</v>
      </c>
      <c r="D35" s="2567"/>
      <c r="E35" s="2568"/>
      <c r="F35" s="2569"/>
      <c r="G35" s="2570"/>
      <c r="H35" s="2571"/>
      <c r="I35" s="2568"/>
      <c r="J35" s="2571"/>
      <c r="K35" s="1587"/>
      <c r="L35" s="2120"/>
      <c r="M35" s="2121"/>
      <c r="N35" s="2110"/>
      <c r="O35" s="2121"/>
      <c r="P35" s="3789" t="str">
        <f>A35</f>
        <v>成交单价（元/平方米）</v>
      </c>
      <c r="Q35" s="3789"/>
      <c r="R35" s="3960">
        <f>E35</f>
        <v>0</v>
      </c>
      <c r="S35" s="3960"/>
      <c r="T35" s="3960">
        <f>G35</f>
        <v>0</v>
      </c>
      <c r="U35" s="3960"/>
      <c r="V35" s="3960">
        <f>I35</f>
        <v>0</v>
      </c>
      <c r="W35" s="3960"/>
      <c r="X35" s="1536"/>
      <c r="Y35" s="1558"/>
      <c r="Z35" s="1536"/>
      <c r="AA35" s="1536"/>
      <c r="AB35" s="1536"/>
      <c r="AC35" s="1536"/>
    </row>
    <row r="36" spans="1:29" ht="15.75" thickBot="1">
      <c r="A36" s="615" t="s">
        <v>2734</v>
      </c>
      <c r="B36" s="888"/>
      <c r="C36" s="2572" t="e">
        <f>R37</f>
        <v>#DIV/0!</v>
      </c>
      <c r="D36" s="2573"/>
      <c r="E36" s="2574" t="e">
        <f>R36</f>
        <v>#DIV/0!</v>
      </c>
      <c r="F36" s="2574"/>
      <c r="G36" s="2572" t="e">
        <f>T36</f>
        <v>#DIV/0!</v>
      </c>
      <c r="H36" s="2573"/>
      <c r="I36" s="2574" t="e">
        <f>V36</f>
        <v>#DIV/0!</v>
      </c>
      <c r="J36" s="2573"/>
      <c r="K36" s="1588"/>
      <c r="L36" s="2120"/>
      <c r="M36" s="2121"/>
      <c r="N36" s="2110"/>
      <c r="O36" s="2121"/>
      <c r="P36" s="3789" t="str">
        <f>A36</f>
        <v>比较价格（元/平方米）</v>
      </c>
      <c r="Q36" s="3789"/>
      <c r="R36" s="3960" t="e">
        <f>IF(F1="售价",ROUND(PRODUCT(R35,AA7:AA34),0),ROUND(PRODUCT(R35,AA7:AA34),1))</f>
        <v>#DIV/0!</v>
      </c>
      <c r="S36" s="3960"/>
      <c r="T36" s="3960" t="e">
        <f>IF(F1="售价",ROUND(PRODUCT(T35,AB7:AB34),0),ROUND(PRODUCT(T35,AB7:AB34),1))</f>
        <v>#DIV/0!</v>
      </c>
      <c r="U36" s="3960"/>
      <c r="V36" s="3960" t="e">
        <f>IF(F1="售价",ROUND(PRODUCT(V35,AC7:AC34),0),ROUND(PRODUCT(V35,AC7:AC34),1))</f>
        <v>#DIV/0!</v>
      </c>
      <c r="W36" s="3960"/>
      <c r="X36" s="1536"/>
      <c r="Y36" s="1536"/>
      <c r="Z36" s="1536"/>
      <c r="AA36" s="1536"/>
      <c r="AB36" s="1536"/>
      <c r="AC36" s="1536"/>
    </row>
    <row r="37" spans="1:29" ht="15.75" thickBot="1">
      <c r="A37" s="621" t="s">
        <v>2911</v>
      </c>
      <c r="B37" s="622"/>
      <c r="C37" s="2575" t="e">
        <f>R37</f>
        <v>#DIV/0!</v>
      </c>
      <c r="D37" s="2575"/>
      <c r="E37" s="2575"/>
      <c r="F37" s="2575"/>
      <c r="G37" s="2575"/>
      <c r="H37" s="2575"/>
      <c r="I37" s="2575"/>
      <c r="J37" s="2575"/>
      <c r="K37" s="1589"/>
      <c r="L37" s="2120"/>
      <c r="M37" s="2121"/>
      <c r="N37" s="2121"/>
      <c r="O37" s="2121"/>
      <c r="P37" s="3810" t="str">
        <f>A37</f>
        <v>估价对象XX用房的比较价格（楼面单价，元/平方米）</v>
      </c>
      <c r="Q37" s="3811"/>
      <c r="R37" s="3959" t="e">
        <f>IF(F1="售价",ROUND(AVERAGE(R36:V36),0),ROUND(AVERAGE(R36:V36),1))</f>
        <v>#DIV/0!</v>
      </c>
      <c r="S37" s="3959"/>
      <c r="T37" s="3959"/>
      <c r="U37" s="3959"/>
      <c r="V37" s="3959"/>
      <c r="W37" s="3959"/>
      <c r="X37" s="1536"/>
      <c r="Y37" s="1536"/>
      <c r="Z37" s="1536"/>
      <c r="AA37" s="1536"/>
      <c r="AB37" s="1536"/>
      <c r="AC37" s="1536"/>
    </row>
    <row r="38" spans="1:29">
      <c r="A38" s="2121"/>
      <c r="B38" s="2121"/>
      <c r="C38" s="2121"/>
      <c r="D38" s="2121"/>
      <c r="E38" s="2121"/>
      <c r="F38" s="2121"/>
      <c r="G38" s="2124"/>
      <c r="H38" s="2121"/>
      <c r="I38" s="2121"/>
      <c r="J38" s="2121"/>
      <c r="K38" s="2125"/>
      <c r="L38" s="2126"/>
      <c r="M38" s="2121"/>
      <c r="N38" s="2121"/>
      <c r="O38" s="2121"/>
      <c r="P38" s="2121"/>
      <c r="Q38" s="2121"/>
      <c r="R38" s="2121"/>
      <c r="S38" s="2121"/>
      <c r="T38" s="2121"/>
      <c r="U38" s="2121"/>
      <c r="V38" s="2121"/>
      <c r="W38" s="2121"/>
      <c r="X38" s="2121"/>
      <c r="Y38" s="2121"/>
      <c r="Z38" s="2121"/>
      <c r="AA38" s="2121"/>
      <c r="AB38" s="2121"/>
      <c r="AC38" s="2121"/>
    </row>
    <row r="39" spans="1:29">
      <c r="A39" s="2121"/>
      <c r="B39" s="2121"/>
      <c r="C39" s="2121"/>
      <c r="D39" s="2121"/>
      <c r="E39" s="2121"/>
      <c r="F39" s="2121"/>
      <c r="G39" s="2121"/>
      <c r="H39" s="2121"/>
      <c r="I39" s="2121"/>
      <c r="J39" s="2121"/>
      <c r="K39" s="2125"/>
      <c r="L39" s="2126"/>
      <c r="M39" s="2121"/>
      <c r="N39" s="2121"/>
      <c r="O39" s="2121"/>
      <c r="P39" s="2121"/>
      <c r="Q39" s="2121"/>
      <c r="R39" s="2121"/>
      <c r="S39" s="2121"/>
      <c r="T39" s="2121"/>
      <c r="U39" s="2121"/>
      <c r="V39" s="2121"/>
      <c r="W39" s="2121"/>
      <c r="X39" s="2121"/>
      <c r="Y39" s="2121"/>
      <c r="Z39" s="2121"/>
      <c r="AA39" s="2121"/>
      <c r="AB39" s="2121"/>
      <c r="AC39" s="2121"/>
    </row>
    <row r="40" spans="1:29" ht="13.5" customHeight="1">
      <c r="A40" s="2121"/>
      <c r="B40" s="2121"/>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25"/>
      <c r="L40" s="2126"/>
      <c r="M40" s="2121"/>
      <c r="N40" s="2121"/>
      <c r="O40" s="2121"/>
      <c r="P40" s="2121"/>
      <c r="Q40" s="2121"/>
      <c r="R40" s="2121"/>
      <c r="S40" s="2121"/>
      <c r="T40" s="2121"/>
      <c r="U40" s="2121"/>
      <c r="V40" s="2121"/>
      <c r="W40" s="2121"/>
      <c r="X40" s="2121"/>
      <c r="Y40" s="2121"/>
      <c r="Z40" s="2121"/>
      <c r="AA40" s="2121"/>
      <c r="AB40" s="2121"/>
      <c r="AC40" s="2121"/>
    </row>
    <row r="41" spans="1:29" ht="13.5" customHeight="1">
      <c r="A41" s="2121"/>
      <c r="B41" s="2121"/>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25"/>
      <c r="L41" s="2126"/>
      <c r="M41" s="2121"/>
      <c r="N41" s="2121"/>
      <c r="O41" s="2121"/>
      <c r="P41" s="2121"/>
      <c r="Q41" s="2121"/>
      <c r="R41" s="2121"/>
      <c r="S41" s="2121"/>
      <c r="T41" s="2121"/>
      <c r="U41" s="2121"/>
      <c r="V41" s="2121"/>
      <c r="W41" s="2121"/>
      <c r="X41" s="2121"/>
      <c r="Y41" s="2121"/>
      <c r="Z41" s="2121"/>
      <c r="AA41" s="2121"/>
      <c r="AB41" s="2121"/>
      <c r="AC41" s="2121"/>
    </row>
    <row r="42" spans="1:29" s="1331" customFormat="1" ht="13.5" customHeight="1">
      <c r="A42" s="2122"/>
      <c r="B42" s="2122"/>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28"/>
      <c r="L42" s="2129"/>
      <c r="M42" s="2122"/>
      <c r="N42" s="2122"/>
      <c r="O42" s="2122"/>
      <c r="P42" s="2122"/>
      <c r="Q42" s="2122"/>
      <c r="R42" s="2122"/>
      <c r="S42" s="2122"/>
      <c r="T42" s="2122"/>
      <c r="U42" s="2122"/>
      <c r="V42" s="2122"/>
      <c r="W42" s="2122"/>
      <c r="X42" s="2122"/>
      <c r="Y42" s="2122"/>
      <c r="Z42" s="2122"/>
      <c r="AA42" s="2122"/>
      <c r="AB42" s="2122"/>
      <c r="AC42" s="2122"/>
    </row>
    <row r="43" spans="1:29" s="1331" customFormat="1">
      <c r="A43" s="2122"/>
      <c r="B43" s="2123"/>
      <c r="C43" s="2127"/>
      <c r="D43" s="2122"/>
      <c r="E43" s="2122"/>
      <c r="F43" s="2122"/>
      <c r="G43" s="2122"/>
      <c r="H43" s="2122"/>
      <c r="I43" s="2122"/>
      <c r="J43" s="2122"/>
      <c r="K43" s="2128"/>
      <c r="L43" s="2129"/>
      <c r="M43" s="2122"/>
      <c r="N43" s="2122"/>
      <c r="O43" s="2122"/>
      <c r="P43" s="2122"/>
      <c r="Q43" s="2122"/>
      <c r="R43" s="2122"/>
      <c r="S43" s="2122"/>
      <c r="T43" s="2122"/>
      <c r="U43" s="2122"/>
      <c r="V43" s="2122"/>
      <c r="W43" s="2122"/>
      <c r="X43" s="2122"/>
      <c r="Y43" s="2122"/>
      <c r="Z43" s="2122"/>
      <c r="AA43" s="2122"/>
      <c r="AB43" s="2122"/>
      <c r="AC43" s="2122"/>
    </row>
    <row r="44" spans="1:29">
      <c r="A44" s="2121"/>
      <c r="B44" s="2123"/>
      <c r="C44" s="2127"/>
      <c r="D44" s="2121"/>
      <c r="E44" s="2121"/>
      <c r="F44" s="2121"/>
      <c r="G44" s="2121"/>
      <c r="H44" s="2121"/>
      <c r="I44" s="2121"/>
      <c r="J44" s="2121"/>
      <c r="K44" s="2125"/>
      <c r="L44" s="2126"/>
      <c r="M44" s="2121"/>
      <c r="N44" s="2121"/>
      <c r="O44" s="2121"/>
      <c r="P44" s="2121"/>
      <c r="Q44" s="2121"/>
      <c r="R44" s="2121"/>
      <c r="S44" s="2121"/>
      <c r="T44" s="2121"/>
      <c r="U44" s="2121"/>
      <c r="V44" s="2121"/>
      <c r="W44" s="2121"/>
      <c r="X44" s="2121"/>
      <c r="Y44" s="2121"/>
      <c r="Z44" s="2121"/>
      <c r="AA44" s="2121"/>
      <c r="AB44" s="2121"/>
      <c r="AC44" s="2121"/>
    </row>
    <row r="45" spans="1:29" ht="21.75" thickBot="1">
      <c r="A45" s="1561" t="s">
        <v>573</v>
      </c>
      <c r="B45" s="1536"/>
      <c r="C45" s="1560"/>
      <c r="D45" s="1560"/>
      <c r="E45" s="1560"/>
      <c r="F45" s="1562"/>
      <c r="G45" s="1562"/>
      <c r="H45" s="1560"/>
      <c r="I45" s="1560"/>
      <c r="J45" s="1560"/>
      <c r="K45" s="1563"/>
      <c r="L45" s="1559"/>
      <c r="M45" s="1560"/>
      <c r="N45" s="1560"/>
      <c r="O45" s="1560"/>
      <c r="P45" s="2133"/>
      <c r="Q45" s="2134"/>
      <c r="R45" s="2121"/>
      <c r="S45" s="2121"/>
      <c r="T45" s="2121"/>
      <c r="U45" s="2121"/>
      <c r="V45" s="2121"/>
      <c r="W45" s="2121"/>
      <c r="X45" s="2121"/>
      <c r="Y45" s="2121"/>
      <c r="Z45" s="2121"/>
      <c r="AA45" s="2121"/>
      <c r="AB45" s="2121"/>
      <c r="AC45" s="2121"/>
    </row>
    <row r="46" spans="1:29" s="1333" customFormat="1" ht="15">
      <c r="A46" s="645" t="s">
        <v>528</v>
      </c>
      <c r="B46" s="646"/>
      <c r="C46" s="2732" t="str">
        <f>YEAR(C7)&amp;"-"&amp;MONTH(C7)</f>
        <v>2020-4</v>
      </c>
      <c r="D46" s="2734">
        <f>EDATE(C46,-1)</f>
        <v>43891</v>
      </c>
      <c r="E46" s="2734">
        <f t="shared" ref="E46:O46" si="16">EDATE(D46,-1)</f>
        <v>43862</v>
      </c>
      <c r="F46" s="2734">
        <f t="shared" si="16"/>
        <v>43831</v>
      </c>
      <c r="G46" s="2734">
        <f t="shared" si="16"/>
        <v>43800</v>
      </c>
      <c r="H46" s="2734">
        <f t="shared" si="16"/>
        <v>43770</v>
      </c>
      <c r="I46" s="2734">
        <f t="shared" si="16"/>
        <v>43739</v>
      </c>
      <c r="J46" s="2734">
        <f t="shared" si="16"/>
        <v>43709</v>
      </c>
      <c r="K46" s="2734">
        <f t="shared" si="16"/>
        <v>43678</v>
      </c>
      <c r="L46" s="2734">
        <f t="shared" si="16"/>
        <v>43647</v>
      </c>
      <c r="M46" s="2734">
        <f t="shared" si="16"/>
        <v>43617</v>
      </c>
      <c r="N46" s="2734">
        <f t="shared" si="16"/>
        <v>43586</v>
      </c>
      <c r="O46" s="2734">
        <f t="shared" si="16"/>
        <v>43556</v>
      </c>
      <c r="P46" s="2136"/>
      <c r="Q46" s="2137"/>
      <c r="R46" s="2137"/>
      <c r="S46" s="2137"/>
      <c r="T46" s="2137"/>
      <c r="U46" s="2137"/>
      <c r="V46" s="2137"/>
      <c r="W46" s="2137"/>
      <c r="X46" s="2137"/>
      <c r="Y46" s="2137"/>
      <c r="Z46" s="2137"/>
      <c r="AA46" s="2137"/>
      <c r="AB46" s="2137"/>
      <c r="AC46" s="2137"/>
    </row>
    <row r="47" spans="1:29" s="1206" customFormat="1" ht="15">
      <c r="A47" s="647"/>
      <c r="B47" s="648"/>
      <c r="C47" s="649">
        <v>100</v>
      </c>
      <c r="D47" s="650"/>
      <c r="E47" s="650"/>
      <c r="F47" s="650"/>
      <c r="G47" s="650"/>
      <c r="H47" s="650"/>
      <c r="I47" s="650"/>
      <c r="J47" s="650"/>
      <c r="K47" s="650"/>
      <c r="L47" s="650"/>
      <c r="M47" s="651"/>
      <c r="N47" s="650"/>
      <c r="O47" s="652"/>
      <c r="P47" s="2134"/>
      <c r="Q47" s="1969"/>
      <c r="R47" s="1969"/>
      <c r="S47" s="1969"/>
      <c r="T47" s="1969"/>
      <c r="U47" s="1969"/>
      <c r="V47" s="1969"/>
      <c r="W47" s="1969"/>
      <c r="X47" s="1969"/>
      <c r="Y47" s="1969"/>
      <c r="Z47" s="1969"/>
      <c r="AA47" s="1969"/>
      <c r="AB47" s="1969"/>
      <c r="AC47" s="1969"/>
    </row>
    <row r="48" spans="1:29" s="1206" customFormat="1" ht="15.75" thickBot="1">
      <c r="A48" s="653" t="s">
        <v>574</v>
      </c>
      <c r="B48" s="654"/>
      <c r="C48" s="655"/>
      <c r="D48" s="656"/>
      <c r="E48" s="656"/>
      <c r="F48" s="656"/>
      <c r="G48" s="656"/>
      <c r="H48" s="656"/>
      <c r="I48" s="656"/>
      <c r="J48" s="656"/>
      <c r="K48" s="656"/>
      <c r="L48" s="656"/>
      <c r="M48" s="657"/>
      <c r="N48" s="656"/>
      <c r="O48" s="658"/>
      <c r="P48" s="2134"/>
      <c r="Q48" s="2134"/>
      <c r="R48" s="1969"/>
      <c r="S48" s="1969"/>
      <c r="T48" s="1969"/>
      <c r="U48" s="1969"/>
      <c r="V48" s="1969"/>
      <c r="W48" s="1969"/>
      <c r="X48" s="1969"/>
      <c r="Y48" s="1969"/>
      <c r="Z48" s="1969"/>
      <c r="AA48" s="1969"/>
      <c r="AB48" s="1969"/>
      <c r="AC48" s="1969"/>
    </row>
    <row r="49" spans="1:29" s="1206" customFormat="1" ht="15">
      <c r="A49" s="659" t="s">
        <v>530</v>
      </c>
      <c r="B49" s="648"/>
      <c r="C49" s="660" t="s">
        <v>575</v>
      </c>
      <c r="D49" s="661"/>
      <c r="E49" s="661"/>
      <c r="F49" s="661"/>
      <c r="G49" s="661"/>
      <c r="H49" s="661"/>
      <c r="I49" s="661"/>
      <c r="J49" s="661"/>
      <c r="K49" s="661"/>
      <c r="L49" s="662"/>
      <c r="M49" s="663"/>
      <c r="N49" s="2138"/>
      <c r="O49" s="2138"/>
      <c r="P49" s="2139"/>
      <c r="Q49" s="2134"/>
      <c r="R49" s="1969"/>
      <c r="S49" s="1969"/>
      <c r="T49" s="1969"/>
      <c r="U49" s="1969"/>
      <c r="V49" s="1969"/>
      <c r="W49" s="1969"/>
      <c r="X49" s="1969"/>
      <c r="Y49" s="1969"/>
      <c r="Z49" s="1969"/>
      <c r="AA49" s="1969"/>
      <c r="AB49" s="1969"/>
      <c r="AC49" s="1969"/>
    </row>
    <row r="50" spans="1:29" s="1206" customFormat="1" ht="15.75" thickBot="1">
      <c r="A50" s="659"/>
      <c r="B50" s="648"/>
      <c r="C50" s="649">
        <v>100</v>
      </c>
      <c r="D50" s="650"/>
      <c r="E50" s="650"/>
      <c r="F50" s="650"/>
      <c r="G50" s="650"/>
      <c r="H50" s="650"/>
      <c r="I50" s="650"/>
      <c r="J50" s="650"/>
      <c r="K50" s="650"/>
      <c r="L50" s="650"/>
      <c r="M50" s="652"/>
      <c r="N50" s="2138"/>
      <c r="O50" s="2138"/>
      <c r="P50" s="2134"/>
      <c r="Q50" s="2134"/>
      <c r="R50" s="1969"/>
      <c r="S50" s="1969"/>
      <c r="T50" s="1969"/>
      <c r="U50" s="1969"/>
      <c r="V50" s="1969"/>
      <c r="W50" s="1969"/>
      <c r="X50" s="1969"/>
      <c r="Y50" s="1969"/>
      <c r="Z50" s="1969"/>
      <c r="AA50" s="1969"/>
      <c r="AB50" s="1969"/>
      <c r="AC50" s="1969"/>
    </row>
    <row r="51" spans="1:29">
      <c r="A51" s="664" t="s">
        <v>576</v>
      </c>
      <c r="B51" s="665" t="s">
        <v>533</v>
      </c>
      <c r="C51" s="704">
        <f>C9</f>
        <v>0</v>
      </c>
      <c r="D51" s="598"/>
      <c r="E51" s="598"/>
      <c r="F51" s="598"/>
      <c r="G51" s="598"/>
      <c r="H51" s="598"/>
      <c r="I51" s="598"/>
      <c r="J51" s="598"/>
      <c r="K51" s="666"/>
      <c r="L51" s="667"/>
      <c r="M51" s="668"/>
      <c r="N51" s="2140"/>
      <c r="O51" s="2140"/>
      <c r="P51" s="2141"/>
      <c r="Q51" s="2134"/>
      <c r="R51" s="2121"/>
      <c r="S51" s="2121"/>
      <c r="T51" s="2121"/>
      <c r="U51" s="2121"/>
      <c r="V51" s="2121"/>
      <c r="W51" s="2121"/>
      <c r="X51" s="2121"/>
      <c r="Y51" s="2121"/>
      <c r="Z51" s="2121"/>
      <c r="AA51" s="2121"/>
      <c r="AB51" s="2121"/>
      <c r="AC51" s="2121"/>
    </row>
    <row r="52" spans="1:29" ht="15.75" thickBot="1">
      <c r="A52" s="669"/>
      <c r="B52" s="670"/>
      <c r="C52" s="671">
        <v>100</v>
      </c>
      <c r="D52" s="671"/>
      <c r="E52" s="671"/>
      <c r="F52" s="671"/>
      <c r="G52" s="671"/>
      <c r="H52" s="671"/>
      <c r="I52" s="671"/>
      <c r="J52" s="671"/>
      <c r="K52" s="671"/>
      <c r="L52" s="671"/>
      <c r="M52" s="672"/>
      <c r="N52" s="2142"/>
      <c r="O52" s="2142"/>
      <c r="P52" s="2141"/>
      <c r="Q52" s="2134"/>
      <c r="R52" s="2121"/>
      <c r="S52" s="2121"/>
      <c r="T52" s="2121"/>
      <c r="U52" s="2121"/>
      <c r="V52" s="2121"/>
      <c r="W52" s="2121"/>
      <c r="X52" s="2121"/>
      <c r="Y52" s="2121"/>
      <c r="Z52" s="2121"/>
      <c r="AA52" s="2121"/>
      <c r="AB52" s="2121"/>
      <c r="AC52" s="2121"/>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0"/>
      <c r="O53" s="2140"/>
      <c r="P53" s="2141"/>
      <c r="Q53" s="2134"/>
      <c r="R53" s="2121"/>
      <c r="S53" s="2121"/>
      <c r="T53" s="2121"/>
      <c r="U53" s="2121"/>
      <c r="V53" s="2121"/>
      <c r="W53" s="2121"/>
      <c r="X53" s="2121"/>
      <c r="Y53" s="2121"/>
      <c r="Z53" s="2121"/>
      <c r="AA53" s="2121"/>
      <c r="AB53" s="2121"/>
      <c r="AC53" s="212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2"/>
      <c r="O54" s="2142"/>
      <c r="P54" s="2141"/>
      <c r="Q54" s="2134"/>
      <c r="R54" s="2121"/>
      <c r="S54" s="2121"/>
      <c r="T54" s="2121"/>
      <c r="U54" s="2121"/>
      <c r="V54" s="2121"/>
      <c r="W54" s="2121"/>
      <c r="X54" s="2121"/>
      <c r="Y54" s="2121"/>
      <c r="Z54" s="2121"/>
      <c r="AA54" s="2121"/>
      <c r="AB54" s="2121"/>
      <c r="AC54" s="2121"/>
    </row>
    <row r="55" spans="1:29" ht="15.75" thickTop="1">
      <c r="A55" s="669"/>
      <c r="B55" s="926">
        <f>B11</f>
        <v>111</v>
      </c>
      <c r="C55" s="541"/>
      <c r="D55" s="541"/>
      <c r="E55" s="541"/>
      <c r="F55" s="541"/>
      <c r="G55" s="541"/>
      <c r="H55" s="541"/>
      <c r="I55" s="541"/>
      <c r="J55" s="541"/>
      <c r="K55" s="684"/>
      <c r="L55" s="685"/>
      <c r="M55" s="686"/>
      <c r="N55" s="2140"/>
      <c r="O55" s="2140"/>
      <c r="P55" s="2141"/>
      <c r="Q55" s="2134"/>
      <c r="R55" s="2121"/>
      <c r="S55" s="2121"/>
      <c r="T55" s="2121"/>
      <c r="U55" s="2121"/>
      <c r="V55" s="2121"/>
      <c r="W55" s="2121"/>
      <c r="X55" s="2121"/>
      <c r="Y55" s="2121"/>
      <c r="Z55" s="2121"/>
      <c r="AA55" s="2121"/>
      <c r="AB55" s="2121"/>
      <c r="AC55" s="2121"/>
    </row>
    <row r="56" spans="1:29" ht="15.75" thickBot="1">
      <c r="A56" s="669"/>
      <c r="B56" s="670"/>
      <c r="C56" s="692"/>
      <c r="D56" s="671"/>
      <c r="E56" s="671"/>
      <c r="F56" s="671"/>
      <c r="G56" s="671"/>
      <c r="H56" s="671"/>
      <c r="I56" s="671"/>
      <c r="J56" s="671"/>
      <c r="K56" s="671"/>
      <c r="L56" s="671"/>
      <c r="M56" s="672"/>
      <c r="N56" s="2142"/>
      <c r="O56" s="2142"/>
      <c r="P56" s="2141"/>
      <c r="Q56" s="2134"/>
      <c r="R56" s="2121"/>
      <c r="S56" s="2121"/>
      <c r="T56" s="2121"/>
      <c r="U56" s="2121"/>
      <c r="V56" s="2121"/>
      <c r="W56" s="2121"/>
      <c r="X56" s="2121"/>
      <c r="Y56" s="2121"/>
      <c r="Z56" s="2121"/>
      <c r="AA56" s="2121"/>
      <c r="AB56" s="2121"/>
      <c r="AC56" s="2121"/>
    </row>
    <row r="57" spans="1:29" s="1325" customFormat="1" ht="15.75" thickTop="1">
      <c r="A57" s="687"/>
      <c r="B57" s="673">
        <f>B12</f>
        <v>111</v>
      </c>
      <c r="C57" s="541"/>
      <c r="D57" s="541"/>
      <c r="E57" s="541"/>
      <c r="F57" s="541"/>
      <c r="G57" s="688"/>
      <c r="H57" s="689"/>
      <c r="I57" s="689"/>
      <c r="J57" s="689"/>
      <c r="K57" s="689"/>
      <c r="L57" s="690"/>
      <c r="M57" s="691"/>
      <c r="N57" s="2143"/>
      <c r="O57" s="2143"/>
      <c r="P57" s="2144"/>
      <c r="Q57" s="2145"/>
      <c r="R57" s="2146"/>
      <c r="S57" s="2146"/>
      <c r="T57" s="2146"/>
      <c r="U57" s="2146"/>
      <c r="V57" s="2146"/>
      <c r="W57" s="2146"/>
      <c r="X57" s="2146"/>
      <c r="Y57" s="2146"/>
      <c r="Z57" s="2146"/>
      <c r="AA57" s="2146"/>
      <c r="AB57" s="2146"/>
      <c r="AC57" s="2146"/>
    </row>
    <row r="58" spans="1:29" s="1325" customFormat="1" ht="15.75" thickBot="1">
      <c r="A58" s="687"/>
      <c r="B58" s="678"/>
      <c r="C58" s="692"/>
      <c r="D58" s="671"/>
      <c r="E58" s="671"/>
      <c r="F58" s="671"/>
      <c r="G58" s="671"/>
      <c r="H58" s="671"/>
      <c r="I58" s="671"/>
      <c r="J58" s="671"/>
      <c r="K58" s="671"/>
      <c r="L58" s="671"/>
      <c r="M58" s="672"/>
      <c r="N58" s="2142"/>
      <c r="O58" s="2142"/>
      <c r="P58" s="2144"/>
      <c r="Q58" s="2145"/>
      <c r="R58" s="2146"/>
      <c r="S58" s="2146"/>
      <c r="T58" s="2146"/>
      <c r="U58" s="2146"/>
      <c r="V58" s="2146"/>
      <c r="W58" s="2146"/>
      <c r="X58" s="2146"/>
      <c r="Y58" s="2146"/>
      <c r="Z58" s="2146"/>
      <c r="AA58" s="2146"/>
      <c r="AB58" s="2146"/>
      <c r="AC58" s="2146"/>
    </row>
    <row r="59" spans="1:29" s="1325" customFormat="1" ht="15.75" thickTop="1">
      <c r="A59" s="687"/>
      <c r="B59" s="673">
        <f>B13</f>
        <v>111</v>
      </c>
      <c r="C59" s="541"/>
      <c r="D59" s="541"/>
      <c r="E59" s="541"/>
      <c r="F59" s="541"/>
      <c r="G59" s="688"/>
      <c r="H59" s="689"/>
      <c r="I59" s="689"/>
      <c r="J59" s="689"/>
      <c r="K59" s="689"/>
      <c r="L59" s="690"/>
      <c r="M59" s="691"/>
      <c r="N59" s="2143"/>
      <c r="O59" s="2143"/>
      <c r="P59" s="2147"/>
      <c r="Q59" s="2148"/>
      <c r="R59" s="2146"/>
      <c r="S59" s="2146"/>
      <c r="T59" s="2146"/>
      <c r="U59" s="2146"/>
      <c r="V59" s="2146"/>
      <c r="W59" s="2146"/>
      <c r="X59" s="2146"/>
      <c r="Y59" s="2146"/>
      <c r="Z59" s="2146"/>
      <c r="AA59" s="2146"/>
      <c r="AB59" s="2146"/>
      <c r="AC59" s="2146"/>
    </row>
    <row r="60" spans="1:29" s="1325" customFormat="1" ht="15.75" thickBot="1">
      <c r="A60" s="687"/>
      <c r="B60" s="678"/>
      <c r="C60" s="692"/>
      <c r="D60" s="692"/>
      <c r="E60" s="692"/>
      <c r="F60" s="692"/>
      <c r="G60" s="692"/>
      <c r="H60" s="693"/>
      <c r="I60" s="693"/>
      <c r="J60" s="693"/>
      <c r="K60" s="693"/>
      <c r="L60" s="693"/>
      <c r="M60" s="694"/>
      <c r="N60" s="2143"/>
      <c r="O60" s="2143"/>
      <c r="P60" s="2144"/>
      <c r="Q60" s="2145"/>
      <c r="R60" s="2146"/>
      <c r="S60" s="2146"/>
      <c r="T60" s="2146"/>
      <c r="U60" s="2146"/>
      <c r="V60" s="2146"/>
      <c r="W60" s="2146"/>
      <c r="X60" s="2146"/>
      <c r="Y60" s="2146"/>
      <c r="Z60" s="2146"/>
      <c r="AA60" s="2146"/>
      <c r="AB60" s="2146"/>
      <c r="AC60" s="2146"/>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0"/>
      <c r="O61" s="2140"/>
      <c r="P61" s="2150"/>
      <c r="Q61" s="2134"/>
      <c r="R61" s="2121"/>
      <c r="S61" s="2121"/>
      <c r="T61" s="2121"/>
      <c r="U61" s="2121"/>
      <c r="V61" s="2121"/>
      <c r="W61" s="2121"/>
      <c r="X61" s="2121"/>
      <c r="Y61" s="2121"/>
      <c r="Z61" s="2121"/>
      <c r="AA61" s="2121"/>
      <c r="AB61" s="2121"/>
      <c r="AC61" s="212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2"/>
      <c r="O62" s="2142"/>
      <c r="P62" s="2141"/>
      <c r="Q62" s="2134"/>
      <c r="R62" s="2121"/>
      <c r="S62" s="2121"/>
      <c r="T62" s="2121"/>
      <c r="U62" s="2121"/>
      <c r="V62" s="2121"/>
      <c r="W62" s="2121"/>
      <c r="X62" s="2121"/>
      <c r="Y62" s="2121"/>
      <c r="Z62" s="2121"/>
      <c r="AA62" s="2121"/>
      <c r="AB62" s="2121"/>
      <c r="AC62" s="2121"/>
    </row>
    <row r="63" spans="1:29" ht="15.75" thickTop="1">
      <c r="A63" s="669"/>
      <c r="B63" s="1872" t="s">
        <v>2532</v>
      </c>
      <c r="C63" s="708" t="s">
        <v>578</v>
      </c>
      <c r="D63" s="708" t="s">
        <v>579</v>
      </c>
      <c r="E63" s="708" t="s">
        <v>580</v>
      </c>
      <c r="F63" s="708" t="s">
        <v>581</v>
      </c>
      <c r="G63" s="708" t="s">
        <v>582</v>
      </c>
      <c r="H63" s="674"/>
      <c r="I63" s="674"/>
      <c r="J63" s="674"/>
      <c r="K63" s="675"/>
      <c r="L63" s="676"/>
      <c r="M63" s="677"/>
      <c r="N63" s="2140"/>
      <c r="O63" s="2140"/>
      <c r="P63" s="2141"/>
      <c r="Q63" s="2134"/>
      <c r="R63" s="2121"/>
      <c r="S63" s="2121"/>
      <c r="T63" s="2121"/>
      <c r="U63" s="2121"/>
      <c r="V63" s="2121"/>
      <c r="W63" s="2121"/>
      <c r="X63" s="2121"/>
      <c r="Y63" s="2121"/>
      <c r="Z63" s="2121"/>
      <c r="AA63" s="2121"/>
      <c r="AB63" s="2121"/>
      <c r="AC63" s="212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2"/>
      <c r="O64" s="2142"/>
      <c r="P64" s="2141"/>
      <c r="Q64" s="2134"/>
      <c r="R64" s="2121"/>
      <c r="S64" s="2121"/>
      <c r="T64" s="2121"/>
      <c r="U64" s="2121"/>
      <c r="V64" s="2121"/>
      <c r="W64" s="2121"/>
      <c r="X64" s="2121"/>
      <c r="Y64" s="2121"/>
      <c r="Z64" s="2121"/>
      <c r="AA64" s="2121"/>
      <c r="AB64" s="2121"/>
      <c r="AC64" s="2121"/>
    </row>
    <row r="65" spans="1:29" ht="15.75" thickTop="1">
      <c r="A65" s="669"/>
      <c r="B65" s="2536" t="s">
        <v>2533</v>
      </c>
      <c r="C65" s="2537" t="s">
        <v>2534</v>
      </c>
      <c r="D65" s="2537" t="s">
        <v>2535</v>
      </c>
      <c r="E65" s="2537" t="s">
        <v>2536</v>
      </c>
      <c r="F65" s="2537" t="s">
        <v>2537</v>
      </c>
      <c r="G65" s="2537" t="s">
        <v>2538</v>
      </c>
      <c r="H65" s="674"/>
      <c r="I65" s="674"/>
      <c r="J65" s="674"/>
      <c r="K65" s="674"/>
      <c r="L65" s="674"/>
      <c r="M65" s="2540"/>
      <c r="N65" s="2142"/>
      <c r="O65" s="2142"/>
      <c r="P65" s="2141"/>
      <c r="Q65" s="2134"/>
      <c r="R65" s="2121"/>
      <c r="S65" s="2121"/>
      <c r="T65" s="2121"/>
      <c r="U65" s="2121"/>
      <c r="V65" s="2121"/>
      <c r="W65" s="2121"/>
      <c r="X65" s="2121"/>
      <c r="Y65" s="2121"/>
      <c r="Z65" s="2121"/>
      <c r="AA65" s="2121"/>
      <c r="AB65" s="2121"/>
      <c r="AC65" s="2121"/>
    </row>
    <row r="66" spans="1:29" ht="15.75" thickBot="1">
      <c r="A66" s="669"/>
      <c r="B66" s="681"/>
      <c r="C66" s="679">
        <v>100</v>
      </c>
      <c r="D66" s="679">
        <f>C66-$K18</f>
        <v>100</v>
      </c>
      <c r="E66" s="679">
        <f>D66-$K18</f>
        <v>100</v>
      </c>
      <c r="F66" s="679">
        <f>E66-$K18</f>
        <v>100</v>
      </c>
      <c r="G66" s="679">
        <f>F66-$K18</f>
        <v>100</v>
      </c>
      <c r="H66" s="926"/>
      <c r="I66" s="926"/>
      <c r="J66" s="926"/>
      <c r="K66" s="926"/>
      <c r="L66" s="926"/>
      <c r="M66" s="559"/>
      <c r="N66" s="2142"/>
      <c r="O66" s="2142"/>
      <c r="P66" s="2141"/>
      <c r="Q66" s="2134"/>
      <c r="R66" s="2121"/>
      <c r="S66" s="2121"/>
      <c r="T66" s="2121"/>
      <c r="U66" s="2121"/>
      <c r="V66" s="2121"/>
      <c r="W66" s="2121"/>
      <c r="X66" s="2121"/>
      <c r="Y66" s="2121"/>
      <c r="Z66" s="2121"/>
      <c r="AA66" s="2121"/>
      <c r="AB66" s="2121"/>
      <c r="AC66" s="2121"/>
    </row>
    <row r="67" spans="1:29" ht="15.75" thickTop="1">
      <c r="A67" s="669"/>
      <c r="B67" s="673" t="s">
        <v>743</v>
      </c>
      <c r="C67" s="708" t="s">
        <v>578</v>
      </c>
      <c r="D67" s="708" t="s">
        <v>579</v>
      </c>
      <c r="E67" s="708" t="s">
        <v>580</v>
      </c>
      <c r="F67" s="708" t="s">
        <v>581</v>
      </c>
      <c r="G67" s="708" t="s">
        <v>582</v>
      </c>
      <c r="H67" s="674"/>
      <c r="I67" s="674"/>
      <c r="J67" s="674"/>
      <c r="K67" s="675"/>
      <c r="L67" s="676"/>
      <c r="M67" s="677"/>
      <c r="N67" s="2140"/>
      <c r="O67" s="2140"/>
      <c r="P67" s="2141"/>
      <c r="Q67" s="2134"/>
      <c r="R67" s="2121"/>
      <c r="S67" s="2121"/>
      <c r="T67" s="2121"/>
      <c r="U67" s="2121"/>
      <c r="V67" s="2121"/>
      <c r="W67" s="2121"/>
      <c r="X67" s="2121"/>
      <c r="Y67" s="2121"/>
      <c r="Z67" s="2121"/>
      <c r="AA67" s="2121"/>
      <c r="AB67" s="2121"/>
      <c r="AC67" s="212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2"/>
      <c r="O68" s="2142"/>
      <c r="P68" s="2141"/>
      <c r="Q68" s="2134"/>
      <c r="R68" s="2121"/>
      <c r="S68" s="2121"/>
      <c r="T68" s="2121"/>
      <c r="U68" s="2121"/>
      <c r="V68" s="2121"/>
      <c r="W68" s="2121"/>
      <c r="X68" s="2121"/>
      <c r="Y68" s="2121"/>
      <c r="Z68" s="2121"/>
      <c r="AA68" s="2121"/>
      <c r="AB68" s="2121"/>
      <c r="AC68" s="2121"/>
    </row>
    <row r="69" spans="1:29" ht="15.75" thickTop="1">
      <c r="A69" s="669"/>
      <c r="B69" s="673" t="s">
        <v>744</v>
      </c>
      <c r="C69" s="688"/>
      <c r="D69" s="688"/>
      <c r="E69" s="688"/>
      <c r="F69" s="688"/>
      <c r="G69" s="688"/>
      <c r="H69" s="718"/>
      <c r="I69" s="718"/>
      <c r="J69" s="718"/>
      <c r="K69" s="719"/>
      <c r="L69" s="720"/>
      <c r="M69" s="721"/>
      <c r="N69" s="2140"/>
      <c r="O69" s="2140"/>
      <c r="P69" s="2141"/>
      <c r="Q69" s="2134"/>
      <c r="R69" s="2121"/>
      <c r="S69" s="2121"/>
      <c r="T69" s="2121"/>
      <c r="U69" s="2121"/>
      <c r="V69" s="2121"/>
      <c r="W69" s="2121"/>
      <c r="X69" s="2121"/>
      <c r="Y69" s="2121"/>
      <c r="Z69" s="2121"/>
      <c r="AA69" s="2121"/>
      <c r="AB69" s="2121"/>
      <c r="AC69" s="2121"/>
    </row>
    <row r="70" spans="1:29" ht="15.75" thickBot="1">
      <c r="A70" s="669"/>
      <c r="B70" s="678"/>
      <c r="C70" s="679">
        <v>100</v>
      </c>
      <c r="D70" s="679">
        <f>C70-$K22</f>
        <v>100</v>
      </c>
      <c r="E70" s="679"/>
      <c r="F70" s="679"/>
      <c r="G70" s="679"/>
      <c r="H70" s="679"/>
      <c r="I70" s="679"/>
      <c r="J70" s="679"/>
      <c r="K70" s="679"/>
      <c r="L70" s="679"/>
      <c r="M70" s="680"/>
      <c r="N70" s="2142"/>
      <c r="O70" s="2142"/>
      <c r="P70" s="2141"/>
      <c r="Q70" s="2134"/>
      <c r="R70" s="2121"/>
      <c r="S70" s="2121"/>
      <c r="T70" s="2121"/>
      <c r="U70" s="2121"/>
      <c r="V70" s="2121"/>
      <c r="W70" s="2121"/>
      <c r="X70" s="2121"/>
      <c r="Y70" s="2121"/>
      <c r="Z70" s="2121"/>
      <c r="AA70" s="2121"/>
      <c r="AB70" s="2121"/>
      <c r="AC70" s="2121"/>
    </row>
    <row r="71" spans="1:29" s="1206" customFormat="1" ht="15.75" thickTop="1">
      <c r="A71" s="709"/>
      <c r="B71" s="673">
        <f>B23</f>
        <v>111</v>
      </c>
      <c r="C71" s="541"/>
      <c r="D71" s="541"/>
      <c r="E71" s="541"/>
      <c r="F71" s="541"/>
      <c r="G71" s="688"/>
      <c r="H71" s="688"/>
      <c r="I71" s="688"/>
      <c r="J71" s="688"/>
      <c r="K71" s="688"/>
      <c r="L71" s="890"/>
      <c r="M71" s="891"/>
      <c r="N71" s="2138"/>
      <c r="O71" s="2138"/>
      <c r="P71" s="2141"/>
      <c r="Q71" s="2134"/>
      <c r="R71" s="1969"/>
      <c r="S71" s="1969"/>
      <c r="T71" s="1969"/>
      <c r="U71" s="1969"/>
      <c r="V71" s="1969"/>
      <c r="W71" s="1969"/>
      <c r="X71" s="1969"/>
      <c r="Y71" s="1969"/>
      <c r="Z71" s="1969"/>
      <c r="AA71" s="1969"/>
      <c r="AB71" s="1969"/>
      <c r="AC71" s="1969"/>
    </row>
    <row r="72" spans="1:29" s="1206" customFormat="1" ht="15.75" thickBot="1">
      <c r="A72" s="709"/>
      <c r="B72" s="678"/>
      <c r="C72" s="692"/>
      <c r="D72" s="671"/>
      <c r="E72" s="671"/>
      <c r="F72" s="671"/>
      <c r="G72" s="671"/>
      <c r="H72" s="671"/>
      <c r="I72" s="671"/>
      <c r="J72" s="671"/>
      <c r="K72" s="671"/>
      <c r="L72" s="671"/>
      <c r="M72" s="672"/>
      <c r="N72" s="2142"/>
      <c r="O72" s="2142"/>
      <c r="P72" s="2141"/>
      <c r="Q72" s="2134"/>
      <c r="R72" s="1969"/>
      <c r="S72" s="1969"/>
      <c r="T72" s="1969"/>
      <c r="U72" s="1969"/>
      <c r="V72" s="1969"/>
      <c r="W72" s="1969"/>
      <c r="X72" s="1969"/>
      <c r="Y72" s="1969"/>
      <c r="Z72" s="1969"/>
      <c r="AA72" s="1969"/>
      <c r="AB72" s="1969"/>
      <c r="AC72" s="1969"/>
    </row>
    <row r="73" spans="1:29" s="1206" customFormat="1" ht="15.75" thickTop="1">
      <c r="A73" s="709"/>
      <c r="B73" s="673">
        <f>B24</f>
        <v>111</v>
      </c>
      <c r="C73" s="541"/>
      <c r="D73" s="541"/>
      <c r="E73" s="541"/>
      <c r="F73" s="541"/>
      <c r="G73" s="688"/>
      <c r="H73" s="688"/>
      <c r="I73" s="688"/>
      <c r="J73" s="688"/>
      <c r="K73" s="688"/>
      <c r="L73" s="688"/>
      <c r="M73" s="891"/>
      <c r="N73" s="2138"/>
      <c r="O73" s="2138"/>
      <c r="P73" s="2141"/>
      <c r="Q73" s="2134"/>
      <c r="R73" s="1969"/>
      <c r="S73" s="1969"/>
      <c r="T73" s="1969"/>
      <c r="U73" s="1969"/>
      <c r="V73" s="1969"/>
      <c r="W73" s="1969"/>
      <c r="X73" s="1969"/>
      <c r="Y73" s="1969"/>
      <c r="Z73" s="1969"/>
      <c r="AA73" s="1969"/>
      <c r="AB73" s="1969"/>
      <c r="AC73" s="1969"/>
    </row>
    <row r="74" spans="1:29" s="1206" customFormat="1" ht="15.75" thickBot="1">
      <c r="A74" s="709"/>
      <c r="B74" s="678"/>
      <c r="C74" s="692"/>
      <c r="D74" s="671"/>
      <c r="E74" s="671"/>
      <c r="F74" s="671"/>
      <c r="G74" s="671"/>
      <c r="H74" s="671"/>
      <c r="I74" s="671"/>
      <c r="J74" s="671"/>
      <c r="K74" s="671"/>
      <c r="L74" s="671"/>
      <c r="M74" s="672"/>
      <c r="N74" s="2142"/>
      <c r="O74" s="2142"/>
      <c r="P74" s="2141"/>
      <c r="Q74" s="2134"/>
      <c r="R74" s="1969"/>
      <c r="S74" s="1969"/>
      <c r="T74" s="1969"/>
      <c r="U74" s="1969"/>
      <c r="V74" s="1969"/>
      <c r="W74" s="1969"/>
      <c r="X74" s="1969"/>
      <c r="Y74" s="1969"/>
      <c r="Z74" s="1969"/>
      <c r="AA74" s="1969"/>
      <c r="AB74" s="1969"/>
      <c r="AC74" s="1969"/>
    </row>
    <row r="75" spans="1:29" s="1325" customFormat="1" ht="15.75" thickTop="1">
      <c r="A75" s="687"/>
      <c r="B75" s="673">
        <f>B25</f>
        <v>111</v>
      </c>
      <c r="C75" s="541"/>
      <c r="D75" s="541"/>
      <c r="E75" s="541"/>
      <c r="F75" s="541"/>
      <c r="G75" s="688"/>
      <c r="H75" s="689"/>
      <c r="I75" s="689"/>
      <c r="J75" s="689"/>
      <c r="K75" s="689"/>
      <c r="L75" s="690"/>
      <c r="M75" s="691"/>
      <c r="N75" s="2143"/>
      <c r="O75" s="2143"/>
      <c r="P75" s="2144"/>
      <c r="Q75" s="2145"/>
      <c r="R75" s="2146"/>
      <c r="S75" s="2146"/>
      <c r="T75" s="2146"/>
      <c r="U75" s="2146"/>
      <c r="V75" s="2146"/>
      <c r="W75" s="2146"/>
      <c r="X75" s="2146"/>
      <c r="Y75" s="2146"/>
      <c r="Z75" s="2146"/>
      <c r="AA75" s="2146"/>
      <c r="AB75" s="2146"/>
      <c r="AC75" s="2146"/>
    </row>
    <row r="76" spans="1:29" s="1325" customFormat="1" ht="15.75" thickBot="1">
      <c r="A76" s="687"/>
      <c r="B76" s="678"/>
      <c r="C76" s="692"/>
      <c r="D76" s="692"/>
      <c r="E76" s="692"/>
      <c r="F76" s="692"/>
      <c r="G76" s="671"/>
      <c r="H76" s="671"/>
      <c r="I76" s="671"/>
      <c r="J76" s="671"/>
      <c r="K76" s="671"/>
      <c r="L76" s="671"/>
      <c r="M76" s="672"/>
      <c r="N76" s="2143"/>
      <c r="O76" s="2143"/>
      <c r="P76" s="2144"/>
      <c r="Q76" s="2145"/>
      <c r="R76" s="2146"/>
      <c r="S76" s="2146"/>
      <c r="T76" s="2146"/>
      <c r="U76" s="2146"/>
      <c r="V76" s="2146"/>
      <c r="W76" s="2146"/>
      <c r="X76" s="2146"/>
      <c r="Y76" s="2146"/>
      <c r="Z76" s="2146"/>
      <c r="AA76" s="2146"/>
      <c r="AB76" s="2146"/>
      <c r="AC76" s="2146"/>
    </row>
    <row r="77" spans="1:29" ht="15" thickTop="1">
      <c r="A77" s="664" t="s">
        <v>550</v>
      </c>
      <c r="B77" s="665" t="s">
        <v>750</v>
      </c>
      <c r="C77" s="688"/>
      <c r="D77" s="688"/>
      <c r="E77" s="598"/>
      <c r="F77" s="598"/>
      <c r="G77" s="598"/>
      <c r="H77" s="598"/>
      <c r="I77" s="598"/>
      <c r="J77" s="598"/>
      <c r="K77" s="666"/>
      <c r="L77" s="667"/>
      <c r="M77" s="668"/>
      <c r="N77" s="2140"/>
      <c r="O77" s="2140"/>
      <c r="P77" s="2141"/>
      <c r="Q77" s="2134"/>
      <c r="R77" s="2121"/>
      <c r="S77" s="2121"/>
      <c r="T77" s="2121"/>
      <c r="U77" s="2121"/>
      <c r="V77" s="2121"/>
      <c r="W77" s="2121"/>
      <c r="X77" s="2121"/>
      <c r="Y77" s="2121"/>
      <c r="Z77" s="2121"/>
      <c r="AA77" s="2121"/>
      <c r="AB77" s="2121"/>
      <c r="AC77" s="212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2"/>
      <c r="O78" s="2142"/>
      <c r="P78" s="2141"/>
      <c r="Q78" s="2134"/>
      <c r="R78" s="2121"/>
      <c r="S78" s="2121"/>
      <c r="T78" s="2121"/>
      <c r="U78" s="2121"/>
      <c r="V78" s="2121"/>
      <c r="W78" s="2121"/>
      <c r="X78" s="2121"/>
      <c r="Y78" s="2121"/>
      <c r="Z78" s="2121"/>
      <c r="AA78" s="2121"/>
      <c r="AB78" s="2121"/>
      <c r="AC78" s="2121"/>
    </row>
    <row r="79" spans="1:29" ht="15.75" thickTop="1">
      <c r="A79" s="669"/>
      <c r="B79" s="673" t="s">
        <v>794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38"/>
      <c r="O79" s="2138"/>
      <c r="P79" s="2141"/>
      <c r="Q79" s="2134"/>
      <c r="R79" s="2121"/>
      <c r="S79" s="2121"/>
      <c r="T79" s="2121"/>
      <c r="U79" s="2121"/>
      <c r="V79" s="2121"/>
      <c r="W79" s="2121"/>
      <c r="X79" s="2121"/>
      <c r="Y79" s="2121"/>
      <c r="Z79" s="2121"/>
      <c r="AA79" s="2121"/>
      <c r="AB79" s="2121"/>
      <c r="AC79" s="2121"/>
    </row>
    <row r="80" spans="1:29" ht="15">
      <c r="A80" s="669"/>
      <c r="B80" s="681"/>
      <c r="C80" s="894">
        <v>0.5</v>
      </c>
      <c r="D80" s="894">
        <v>0.6</v>
      </c>
      <c r="E80" s="894">
        <v>0.7</v>
      </c>
      <c r="F80" s="894">
        <v>0.8</v>
      </c>
      <c r="G80" s="894">
        <v>0.9</v>
      </c>
      <c r="H80" s="894">
        <v>1.0001</v>
      </c>
      <c r="I80" s="926"/>
      <c r="J80" s="926"/>
      <c r="K80" s="936"/>
      <c r="L80" s="937"/>
      <c r="M80" s="938"/>
      <c r="N80" s="2138"/>
      <c r="O80" s="2138"/>
      <c r="P80" s="2141"/>
      <c r="Q80" s="2134"/>
      <c r="R80" s="2121"/>
      <c r="S80" s="2121"/>
      <c r="T80" s="2121"/>
      <c r="U80" s="2121"/>
      <c r="V80" s="2121"/>
      <c r="W80" s="2121"/>
      <c r="X80" s="2121"/>
      <c r="Y80" s="2121"/>
      <c r="Z80" s="2121"/>
      <c r="AA80" s="2121"/>
      <c r="AB80" s="2121"/>
      <c r="AC80" s="2121"/>
    </row>
    <row r="81" spans="1:29" s="132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2"/>
      <c r="O81" s="2142"/>
      <c r="P81" s="2144"/>
      <c r="Q81" s="2145"/>
      <c r="R81" s="2146"/>
      <c r="S81" s="2146"/>
      <c r="T81" s="2146"/>
      <c r="U81" s="2146"/>
      <c r="V81" s="2146"/>
      <c r="W81" s="2146"/>
      <c r="X81" s="2146"/>
      <c r="Y81" s="2146"/>
      <c r="Z81" s="2146"/>
      <c r="AA81" s="2146"/>
      <c r="AB81" s="2146"/>
      <c r="AC81" s="2146"/>
    </row>
    <row r="82" spans="1:29" ht="15" thickTop="1">
      <c r="A82" s="735"/>
      <c r="B82" s="681" t="s">
        <v>795</v>
      </c>
      <c r="C82" s="688"/>
      <c r="D82" s="688"/>
      <c r="E82" s="718"/>
      <c r="F82" s="718"/>
      <c r="G82" s="718"/>
      <c r="H82" s="718"/>
      <c r="I82" s="718"/>
      <c r="J82" s="718"/>
      <c r="K82" s="719"/>
      <c r="L82" s="720"/>
      <c r="M82" s="721"/>
      <c r="N82" s="2140"/>
      <c r="O82" s="2140"/>
      <c r="P82" s="2141"/>
      <c r="Q82" s="2134"/>
      <c r="R82" s="2121"/>
      <c r="S82" s="2121"/>
      <c r="T82" s="2121"/>
      <c r="U82" s="2121"/>
      <c r="V82" s="2121"/>
      <c r="W82" s="2121"/>
      <c r="X82" s="2121"/>
      <c r="Y82" s="2121"/>
      <c r="Z82" s="2121"/>
      <c r="AA82" s="2121"/>
      <c r="AB82" s="2121"/>
      <c r="AC82" s="212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2"/>
      <c r="O83" s="2142"/>
      <c r="P83" s="2141"/>
      <c r="Q83" s="2134"/>
      <c r="R83" s="2121"/>
      <c r="S83" s="2121"/>
      <c r="T83" s="2121"/>
      <c r="U83" s="2121"/>
      <c r="V83" s="2121"/>
      <c r="W83" s="2121"/>
      <c r="X83" s="2121"/>
      <c r="Y83" s="2121"/>
      <c r="Z83" s="2121"/>
      <c r="AA83" s="2121"/>
      <c r="AB83" s="2121"/>
      <c r="AC83" s="2121"/>
    </row>
    <row r="84" spans="1:29" ht="15" thickTop="1">
      <c r="A84" s="735"/>
      <c r="B84" s="673" t="s">
        <v>803</v>
      </c>
      <c r="C84" s="688"/>
      <c r="D84" s="688"/>
      <c r="E84" s="688"/>
      <c r="F84" s="688"/>
      <c r="G84" s="688"/>
      <c r="H84" s="688"/>
      <c r="I84" s="718"/>
      <c r="J84" s="718"/>
      <c r="K84" s="719"/>
      <c r="L84" s="720"/>
      <c r="M84" s="721"/>
      <c r="N84" s="2140"/>
      <c r="O84" s="2140"/>
      <c r="P84" s="2141"/>
      <c r="Q84" s="2134"/>
      <c r="R84" s="2121"/>
      <c r="S84" s="2121"/>
      <c r="T84" s="2121"/>
      <c r="U84" s="2121"/>
      <c r="V84" s="2121"/>
      <c r="W84" s="2121"/>
      <c r="X84" s="2121"/>
      <c r="Y84" s="2121"/>
      <c r="Z84" s="2121"/>
      <c r="AA84" s="2121"/>
      <c r="AB84" s="2121"/>
      <c r="AC84" s="212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2"/>
      <c r="O85" s="2142"/>
      <c r="P85" s="2141"/>
      <c r="Q85" s="2134"/>
      <c r="R85" s="2121"/>
      <c r="S85" s="2121"/>
      <c r="T85" s="2121"/>
      <c r="U85" s="2121"/>
      <c r="V85" s="2121"/>
      <c r="W85" s="2121"/>
      <c r="X85" s="2121"/>
      <c r="Y85" s="2121"/>
      <c r="Z85" s="2121"/>
      <c r="AA85" s="2121"/>
      <c r="AB85" s="2121"/>
      <c r="AC85" s="2121"/>
    </row>
    <row r="86" spans="1:29" ht="15" thickTop="1">
      <c r="A86" s="735"/>
      <c r="B86" s="681" t="s">
        <v>804</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0"/>
      <c r="O86" s="2140"/>
      <c r="P86" s="2141"/>
      <c r="Q86" s="2134"/>
      <c r="R86" s="2121"/>
      <c r="S86" s="2121"/>
      <c r="T86" s="2121"/>
      <c r="U86" s="2121"/>
      <c r="V86" s="2121"/>
      <c r="W86" s="2121"/>
      <c r="X86" s="2121"/>
      <c r="Y86" s="2121"/>
      <c r="Z86" s="2121"/>
      <c r="AA86" s="2121"/>
      <c r="AB86" s="2121"/>
      <c r="AC86" s="2121"/>
    </row>
    <row r="87" spans="1:29">
      <c r="A87" s="735"/>
      <c r="B87" s="681"/>
      <c r="C87" s="730"/>
      <c r="D87" s="730"/>
      <c r="E87" s="730"/>
      <c r="F87" s="730"/>
      <c r="G87" s="730"/>
      <c r="H87" s="730"/>
      <c r="I87" s="730"/>
      <c r="J87" s="731"/>
      <c r="K87" s="731"/>
      <c r="L87" s="732"/>
      <c r="M87" s="733"/>
      <c r="N87" s="2140"/>
      <c r="O87" s="2140"/>
      <c r="P87" s="2141"/>
      <c r="Q87" s="2134"/>
      <c r="R87" s="2121"/>
      <c r="S87" s="2121"/>
      <c r="T87" s="2121"/>
      <c r="U87" s="2121"/>
      <c r="V87" s="2121"/>
      <c r="W87" s="2121"/>
      <c r="X87" s="2121"/>
      <c r="Y87" s="2121"/>
      <c r="Z87" s="2121"/>
      <c r="AA87" s="2121"/>
      <c r="AB87" s="2121"/>
      <c r="AC87" s="2121"/>
    </row>
    <row r="88" spans="1:29" ht="15.75" thickBot="1">
      <c r="A88" s="669"/>
      <c r="B88" s="678"/>
      <c r="C88" s="692"/>
      <c r="D88" s="671"/>
      <c r="E88" s="671"/>
      <c r="F88" s="671"/>
      <c r="G88" s="671"/>
      <c r="H88" s="671"/>
      <c r="I88" s="671"/>
      <c r="J88" s="671"/>
      <c r="K88" s="671"/>
      <c r="L88" s="671"/>
      <c r="M88" s="671"/>
      <c r="N88" s="2142"/>
      <c r="O88" s="2142"/>
      <c r="P88" s="2141"/>
      <c r="Q88" s="2134"/>
      <c r="R88" s="2121"/>
      <c r="S88" s="2121"/>
      <c r="T88" s="2121"/>
      <c r="U88" s="2121"/>
      <c r="V88" s="2121"/>
      <c r="W88" s="2121"/>
      <c r="X88" s="2121"/>
      <c r="Y88" s="2121"/>
      <c r="Z88" s="2121"/>
      <c r="AA88" s="2121"/>
      <c r="AB88" s="2121"/>
      <c r="AC88" s="2121"/>
    </row>
    <row r="89" spans="1:29" s="1325" customFormat="1" ht="15" thickTop="1">
      <c r="A89" s="728"/>
      <c r="B89" s="673" t="s">
        <v>805</v>
      </c>
      <c r="C89" s="688"/>
      <c r="D89" s="688"/>
      <c r="E89" s="688"/>
      <c r="F89" s="688"/>
      <c r="G89" s="688"/>
      <c r="H89" s="688"/>
      <c r="I89" s="688"/>
      <c r="J89" s="688"/>
      <c r="K89" s="688"/>
      <c r="L89" s="688"/>
      <c r="M89" s="891"/>
      <c r="N89" s="2143"/>
      <c r="O89" s="2143"/>
      <c r="P89" s="2144"/>
      <c r="Q89" s="2145"/>
      <c r="R89" s="2146"/>
      <c r="S89" s="2146"/>
      <c r="T89" s="2146"/>
      <c r="U89" s="2146"/>
      <c r="V89" s="2146"/>
      <c r="W89" s="2146"/>
      <c r="X89" s="2146"/>
      <c r="Y89" s="2146"/>
      <c r="Z89" s="2146"/>
      <c r="AA89" s="2146"/>
      <c r="AB89" s="2146"/>
      <c r="AC89" s="2146"/>
    </row>
    <row r="90" spans="1:29" s="1325" customFormat="1" ht="15.75" thickBot="1">
      <c r="A90" s="687"/>
      <c r="B90" s="678"/>
      <c r="C90" s="692"/>
      <c r="D90" s="671"/>
      <c r="E90" s="671"/>
      <c r="F90" s="671"/>
      <c r="G90" s="671"/>
      <c r="H90" s="671"/>
      <c r="I90" s="671"/>
      <c r="J90" s="671"/>
      <c r="K90" s="671"/>
      <c r="L90" s="671"/>
      <c r="M90" s="672"/>
      <c r="N90" s="2143"/>
      <c r="O90" s="2143"/>
      <c r="P90" s="2144"/>
      <c r="Q90" s="2145"/>
      <c r="R90" s="2146"/>
      <c r="S90" s="2146"/>
      <c r="T90" s="2146"/>
      <c r="U90" s="2146"/>
      <c r="V90" s="2146"/>
      <c r="W90" s="2146"/>
      <c r="X90" s="2146"/>
      <c r="Y90" s="2146"/>
      <c r="Z90" s="2146"/>
      <c r="AA90" s="2146"/>
      <c r="AB90" s="2146"/>
      <c r="AC90" s="2146"/>
    </row>
    <row r="91" spans="1:29" ht="15" thickTop="1">
      <c r="A91" s="735"/>
      <c r="B91" s="673">
        <f>B32</f>
        <v>111</v>
      </c>
      <c r="C91" s="541"/>
      <c r="D91" s="541"/>
      <c r="E91" s="541"/>
      <c r="F91" s="541"/>
      <c r="G91" s="688"/>
      <c r="H91" s="689"/>
      <c r="I91" s="689"/>
      <c r="J91" s="689"/>
      <c r="K91" s="689"/>
      <c r="L91" s="690"/>
      <c r="M91" s="691"/>
      <c r="N91" s="2140"/>
      <c r="O91" s="2140"/>
      <c r="P91" s="2141"/>
      <c r="Q91" s="2134"/>
      <c r="R91" s="2121"/>
      <c r="S91" s="2121"/>
      <c r="T91" s="2121"/>
      <c r="U91" s="2121"/>
      <c r="V91" s="2121"/>
      <c r="W91" s="2121"/>
      <c r="X91" s="2121"/>
      <c r="Y91" s="2121"/>
      <c r="Z91" s="2121"/>
      <c r="AA91" s="2121"/>
      <c r="AB91" s="2121"/>
      <c r="AC91" s="2121"/>
    </row>
    <row r="92" spans="1:29" ht="15.75" thickBot="1">
      <c r="A92" s="669"/>
      <c r="B92" s="678"/>
      <c r="C92" s="692"/>
      <c r="D92" s="671"/>
      <c r="E92" s="671"/>
      <c r="F92" s="671"/>
      <c r="G92" s="692"/>
      <c r="H92" s="693"/>
      <c r="I92" s="693"/>
      <c r="J92" s="693"/>
      <c r="K92" s="693"/>
      <c r="L92" s="693"/>
      <c r="M92" s="694"/>
      <c r="N92" s="2142"/>
      <c r="O92" s="2142"/>
      <c r="P92" s="2141"/>
      <c r="Q92" s="2134"/>
      <c r="R92" s="2121"/>
      <c r="S92" s="2121"/>
      <c r="T92" s="2121"/>
      <c r="U92" s="2121"/>
      <c r="V92" s="2121"/>
      <c r="W92" s="2121"/>
      <c r="X92" s="2121"/>
      <c r="Y92" s="2121"/>
      <c r="Z92" s="2121"/>
      <c r="AA92" s="2121"/>
      <c r="AB92" s="2121"/>
      <c r="AC92" s="2121"/>
    </row>
    <row r="93" spans="1:29" ht="15" thickTop="1">
      <c r="A93" s="735"/>
      <c r="B93" s="673">
        <f>B33</f>
        <v>111</v>
      </c>
      <c r="C93" s="541"/>
      <c r="D93" s="541"/>
      <c r="E93" s="541"/>
      <c r="F93" s="541"/>
      <c r="G93" s="688"/>
      <c r="H93" s="689"/>
      <c r="I93" s="689"/>
      <c r="J93" s="689"/>
      <c r="K93" s="689"/>
      <c r="L93" s="690"/>
      <c r="M93" s="691"/>
      <c r="N93" s="2140"/>
      <c r="O93" s="2140"/>
      <c r="P93" s="2141"/>
      <c r="Q93" s="2134"/>
      <c r="R93" s="2121"/>
      <c r="S93" s="2121"/>
      <c r="T93" s="2121"/>
      <c r="U93" s="2121"/>
      <c r="V93" s="2121"/>
      <c r="W93" s="2121"/>
      <c r="X93" s="2121"/>
      <c r="Y93" s="2121"/>
      <c r="Z93" s="2121"/>
      <c r="AA93" s="2121"/>
      <c r="AB93" s="2121"/>
      <c r="AC93" s="2121"/>
    </row>
    <row r="94" spans="1:29" ht="15.75" thickBot="1">
      <c r="A94" s="669"/>
      <c r="B94" s="678"/>
      <c r="C94" s="692"/>
      <c r="D94" s="671"/>
      <c r="E94" s="671"/>
      <c r="F94" s="671"/>
      <c r="G94" s="692"/>
      <c r="H94" s="693"/>
      <c r="I94" s="693"/>
      <c r="J94" s="693"/>
      <c r="K94" s="693"/>
      <c r="L94" s="693"/>
      <c r="M94" s="694"/>
      <c r="N94" s="2142"/>
      <c r="O94" s="2142"/>
      <c r="P94" s="2141"/>
      <c r="Q94" s="2134"/>
      <c r="R94" s="2121"/>
      <c r="S94" s="2121"/>
      <c r="T94" s="2121"/>
      <c r="U94" s="2121"/>
      <c r="V94" s="2121"/>
      <c r="W94" s="2121"/>
      <c r="X94" s="2121"/>
      <c r="Y94" s="2121"/>
      <c r="Z94" s="2121"/>
      <c r="AA94" s="2121"/>
      <c r="AB94" s="2121"/>
      <c r="AC94" s="2121"/>
    </row>
    <row r="95" spans="1:29" ht="15" thickTop="1">
      <c r="A95" s="735"/>
      <c r="B95" s="910">
        <f>B34</f>
        <v>111</v>
      </c>
      <c r="C95" s="541"/>
      <c r="D95" s="541"/>
      <c r="E95" s="541"/>
      <c r="F95" s="541"/>
      <c r="G95" s="688"/>
      <c r="H95" s="689"/>
      <c r="I95" s="689"/>
      <c r="J95" s="689"/>
      <c r="K95" s="689"/>
      <c r="L95" s="690"/>
      <c r="M95" s="691"/>
      <c r="N95" s="2142"/>
      <c r="O95" s="2142"/>
      <c r="P95" s="2181"/>
      <c r="Q95" s="2182"/>
      <c r="R95" s="2121"/>
      <c r="S95" s="2121"/>
      <c r="T95" s="2121"/>
      <c r="U95" s="2121"/>
      <c r="V95" s="2121"/>
      <c r="W95" s="2121"/>
      <c r="X95" s="2121"/>
      <c r="Y95" s="2121"/>
      <c r="Z95" s="2121"/>
      <c r="AA95" s="2121"/>
      <c r="AB95" s="2121"/>
      <c r="AC95" s="2121"/>
    </row>
    <row r="96" spans="1:29" ht="15.75" thickBot="1">
      <c r="A96" s="669"/>
      <c r="B96" s="678"/>
      <c r="C96" s="692"/>
      <c r="D96" s="692"/>
      <c r="E96" s="692"/>
      <c r="F96" s="692"/>
      <c r="G96" s="692"/>
      <c r="H96" s="693"/>
      <c r="I96" s="693"/>
      <c r="J96" s="693"/>
      <c r="K96" s="693"/>
      <c r="L96" s="693"/>
      <c r="M96" s="694"/>
      <c r="N96" s="2142"/>
      <c r="O96" s="2142"/>
      <c r="P96" s="2141"/>
      <c r="Q96" s="2134"/>
      <c r="R96" s="2121"/>
      <c r="S96" s="2121"/>
      <c r="T96" s="2121"/>
      <c r="U96" s="2121"/>
      <c r="V96" s="2121"/>
      <c r="W96" s="2121"/>
      <c r="X96" s="2121"/>
      <c r="Y96" s="2121"/>
      <c r="Z96" s="2121"/>
      <c r="AA96" s="2121"/>
      <c r="AB96" s="2121"/>
      <c r="AC96" s="2121"/>
    </row>
    <row r="97" spans="1:29" ht="15" thickTop="1">
      <c r="A97" s="2155"/>
      <c r="B97" s="2155"/>
      <c r="C97" s="2155"/>
      <c r="D97" s="2155"/>
      <c r="E97" s="2155"/>
      <c r="F97" s="2155"/>
      <c r="G97" s="2155"/>
      <c r="H97" s="2155"/>
      <c r="I97" s="2155"/>
      <c r="J97" s="2155"/>
      <c r="K97" s="2156"/>
      <c r="L97" s="2157"/>
      <c r="M97" s="2155"/>
      <c r="N97" s="2155"/>
      <c r="O97" s="2155"/>
      <c r="P97" s="2155"/>
      <c r="Q97" s="2155"/>
      <c r="R97" s="2155"/>
      <c r="S97" s="2155"/>
      <c r="T97" s="2155"/>
      <c r="U97" s="2155"/>
      <c r="V97" s="2155"/>
      <c r="W97" s="2155"/>
      <c r="X97" s="2155"/>
      <c r="Y97" s="2155"/>
      <c r="Z97" s="2155"/>
      <c r="AA97" s="2155"/>
      <c r="AB97" s="2155"/>
      <c r="AC97" s="2155"/>
    </row>
    <row r="98" spans="1:29">
      <c r="A98" s="2155"/>
      <c r="B98" s="2155"/>
      <c r="C98" s="2155"/>
      <c r="D98" s="2155"/>
      <c r="E98" s="2155"/>
      <c r="F98" s="2155"/>
      <c r="G98" s="2155"/>
      <c r="H98" s="2155"/>
      <c r="I98" s="2155"/>
      <c r="J98" s="2155"/>
      <c r="K98" s="2156"/>
      <c r="L98" s="2157"/>
      <c r="M98" s="2155"/>
      <c r="N98" s="2155"/>
      <c r="O98" s="2155"/>
      <c r="P98" s="2155"/>
      <c r="Q98" s="2155"/>
      <c r="R98" s="2155"/>
      <c r="S98" s="2155"/>
      <c r="T98" s="2155"/>
      <c r="U98" s="2155"/>
      <c r="V98" s="2155"/>
      <c r="W98" s="2155"/>
      <c r="X98" s="2155"/>
      <c r="Y98" s="2155"/>
      <c r="Z98" s="2155"/>
      <c r="AA98" s="2155"/>
      <c r="AB98" s="2155"/>
      <c r="AC98" s="2155"/>
    </row>
    <row r="99" spans="1:29">
      <c r="A99" s="2155"/>
      <c r="B99" s="2155"/>
      <c r="C99" s="2155"/>
      <c r="D99" s="2155"/>
      <c r="E99" s="2155"/>
      <c r="F99" s="2155"/>
      <c r="G99" s="2155"/>
      <c r="H99" s="2155"/>
      <c r="I99" s="2155"/>
      <c r="J99" s="2155"/>
      <c r="K99" s="2156"/>
      <c r="L99" s="2157"/>
      <c r="M99" s="2155"/>
      <c r="N99" s="2155"/>
      <c r="O99" s="2155"/>
      <c r="P99" s="2155"/>
      <c r="Q99" s="2155"/>
      <c r="R99" s="2155"/>
      <c r="S99" s="2155"/>
      <c r="T99" s="2155"/>
      <c r="U99" s="2155"/>
      <c r="V99" s="2155"/>
      <c r="W99" s="2155"/>
      <c r="X99" s="2155"/>
      <c r="Y99" s="2155"/>
      <c r="Z99" s="2155"/>
      <c r="AA99" s="2155"/>
      <c r="AB99" s="2155"/>
      <c r="AC99" s="2155"/>
    </row>
    <row r="100" spans="1:29">
      <c r="A100" s="2155"/>
      <c r="B100" s="2155"/>
      <c r="C100" s="2155"/>
      <c r="D100" s="2155"/>
      <c r="E100" s="2155"/>
      <c r="F100" s="2155"/>
      <c r="G100" s="2155"/>
      <c r="H100" s="2155"/>
      <c r="I100" s="2155"/>
      <c r="J100" s="2155"/>
      <c r="K100" s="2156"/>
      <c r="L100" s="2157"/>
      <c r="M100" s="2155"/>
      <c r="N100" s="2155"/>
      <c r="O100" s="2155"/>
      <c r="P100" s="2155"/>
      <c r="Q100" s="2155"/>
      <c r="R100" s="2155"/>
      <c r="S100" s="2155"/>
      <c r="T100" s="2155"/>
      <c r="U100" s="2155"/>
      <c r="V100" s="2155"/>
      <c r="W100" s="2155"/>
      <c r="X100" s="2155"/>
      <c r="Y100" s="2155"/>
      <c r="Z100" s="2155"/>
      <c r="AA100" s="2155"/>
      <c r="AB100" s="2155"/>
      <c r="AC100" s="2155"/>
    </row>
    <row r="101" spans="1:29">
      <c r="A101" s="2155"/>
      <c r="B101" s="2155"/>
      <c r="C101" s="2155"/>
      <c r="D101" s="2155"/>
      <c r="E101" s="2155"/>
      <c r="F101" s="2155"/>
      <c r="G101" s="2155"/>
      <c r="H101" s="2155"/>
      <c r="I101" s="2155"/>
      <c r="J101" s="2155"/>
      <c r="K101" s="2156"/>
      <c r="L101" s="2157"/>
      <c r="M101" s="2155"/>
      <c r="N101" s="2155"/>
      <c r="O101" s="2155"/>
      <c r="P101" s="2155"/>
      <c r="Q101" s="2155"/>
      <c r="R101" s="2155"/>
      <c r="S101" s="2155"/>
      <c r="T101" s="2155"/>
      <c r="U101" s="2155"/>
      <c r="V101" s="2155"/>
      <c r="W101" s="2155"/>
      <c r="X101" s="2155"/>
      <c r="Y101" s="2155"/>
      <c r="Z101" s="2155"/>
      <c r="AA101" s="2155"/>
      <c r="AB101" s="2155"/>
      <c r="AC101" s="2155"/>
    </row>
    <row r="102" spans="1:29">
      <c r="A102" s="2155"/>
      <c r="B102" s="2155"/>
      <c r="C102" s="2155"/>
      <c r="D102" s="2155"/>
      <c r="E102" s="2155"/>
      <c r="F102" s="2155"/>
      <c r="G102" s="2155"/>
      <c r="H102" s="2155"/>
      <c r="I102" s="2155"/>
      <c r="J102" s="2155"/>
      <c r="K102" s="2156"/>
      <c r="L102" s="2157"/>
      <c r="M102" s="2155"/>
      <c r="N102" s="2155"/>
      <c r="O102" s="2155"/>
      <c r="P102" s="2155"/>
      <c r="Q102" s="2155"/>
      <c r="R102" s="2155"/>
      <c r="S102" s="2155"/>
      <c r="T102" s="2155"/>
      <c r="U102" s="2155"/>
      <c r="V102" s="2155"/>
      <c r="W102" s="2155"/>
      <c r="X102" s="2155"/>
      <c r="Y102" s="2155"/>
      <c r="Z102" s="2155"/>
      <c r="AA102" s="2155"/>
      <c r="AB102" s="2155"/>
      <c r="AC102" s="2155"/>
    </row>
    <row r="103" spans="1:29">
      <c r="A103" s="2155"/>
      <c r="B103" s="2155"/>
      <c r="C103" s="2155"/>
      <c r="D103" s="2155"/>
      <c r="E103" s="2155"/>
      <c r="F103" s="2155"/>
      <c r="G103" s="2155"/>
      <c r="H103" s="2155"/>
      <c r="I103" s="2155"/>
      <c r="J103" s="2155"/>
      <c r="K103" s="2156"/>
      <c r="L103" s="2157"/>
      <c r="M103" s="2155"/>
      <c r="N103" s="2155"/>
      <c r="O103" s="2155"/>
      <c r="P103" s="2155"/>
      <c r="Q103" s="2155"/>
      <c r="R103" s="2155"/>
      <c r="S103" s="2155"/>
      <c r="T103" s="2155"/>
      <c r="U103" s="2155"/>
      <c r="V103" s="2155"/>
      <c r="W103" s="2155"/>
      <c r="X103" s="2155"/>
      <c r="Y103" s="2155"/>
      <c r="Z103" s="2155"/>
      <c r="AA103" s="2155"/>
      <c r="AB103" s="2155"/>
      <c r="AC103" s="2155"/>
    </row>
    <row r="104" spans="1:29">
      <c r="A104" s="2155"/>
      <c r="B104" s="2155"/>
      <c r="C104" s="2155"/>
      <c r="D104" s="2155"/>
      <c r="E104" s="2155"/>
      <c r="F104" s="2155"/>
      <c r="G104" s="2155"/>
      <c r="H104" s="2155"/>
      <c r="I104" s="2155"/>
      <c r="J104" s="2155"/>
      <c r="K104" s="2156"/>
      <c r="L104" s="2157"/>
      <c r="M104" s="2155"/>
      <c r="N104" s="2155"/>
      <c r="O104" s="2155"/>
      <c r="P104" s="2155"/>
      <c r="Q104" s="2155"/>
      <c r="R104" s="2155"/>
      <c r="S104" s="2155"/>
      <c r="T104" s="2155"/>
      <c r="U104" s="2155"/>
      <c r="V104" s="2155"/>
      <c r="W104" s="2155"/>
      <c r="X104" s="2155"/>
      <c r="Y104" s="2155"/>
      <c r="Z104" s="2155"/>
      <c r="AA104" s="2155"/>
      <c r="AB104" s="2155"/>
      <c r="AC104" s="2155"/>
    </row>
    <row r="105" spans="1:29">
      <c r="A105" s="2155"/>
      <c r="B105" s="2155"/>
      <c r="C105" s="2155"/>
      <c r="D105" s="2155"/>
      <c r="E105" s="2155"/>
      <c r="F105" s="2155"/>
      <c r="G105" s="2155"/>
      <c r="H105" s="2155"/>
      <c r="I105" s="2155"/>
      <c r="J105" s="2155"/>
      <c r="K105" s="2156"/>
      <c r="L105" s="2157"/>
      <c r="M105" s="2155"/>
      <c r="N105" s="2155"/>
      <c r="O105" s="2155"/>
      <c r="P105" s="2155"/>
      <c r="Q105" s="2155"/>
      <c r="R105" s="2155"/>
      <c r="S105" s="2155"/>
      <c r="T105" s="2155"/>
      <c r="U105" s="2155"/>
      <c r="V105" s="2155"/>
      <c r="W105" s="2155"/>
      <c r="X105" s="2155"/>
      <c r="Y105" s="2155"/>
      <c r="Z105" s="2155"/>
      <c r="AA105" s="2155"/>
      <c r="AB105" s="2155"/>
      <c r="AC105" s="2155"/>
    </row>
    <row r="106" spans="1:29">
      <c r="A106" s="2155"/>
      <c r="B106" s="2155"/>
      <c r="C106" s="2155"/>
      <c r="D106" s="2155"/>
      <c r="E106" s="2155"/>
      <c r="F106" s="2155"/>
      <c r="G106" s="2155"/>
      <c r="H106" s="2155"/>
      <c r="I106" s="2155"/>
      <c r="J106" s="2155"/>
      <c r="K106" s="2156"/>
      <c r="L106" s="2157"/>
      <c r="M106" s="2155"/>
      <c r="N106" s="2155"/>
      <c r="O106" s="2155"/>
      <c r="P106" s="2155"/>
      <c r="Q106" s="2155"/>
      <c r="R106" s="2155"/>
      <c r="S106" s="2155"/>
      <c r="T106" s="2155"/>
      <c r="U106" s="2155"/>
      <c r="V106" s="2155"/>
      <c r="W106" s="2155"/>
      <c r="X106" s="2155"/>
      <c r="Y106" s="2155"/>
      <c r="Z106" s="2155"/>
      <c r="AA106" s="2155"/>
      <c r="AB106" s="2155"/>
      <c r="AC106" s="2155"/>
    </row>
    <row r="107" spans="1:29">
      <c r="A107" s="2155"/>
      <c r="B107" s="2155"/>
      <c r="C107" s="2155"/>
      <c r="D107" s="2155"/>
      <c r="E107" s="2155"/>
      <c r="F107" s="2155"/>
      <c r="G107" s="2155"/>
      <c r="H107" s="2155"/>
      <c r="I107" s="2155"/>
      <c r="J107" s="2155"/>
      <c r="K107" s="2156"/>
      <c r="L107" s="2157"/>
      <c r="M107" s="2155"/>
      <c r="N107" s="2155"/>
      <c r="O107" s="2155"/>
      <c r="P107" s="2155"/>
      <c r="Q107" s="2155"/>
      <c r="R107" s="2155"/>
      <c r="S107" s="2155"/>
      <c r="T107" s="2155"/>
      <c r="U107" s="2155"/>
      <c r="V107" s="2155"/>
      <c r="W107" s="2155"/>
      <c r="X107" s="2155"/>
      <c r="Y107" s="2155"/>
      <c r="Z107" s="2155"/>
      <c r="AA107" s="2155"/>
      <c r="AB107" s="2155"/>
      <c r="AC107" s="2155"/>
    </row>
    <row r="108" spans="1:29">
      <c r="A108" s="2155"/>
      <c r="B108" s="2155"/>
      <c r="C108" s="2155"/>
      <c r="D108" s="2155"/>
      <c r="E108" s="2155"/>
      <c r="F108" s="2155"/>
      <c r="G108" s="2155"/>
      <c r="H108" s="2155"/>
      <c r="I108" s="2155"/>
      <c r="J108" s="2155"/>
      <c r="K108" s="2156"/>
      <c r="L108" s="2157"/>
      <c r="M108" s="2155"/>
      <c r="N108" s="2155"/>
      <c r="O108" s="2155"/>
      <c r="P108" s="2155"/>
      <c r="Q108" s="2155"/>
      <c r="R108" s="2155"/>
      <c r="S108" s="2155"/>
      <c r="T108" s="2155"/>
      <c r="U108" s="2155"/>
      <c r="V108" s="2155"/>
      <c r="W108" s="2155"/>
      <c r="X108" s="2155"/>
      <c r="Y108" s="2155"/>
      <c r="Z108" s="2155"/>
      <c r="AA108" s="2155"/>
      <c r="AB108" s="2155"/>
      <c r="AC108" s="2155"/>
    </row>
    <row r="109" spans="1:29">
      <c r="A109" s="2155"/>
      <c r="B109" s="2155"/>
      <c r="C109" s="2155"/>
      <c r="D109" s="2155"/>
      <c r="E109" s="2155"/>
      <c r="F109" s="2155"/>
      <c r="G109" s="2155"/>
      <c r="H109" s="2155"/>
      <c r="I109" s="2155"/>
      <c r="J109" s="2155"/>
      <c r="K109" s="2156"/>
      <c r="L109" s="2157"/>
      <c r="M109" s="2155"/>
      <c r="N109" s="2155"/>
      <c r="O109" s="2155"/>
      <c r="P109" s="2155"/>
      <c r="Q109" s="2155"/>
      <c r="R109" s="2155"/>
      <c r="S109" s="2155"/>
      <c r="T109" s="2155"/>
      <c r="U109" s="2155"/>
      <c r="V109" s="2155"/>
      <c r="W109" s="2155"/>
      <c r="X109" s="2155"/>
      <c r="Y109" s="2155"/>
      <c r="Z109" s="2155"/>
      <c r="AA109" s="2155"/>
      <c r="AB109" s="2155"/>
      <c r="AC109" s="2155"/>
    </row>
    <row r="110" spans="1:29">
      <c r="A110" s="2155"/>
      <c r="B110" s="2155"/>
      <c r="C110" s="2155"/>
      <c r="D110" s="2155"/>
      <c r="E110" s="2155"/>
      <c r="F110" s="2155"/>
      <c r="G110" s="2155"/>
      <c r="H110" s="2155"/>
      <c r="I110" s="2155"/>
      <c r="J110" s="2155"/>
      <c r="K110" s="2156"/>
      <c r="L110" s="2157"/>
      <c r="M110" s="2155"/>
      <c r="N110" s="2155"/>
      <c r="O110" s="2155"/>
      <c r="P110" s="2155"/>
      <c r="Q110" s="2155"/>
      <c r="R110" s="2155"/>
      <c r="S110" s="2155"/>
      <c r="T110" s="2155"/>
      <c r="U110" s="2155"/>
      <c r="V110" s="2155"/>
      <c r="W110" s="2155"/>
      <c r="X110" s="2155"/>
      <c r="Y110" s="2155"/>
      <c r="Z110" s="2155"/>
      <c r="AA110" s="2155"/>
      <c r="AB110" s="2155"/>
      <c r="AC110" s="2155"/>
    </row>
    <row r="111" spans="1:29">
      <c r="A111" s="2155"/>
      <c r="B111" s="2155"/>
      <c r="C111" s="2155"/>
      <c r="D111" s="2155"/>
      <c r="E111" s="2155"/>
      <c r="F111" s="2155"/>
      <c r="G111" s="2155"/>
      <c r="H111" s="2155"/>
      <c r="I111" s="2155"/>
      <c r="J111" s="2155"/>
      <c r="K111" s="2156"/>
      <c r="L111" s="2157"/>
      <c r="M111" s="2155"/>
      <c r="N111" s="2155"/>
      <c r="O111" s="2155"/>
      <c r="P111" s="2155"/>
      <c r="Q111" s="2155"/>
      <c r="R111" s="2155"/>
      <c r="S111" s="2155"/>
      <c r="T111" s="2155"/>
      <c r="U111" s="2155"/>
      <c r="V111" s="2155"/>
      <c r="W111" s="2155"/>
      <c r="X111" s="2155"/>
      <c r="Y111" s="2155"/>
      <c r="Z111" s="2155"/>
      <c r="AA111" s="2155"/>
      <c r="AB111" s="2155"/>
      <c r="AC111" s="2155"/>
    </row>
    <row r="112" spans="1:29">
      <c r="A112" s="2155"/>
      <c r="B112" s="2155"/>
      <c r="C112" s="2155"/>
      <c r="D112" s="2155"/>
      <c r="E112" s="2155"/>
      <c r="F112" s="2155"/>
      <c r="G112" s="2155"/>
      <c r="H112" s="2155"/>
      <c r="I112" s="2155"/>
      <c r="J112" s="2155"/>
      <c r="K112" s="2156"/>
      <c r="L112" s="2157"/>
      <c r="M112" s="2155"/>
      <c r="N112" s="2155"/>
      <c r="O112" s="2155"/>
      <c r="P112" s="2155"/>
      <c r="Q112" s="2155"/>
      <c r="R112" s="2155"/>
      <c r="S112" s="2155"/>
      <c r="T112" s="2155"/>
      <c r="U112" s="2155"/>
      <c r="V112" s="2155"/>
      <c r="W112" s="2155"/>
      <c r="X112" s="2155"/>
      <c r="Y112" s="2155"/>
      <c r="Z112" s="2155"/>
      <c r="AA112" s="2155"/>
      <c r="AB112" s="2155"/>
      <c r="AC112" s="2155"/>
    </row>
    <row r="113" spans="1:29">
      <c r="A113" s="2155"/>
      <c r="B113" s="2155"/>
      <c r="C113" s="2155"/>
      <c r="D113" s="2155"/>
      <c r="E113" s="2155"/>
      <c r="F113" s="2155"/>
      <c r="G113" s="2155"/>
      <c r="H113" s="2155"/>
      <c r="I113" s="2155"/>
      <c r="J113" s="2155"/>
      <c r="K113" s="2156"/>
      <c r="L113" s="2157"/>
      <c r="M113" s="2155"/>
      <c r="N113" s="2155"/>
      <c r="O113" s="2155"/>
      <c r="P113" s="2155"/>
      <c r="Q113" s="2155"/>
      <c r="R113" s="2155"/>
      <c r="S113" s="2155"/>
      <c r="T113" s="2155"/>
      <c r="U113" s="2155"/>
      <c r="V113" s="2155"/>
      <c r="W113" s="2155"/>
      <c r="X113" s="2155"/>
      <c r="Y113" s="2155"/>
      <c r="Z113" s="2155"/>
      <c r="AA113" s="2155"/>
      <c r="AB113" s="2155"/>
      <c r="AC113" s="2155"/>
    </row>
    <row r="114" spans="1:29">
      <c r="A114" s="2155"/>
      <c r="B114" s="2155"/>
      <c r="C114" s="2155"/>
      <c r="D114" s="2155"/>
      <c r="E114" s="2155"/>
      <c r="F114" s="2155"/>
      <c r="G114" s="2155"/>
      <c r="H114" s="2155"/>
      <c r="I114" s="2155"/>
      <c r="J114" s="2155"/>
      <c r="K114" s="2156"/>
      <c r="L114" s="2157"/>
      <c r="M114" s="2155"/>
      <c r="N114" s="2155"/>
      <c r="O114" s="2155"/>
      <c r="P114" s="2155"/>
      <c r="Q114" s="2155"/>
      <c r="R114" s="2155"/>
      <c r="S114" s="2155"/>
      <c r="T114" s="2155"/>
      <c r="U114" s="2155"/>
      <c r="V114" s="2155"/>
      <c r="W114" s="2155"/>
      <c r="X114" s="2155"/>
      <c r="Y114" s="2155"/>
      <c r="Z114" s="2155"/>
      <c r="AA114" s="2155"/>
      <c r="AB114" s="2155"/>
      <c r="AC114" s="2155"/>
    </row>
    <row r="115" spans="1:29">
      <c r="A115" s="2155"/>
      <c r="B115" s="2155"/>
      <c r="C115" s="2155"/>
      <c r="D115" s="2155"/>
      <c r="E115" s="2155"/>
      <c r="F115" s="2155"/>
      <c r="G115" s="2155"/>
      <c r="H115" s="2155"/>
      <c r="I115" s="2155"/>
      <c r="J115" s="2155"/>
      <c r="K115" s="2156"/>
      <c r="L115" s="2157"/>
      <c r="M115" s="2155"/>
      <c r="N115" s="2155"/>
      <c r="O115" s="2155"/>
      <c r="P115" s="2155"/>
      <c r="Q115" s="2155"/>
      <c r="R115" s="2155"/>
      <c r="S115" s="2155"/>
      <c r="T115" s="2155"/>
      <c r="U115" s="2155"/>
      <c r="V115" s="2155"/>
      <c r="W115" s="2155"/>
      <c r="X115" s="2155"/>
      <c r="Y115" s="2155"/>
      <c r="Z115" s="2155"/>
      <c r="AA115" s="2155"/>
      <c r="AB115" s="2155"/>
      <c r="AC115" s="2155"/>
    </row>
    <row r="116" spans="1:29">
      <c r="A116" s="2155"/>
      <c r="B116" s="2155"/>
      <c r="C116" s="2155"/>
      <c r="D116" s="2155"/>
      <c r="E116" s="2155"/>
      <c r="F116" s="2155"/>
      <c r="G116" s="2155"/>
      <c r="H116" s="2155"/>
      <c r="I116" s="2155"/>
      <c r="J116" s="2155"/>
      <c r="K116" s="2156"/>
      <c r="L116" s="2157"/>
      <c r="M116" s="2155"/>
      <c r="N116" s="2155"/>
      <c r="O116" s="2155"/>
      <c r="P116" s="2155"/>
      <c r="Q116" s="2155"/>
      <c r="R116" s="2155"/>
      <c r="S116" s="2155"/>
      <c r="T116" s="2155"/>
      <c r="U116" s="2155"/>
      <c r="V116" s="2155"/>
      <c r="W116" s="2155"/>
      <c r="X116" s="2155"/>
      <c r="Y116" s="2155"/>
      <c r="Z116" s="2155"/>
      <c r="AA116" s="2155"/>
      <c r="AB116" s="2155"/>
      <c r="AC116" s="2155"/>
    </row>
    <row r="117" spans="1:29">
      <c r="A117" s="2155"/>
      <c r="B117" s="2155"/>
      <c r="C117" s="2155"/>
      <c r="D117" s="2155"/>
      <c r="E117" s="2155"/>
      <c r="F117" s="2155"/>
      <c r="G117" s="2155"/>
      <c r="H117" s="2155"/>
      <c r="I117" s="2155"/>
      <c r="J117" s="2155"/>
      <c r="K117" s="2156"/>
      <c r="L117" s="2157"/>
      <c r="M117" s="2155"/>
      <c r="N117" s="2155"/>
      <c r="O117" s="2155"/>
      <c r="P117" s="2155"/>
      <c r="Q117" s="2155"/>
      <c r="R117" s="2155"/>
      <c r="S117" s="2155"/>
      <c r="T117" s="2155"/>
      <c r="U117" s="2155"/>
      <c r="V117" s="2155"/>
      <c r="W117" s="2155"/>
      <c r="X117" s="2155"/>
      <c r="Y117" s="2155"/>
      <c r="Z117" s="2155"/>
      <c r="AA117" s="2155"/>
      <c r="AB117" s="2155"/>
      <c r="AC117" s="2155"/>
    </row>
    <row r="118" spans="1:29">
      <c r="A118" s="2155"/>
      <c r="B118" s="2155"/>
      <c r="C118" s="2155"/>
      <c r="D118" s="2155"/>
      <c r="E118" s="2155"/>
      <c r="F118" s="2155"/>
      <c r="G118" s="2155"/>
      <c r="H118" s="2155"/>
      <c r="I118" s="2155"/>
      <c r="J118" s="2155"/>
      <c r="K118" s="2156"/>
      <c r="L118" s="2157"/>
      <c r="M118" s="2155"/>
      <c r="N118" s="2155"/>
      <c r="O118" s="2155"/>
      <c r="P118" s="2155"/>
      <c r="Q118" s="2155"/>
      <c r="R118" s="2155"/>
      <c r="S118" s="2155"/>
      <c r="T118" s="2155"/>
      <c r="U118" s="2155"/>
      <c r="V118" s="2155"/>
      <c r="W118" s="2155"/>
      <c r="X118" s="2155"/>
      <c r="Y118" s="2155"/>
      <c r="Z118" s="2155"/>
      <c r="AA118" s="2155"/>
      <c r="AB118" s="2155"/>
      <c r="AC118" s="2155"/>
    </row>
    <row r="119" spans="1:29">
      <c r="A119" s="2155"/>
      <c r="B119" s="2155"/>
      <c r="C119" s="2155"/>
      <c r="D119" s="2155"/>
      <c r="E119" s="2155"/>
      <c r="F119" s="2155"/>
      <c r="G119" s="2155"/>
      <c r="H119" s="2155"/>
      <c r="I119" s="2155"/>
      <c r="J119" s="2155"/>
      <c r="K119" s="2156"/>
      <c r="L119" s="2157"/>
      <c r="M119" s="2155"/>
      <c r="N119" s="2155"/>
      <c r="O119" s="2155"/>
      <c r="P119" s="2155"/>
      <c r="Q119" s="2155"/>
      <c r="R119" s="2155"/>
      <c r="S119" s="2155"/>
      <c r="T119" s="2155"/>
      <c r="U119" s="2155"/>
      <c r="V119" s="2155"/>
      <c r="W119" s="2155"/>
      <c r="X119" s="2155"/>
      <c r="Y119" s="2155"/>
      <c r="Z119" s="2155"/>
      <c r="AA119" s="2155"/>
      <c r="AB119" s="2155"/>
      <c r="AC119" s="2155"/>
    </row>
    <row r="120" spans="1:29">
      <c r="A120" s="2155"/>
      <c r="B120" s="2155"/>
      <c r="C120" s="2155"/>
      <c r="D120" s="2155"/>
      <c r="E120" s="2155"/>
      <c r="F120" s="2155"/>
      <c r="G120" s="2155"/>
      <c r="H120" s="2155"/>
      <c r="I120" s="2155"/>
      <c r="J120" s="2155"/>
      <c r="K120" s="2156"/>
      <c r="L120" s="2157"/>
      <c r="M120" s="2155"/>
      <c r="N120" s="2155"/>
      <c r="O120" s="2155"/>
      <c r="P120" s="2155"/>
      <c r="Q120" s="2155"/>
      <c r="R120" s="2155"/>
      <c r="S120" s="2155"/>
      <c r="T120" s="2155"/>
      <c r="U120" s="2155"/>
      <c r="V120" s="2155"/>
      <c r="W120" s="2155"/>
      <c r="X120" s="2155"/>
      <c r="Y120" s="2155"/>
      <c r="Z120" s="2155"/>
      <c r="AA120" s="2155"/>
      <c r="AB120" s="2155"/>
      <c r="AC120" s="2155"/>
    </row>
    <row r="121" spans="1:29">
      <c r="A121" s="2155"/>
      <c r="B121" s="2155"/>
      <c r="C121" s="2155"/>
      <c r="D121" s="2155"/>
      <c r="E121" s="2155"/>
      <c r="F121" s="2155"/>
      <c r="G121" s="2155"/>
      <c r="H121" s="2155"/>
      <c r="I121" s="2155"/>
      <c r="J121" s="2155"/>
      <c r="K121" s="2156"/>
      <c r="L121" s="2157"/>
      <c r="M121" s="2155"/>
      <c r="N121" s="2155"/>
      <c r="O121" s="2155"/>
      <c r="P121" s="2155"/>
      <c r="Q121" s="2155"/>
      <c r="R121" s="2155"/>
      <c r="S121" s="2155"/>
      <c r="T121" s="2155"/>
      <c r="U121" s="2155"/>
      <c r="V121" s="2155"/>
      <c r="W121" s="2155"/>
      <c r="X121" s="2155"/>
      <c r="Y121" s="2155"/>
      <c r="Z121" s="2155"/>
      <c r="AA121" s="2155"/>
      <c r="AB121" s="2155"/>
      <c r="AC121" s="2155"/>
    </row>
    <row r="122" spans="1:29">
      <c r="A122" s="2155"/>
      <c r="B122" s="2155"/>
      <c r="C122" s="2155"/>
      <c r="D122" s="2155"/>
      <c r="E122" s="2155"/>
      <c r="F122" s="2155"/>
      <c r="G122" s="2155"/>
      <c r="H122" s="2155"/>
      <c r="I122" s="2155"/>
      <c r="J122" s="2155"/>
      <c r="K122" s="2156"/>
      <c r="L122" s="2157"/>
      <c r="M122" s="2155"/>
      <c r="N122" s="2155"/>
      <c r="O122" s="2155"/>
      <c r="P122" s="2155"/>
      <c r="Q122" s="2155"/>
      <c r="R122" s="2155"/>
      <c r="S122" s="2155"/>
      <c r="T122" s="2155"/>
      <c r="U122" s="2155"/>
      <c r="V122" s="2155"/>
      <c r="W122" s="2155"/>
      <c r="X122" s="2155"/>
      <c r="Y122" s="2155"/>
      <c r="Z122" s="2155"/>
      <c r="AA122" s="2155"/>
      <c r="AB122" s="2155"/>
      <c r="AC122" s="2155"/>
    </row>
    <row r="123" spans="1:29">
      <c r="A123" s="2155"/>
      <c r="B123" s="2155"/>
      <c r="C123" s="2155"/>
      <c r="D123" s="2155"/>
      <c r="E123" s="2155"/>
      <c r="F123" s="2155"/>
      <c r="G123" s="2155"/>
      <c r="H123" s="2155"/>
      <c r="I123" s="2155"/>
      <c r="J123" s="2155"/>
      <c r="K123" s="2156"/>
      <c r="L123" s="2157"/>
      <c r="M123" s="2155"/>
      <c r="N123" s="2155"/>
      <c r="O123" s="2155"/>
      <c r="P123" s="2155"/>
      <c r="Q123" s="2155"/>
      <c r="R123" s="2155"/>
      <c r="S123" s="2155"/>
      <c r="T123" s="2155"/>
      <c r="U123" s="2155"/>
      <c r="V123" s="2155"/>
      <c r="W123" s="2155"/>
      <c r="X123" s="2155"/>
      <c r="Y123" s="2155"/>
      <c r="Z123" s="2155"/>
      <c r="AA123" s="2155"/>
      <c r="AB123" s="2155"/>
      <c r="AC123" s="2155"/>
    </row>
    <row r="124" spans="1:29">
      <c r="A124" s="2155"/>
      <c r="B124" s="2155"/>
      <c r="C124" s="2155"/>
      <c r="D124" s="2155"/>
      <c r="E124" s="2155"/>
      <c r="F124" s="2155"/>
      <c r="G124" s="2155"/>
      <c r="H124" s="2155"/>
      <c r="I124" s="2155"/>
      <c r="J124" s="2155"/>
      <c r="K124" s="2156"/>
      <c r="L124" s="2157"/>
      <c r="M124" s="2155"/>
      <c r="N124" s="2155"/>
      <c r="O124" s="2155"/>
      <c r="P124" s="2155"/>
      <c r="Q124" s="2155"/>
      <c r="R124" s="2155"/>
      <c r="S124" s="2155"/>
      <c r="T124" s="2155"/>
      <c r="U124" s="2155"/>
      <c r="V124" s="2155"/>
      <c r="W124" s="2155"/>
      <c r="X124" s="2155"/>
      <c r="Y124" s="2155"/>
      <c r="Z124" s="2155"/>
      <c r="AA124" s="2155"/>
      <c r="AB124" s="2155"/>
      <c r="AC124" s="2155"/>
    </row>
    <row r="125" spans="1:29">
      <c r="A125" s="2155"/>
      <c r="B125" s="2155"/>
      <c r="C125" s="2155"/>
      <c r="D125" s="2155"/>
      <c r="E125" s="2155"/>
      <c r="F125" s="2155"/>
      <c r="G125" s="2155"/>
      <c r="H125" s="2155"/>
      <c r="I125" s="2155"/>
      <c r="J125" s="2155"/>
      <c r="K125" s="2156"/>
      <c r="L125" s="2157"/>
      <c r="M125" s="2155"/>
      <c r="N125" s="2155"/>
      <c r="O125" s="2155"/>
      <c r="P125" s="2155"/>
      <c r="Q125" s="2155"/>
      <c r="R125" s="2155"/>
      <c r="S125" s="2155"/>
      <c r="T125" s="2155"/>
      <c r="U125" s="2155"/>
      <c r="V125" s="2155"/>
      <c r="W125" s="2155"/>
      <c r="X125" s="2155"/>
      <c r="Y125" s="2155"/>
      <c r="Z125" s="2155"/>
      <c r="AA125" s="2155"/>
      <c r="AB125" s="2155"/>
      <c r="AC125" s="2155"/>
    </row>
    <row r="126" spans="1:29">
      <c r="A126" s="2155"/>
      <c r="B126" s="2155"/>
      <c r="C126" s="2155"/>
      <c r="D126" s="2155"/>
      <c r="E126" s="2155"/>
      <c r="F126" s="2155"/>
      <c r="G126" s="2155"/>
      <c r="H126" s="2155"/>
      <c r="I126" s="2155"/>
      <c r="J126" s="2155"/>
      <c r="K126" s="2156"/>
      <c r="L126" s="2157"/>
      <c r="M126" s="2155"/>
      <c r="N126" s="2155"/>
      <c r="O126" s="2155"/>
      <c r="P126" s="2155"/>
      <c r="Q126" s="2155"/>
      <c r="R126" s="2155"/>
      <c r="S126" s="2155"/>
      <c r="T126" s="2155"/>
      <c r="U126" s="2155"/>
      <c r="V126" s="2155"/>
      <c r="W126" s="2155"/>
      <c r="X126" s="2155"/>
      <c r="Y126" s="2155"/>
      <c r="Z126" s="2155"/>
      <c r="AA126" s="2155"/>
      <c r="AB126" s="2155"/>
      <c r="AC126" s="2155"/>
    </row>
    <row r="127" spans="1:29">
      <c r="A127" s="2155"/>
      <c r="B127" s="2155"/>
      <c r="C127" s="2155"/>
      <c r="D127" s="2155"/>
      <c r="E127" s="2155"/>
      <c r="F127" s="2155"/>
      <c r="G127" s="2155"/>
      <c r="H127" s="2155"/>
      <c r="I127" s="2155"/>
      <c r="J127" s="2155"/>
      <c r="K127" s="2156"/>
      <c r="L127" s="2157"/>
      <c r="M127" s="2155"/>
      <c r="N127" s="2155"/>
      <c r="O127" s="2155"/>
      <c r="P127" s="2155"/>
      <c r="Q127" s="2155"/>
      <c r="R127" s="2155"/>
      <c r="S127" s="2155"/>
      <c r="T127" s="2155"/>
      <c r="U127" s="2155"/>
      <c r="V127" s="2155"/>
      <c r="W127" s="2155"/>
      <c r="X127" s="2155"/>
      <c r="Y127" s="2155"/>
      <c r="Z127" s="2155"/>
      <c r="AA127" s="2155"/>
      <c r="AB127" s="2155"/>
      <c r="AC127" s="2155"/>
    </row>
    <row r="128" spans="1:29">
      <c r="A128" s="2155"/>
      <c r="B128" s="2155"/>
      <c r="C128" s="2155"/>
      <c r="D128" s="2155"/>
      <c r="E128" s="2155"/>
      <c r="F128" s="2155"/>
      <c r="G128" s="2155"/>
      <c r="H128" s="2155"/>
      <c r="I128" s="2155"/>
      <c r="J128" s="2155"/>
      <c r="K128" s="2156"/>
      <c r="L128" s="2157"/>
      <c r="M128" s="2155"/>
      <c r="N128" s="2155"/>
      <c r="O128" s="2155"/>
      <c r="P128" s="2155"/>
      <c r="Q128" s="2155"/>
      <c r="R128" s="2155"/>
      <c r="S128" s="2155"/>
      <c r="T128" s="2155"/>
      <c r="U128" s="2155"/>
      <c r="V128" s="2155"/>
      <c r="W128" s="2155"/>
      <c r="X128" s="2155"/>
      <c r="Y128" s="2155"/>
      <c r="Z128" s="2155"/>
      <c r="AA128" s="2155"/>
      <c r="AB128" s="2155"/>
      <c r="AC128" s="2155"/>
    </row>
    <row r="129" spans="1:29">
      <c r="A129" s="2155"/>
      <c r="B129" s="2155"/>
      <c r="C129" s="2155"/>
      <c r="D129" s="2155"/>
      <c r="E129" s="2155"/>
      <c r="F129" s="2155"/>
      <c r="G129" s="2155"/>
      <c r="H129" s="2155"/>
      <c r="I129" s="2155"/>
      <c r="J129" s="2155"/>
      <c r="K129" s="2156"/>
      <c r="L129" s="2157"/>
      <c r="M129" s="2155"/>
      <c r="N129" s="2155"/>
      <c r="O129" s="2155"/>
      <c r="P129" s="2155"/>
      <c r="Q129" s="2155"/>
      <c r="R129" s="2155"/>
      <c r="S129" s="2155"/>
      <c r="T129" s="2155"/>
      <c r="U129" s="2155"/>
      <c r="V129" s="2155"/>
      <c r="W129" s="2155"/>
      <c r="X129" s="2155"/>
      <c r="Y129" s="2155"/>
      <c r="Z129" s="2155"/>
      <c r="AA129" s="2155"/>
      <c r="AB129" s="2155"/>
      <c r="AC129" s="2155"/>
    </row>
    <row r="130" spans="1:29">
      <c r="A130" s="2155"/>
      <c r="B130" s="2155"/>
      <c r="C130" s="2155"/>
      <c r="D130" s="2155"/>
      <c r="E130" s="2155"/>
      <c r="F130" s="2155"/>
      <c r="G130" s="2155"/>
      <c r="H130" s="2155"/>
      <c r="I130" s="2155"/>
      <c r="J130" s="2155"/>
      <c r="K130" s="2156"/>
      <c r="L130" s="2157"/>
      <c r="M130" s="2155"/>
      <c r="N130" s="2155"/>
      <c r="O130" s="2155"/>
      <c r="P130" s="2155"/>
      <c r="Q130" s="2155"/>
      <c r="R130" s="2155"/>
      <c r="S130" s="2155"/>
      <c r="T130" s="2155"/>
      <c r="U130" s="2155"/>
      <c r="V130" s="2155"/>
      <c r="W130" s="2155"/>
      <c r="X130" s="2155"/>
      <c r="Y130" s="2155"/>
      <c r="Z130" s="2155"/>
      <c r="AA130" s="2155"/>
      <c r="AB130" s="2155"/>
      <c r="AC130" s="2155"/>
    </row>
    <row r="131" spans="1:29">
      <c r="A131" s="2155"/>
      <c r="B131" s="2155"/>
      <c r="C131" s="2155"/>
      <c r="D131" s="2155"/>
      <c r="E131" s="2155"/>
      <c r="F131" s="2155"/>
      <c r="G131" s="2155"/>
      <c r="H131" s="2155"/>
      <c r="I131" s="2155"/>
      <c r="J131" s="2155"/>
      <c r="K131" s="2156"/>
      <c r="L131" s="2157"/>
      <c r="M131" s="2155"/>
      <c r="N131" s="2155"/>
      <c r="O131" s="2155"/>
      <c r="P131" s="2155"/>
      <c r="Q131" s="2155"/>
      <c r="R131" s="2155"/>
      <c r="S131" s="2155"/>
      <c r="T131" s="2155"/>
      <c r="U131" s="2155"/>
      <c r="V131" s="2155"/>
      <c r="W131" s="2155"/>
      <c r="X131" s="2155"/>
      <c r="Y131" s="2155"/>
      <c r="Z131" s="2155"/>
      <c r="AA131" s="2155"/>
      <c r="AB131" s="2155"/>
      <c r="AC131" s="2155"/>
    </row>
    <row r="132" spans="1:29">
      <c r="A132" s="2155"/>
      <c r="B132" s="2155"/>
      <c r="C132" s="2155"/>
      <c r="D132" s="2155"/>
      <c r="E132" s="2155"/>
      <c r="F132" s="2155"/>
      <c r="G132" s="2155"/>
      <c r="H132" s="2155"/>
      <c r="I132" s="2155"/>
      <c r="J132" s="2155"/>
      <c r="K132" s="2156"/>
      <c r="L132" s="2157"/>
      <c r="M132" s="2155"/>
      <c r="N132" s="2155"/>
      <c r="O132" s="2155"/>
      <c r="P132" s="2155"/>
      <c r="Q132" s="2155"/>
      <c r="R132" s="2155"/>
      <c r="S132" s="2155"/>
      <c r="T132" s="2155"/>
      <c r="U132" s="2155"/>
      <c r="V132" s="2155"/>
      <c r="W132" s="2155"/>
      <c r="X132" s="2155"/>
      <c r="Y132" s="2155"/>
      <c r="Z132" s="2155"/>
      <c r="AA132" s="2155"/>
      <c r="AB132" s="2155"/>
      <c r="AC132" s="2155"/>
    </row>
    <row r="133" spans="1:29">
      <c r="A133" s="2155"/>
      <c r="B133" s="2155"/>
      <c r="C133" s="2155"/>
      <c r="D133" s="2155"/>
      <c r="E133" s="2155"/>
      <c r="F133" s="2155"/>
      <c r="G133" s="2155"/>
      <c r="H133" s="2155"/>
      <c r="I133" s="2155"/>
      <c r="J133" s="2155"/>
      <c r="K133" s="2156"/>
      <c r="L133" s="2157"/>
      <c r="M133" s="2155"/>
      <c r="N133" s="2155"/>
      <c r="O133" s="2155"/>
      <c r="P133" s="2155"/>
      <c r="Q133" s="2155"/>
      <c r="R133" s="2155"/>
      <c r="S133" s="2155"/>
      <c r="T133" s="2155"/>
      <c r="U133" s="2155"/>
      <c r="V133" s="2155"/>
      <c r="W133" s="2155"/>
      <c r="X133" s="2155"/>
      <c r="Y133" s="2155"/>
      <c r="Z133" s="2155"/>
      <c r="AA133" s="2155"/>
      <c r="AB133" s="2155"/>
      <c r="AC133" s="2155"/>
    </row>
    <row r="134" spans="1:29">
      <c r="A134" s="2155"/>
      <c r="B134" s="2155"/>
      <c r="C134" s="2155"/>
      <c r="D134" s="2155"/>
      <c r="E134" s="2155"/>
      <c r="F134" s="2155"/>
      <c r="G134" s="2155"/>
      <c r="H134" s="2155"/>
      <c r="I134" s="2155"/>
      <c r="J134" s="2155"/>
      <c r="K134" s="2156"/>
      <c r="L134" s="2157"/>
      <c r="M134" s="2155"/>
      <c r="N134" s="2155"/>
      <c r="O134" s="2155"/>
      <c r="P134" s="2155"/>
      <c r="Q134" s="2155"/>
      <c r="R134" s="2155"/>
      <c r="S134" s="2155"/>
      <c r="T134" s="2155"/>
      <c r="U134" s="2155"/>
      <c r="V134" s="2155"/>
      <c r="W134" s="2155"/>
      <c r="X134" s="2155"/>
      <c r="Y134" s="2155"/>
      <c r="Z134" s="2155"/>
      <c r="AA134" s="2155"/>
      <c r="AB134" s="2155"/>
      <c r="AC134" s="2155"/>
    </row>
    <row r="135" spans="1:29">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08" sqref="C108:G113"/>
      <selection pane="bottomLeft" activeCell="C108" sqref="C108:G113"/>
    </sheetView>
  </sheetViews>
  <sheetFormatPr defaultColWidth="9" defaultRowHeight="12.75"/>
  <cols>
    <col min="1" max="1" width="11.5" style="1236" customWidth="1"/>
    <col min="2" max="2" width="9.125" style="1204" customWidth="1"/>
    <col min="3" max="3" width="5" style="1204" customWidth="1"/>
    <col min="4" max="4" width="9" style="1204"/>
    <col min="5" max="5" width="5" style="1204" customWidth="1"/>
    <col min="6" max="6" width="9" style="1204"/>
    <col min="7" max="7" width="5" style="1204" customWidth="1"/>
    <col min="8" max="8" width="9" style="1204"/>
    <col min="9" max="9" width="5" style="1204" customWidth="1"/>
    <col min="10" max="10" width="9" style="1204"/>
    <col min="11" max="11" width="5" style="1204" customWidth="1"/>
    <col min="12" max="12" width="9" style="1204"/>
    <col min="13" max="13" width="5" style="1204" customWidth="1"/>
    <col min="14" max="14" width="9" style="1204"/>
    <col min="15" max="15" width="5" style="1204" customWidth="1"/>
    <col min="16" max="16" width="9" style="1204"/>
    <col min="17" max="17" width="5" style="1204" customWidth="1"/>
    <col min="18" max="18" width="9" style="1592"/>
    <col min="19" max="19" width="9" style="1236"/>
    <col min="20" max="35" width="9" style="257"/>
    <col min="36" max="16384" width="9" style="1236"/>
  </cols>
  <sheetData>
    <row r="1" spans="1:45" s="257" customFormat="1" ht="14.25" customHeight="1" thickBot="1">
      <c r="A1" s="365"/>
      <c r="B1" s="2195" t="s">
        <v>2278</v>
      </c>
      <c r="C1" s="3965" t="s">
        <v>2279</v>
      </c>
      <c r="D1" s="3966"/>
      <c r="E1" s="3966"/>
      <c r="F1" s="3966"/>
      <c r="G1" s="3966"/>
      <c r="H1" s="3966"/>
      <c r="I1" s="3966"/>
      <c r="J1" s="3966"/>
      <c r="K1" s="3966"/>
      <c r="L1" s="3966"/>
      <c r="M1" s="3966"/>
      <c r="N1" s="3966"/>
      <c r="O1" s="3966"/>
      <c r="P1" s="3966"/>
      <c r="Q1" s="3966"/>
      <c r="R1" s="3966"/>
      <c r="S1" s="3967"/>
      <c r="T1" s="2195" t="s">
        <v>2280</v>
      </c>
      <c r="U1" s="2017"/>
      <c r="V1" s="2017"/>
      <c r="W1" s="2017"/>
      <c r="X1" s="2017"/>
      <c r="Y1" s="2017"/>
      <c r="Z1" s="2017"/>
      <c r="AA1" s="2017"/>
      <c r="AB1" s="2017"/>
      <c r="AC1" s="2017"/>
      <c r="AD1" s="2017"/>
      <c r="AE1" s="2017"/>
      <c r="AF1" s="2017"/>
      <c r="AG1" s="2017"/>
      <c r="AH1" s="2017"/>
      <c r="AI1" s="2017"/>
      <c r="AJ1" s="2017"/>
      <c r="AK1" s="2017"/>
      <c r="AL1" s="2017"/>
      <c r="AM1" s="2017"/>
      <c r="AN1" s="2017"/>
      <c r="AO1" s="2017"/>
      <c r="AP1" s="2017"/>
      <c r="AQ1" s="2017"/>
      <c r="AR1" s="2017"/>
      <c r="AS1" s="2017"/>
    </row>
    <row r="2" spans="1:45" s="1946" customFormat="1">
      <c r="A2" s="2196"/>
      <c r="B2" s="940" t="s">
        <v>2281</v>
      </c>
      <c r="C2" s="941" t="str">
        <f t="shared" ref="C2:L2" si="0">C3&amp;"(含)"&amp;"-"&amp;D3</f>
        <v>(含)-</v>
      </c>
      <c r="D2" s="942" t="str">
        <f t="shared" si="0"/>
        <v>(含)-</v>
      </c>
      <c r="E2" s="942" t="str">
        <f t="shared" si="0"/>
        <v>(含)-</v>
      </c>
      <c r="F2" s="942" t="str">
        <f t="shared" si="0"/>
        <v>(含)-</v>
      </c>
      <c r="G2" s="942" t="str">
        <f t="shared" si="0"/>
        <v>(含)-</v>
      </c>
      <c r="H2" s="942" t="str">
        <f t="shared" si="0"/>
        <v>(含)-</v>
      </c>
      <c r="I2" s="942" t="str">
        <f t="shared" si="0"/>
        <v>(含)-</v>
      </c>
      <c r="J2" s="942" t="str">
        <f t="shared" si="0"/>
        <v>(含)-</v>
      </c>
      <c r="K2" s="942" t="str">
        <f t="shared" si="0"/>
        <v>(含)-</v>
      </c>
      <c r="L2" s="942" t="str">
        <f t="shared" si="0"/>
        <v>(含)-</v>
      </c>
      <c r="M2" s="942" t="str">
        <f t="shared" ref="M2" si="1">M3&amp;"(含)"&amp;"-"&amp;N3</f>
        <v>(含)-</v>
      </c>
      <c r="N2" s="942" t="str">
        <f t="shared" ref="N2" si="2">N3&amp;"(含)"&amp;"-"&amp;O3</f>
        <v>(含)-</v>
      </c>
      <c r="O2" s="942" t="str">
        <f t="shared" ref="O2" si="3">O3&amp;"(含)"&amp;"-"&amp;P3</f>
        <v>(含)-</v>
      </c>
      <c r="P2" s="942" t="str">
        <f t="shared" ref="P2" si="4">P3&amp;"(含)"&amp;"-"&amp;Q3</f>
        <v>(含)-</v>
      </c>
      <c r="Q2" s="942" t="str">
        <f t="shared" ref="Q2" si="5">Q3&amp;"(含)"&amp;"-"&amp;R3</f>
        <v>(含)-</v>
      </c>
      <c r="R2" s="942" t="str">
        <f t="shared" ref="R2" si="6">R3&amp;"(含)"&amp;"-"&amp;S3</f>
        <v>(含)-</v>
      </c>
      <c r="S2" s="2197" t="str">
        <f>S3&amp;"(含)"&amp;"-"</f>
        <v>(含)-</v>
      </c>
      <c r="T2" s="943"/>
      <c r="U2" s="2198"/>
      <c r="V2" s="2198"/>
      <c r="W2" s="2198"/>
      <c r="X2" s="2198"/>
      <c r="Y2" s="2198"/>
      <c r="Z2" s="2198"/>
      <c r="AA2" s="2198"/>
      <c r="AB2" s="2198"/>
      <c r="AC2" s="2198"/>
      <c r="AD2" s="2198"/>
      <c r="AE2" s="2198"/>
      <c r="AF2" s="2198"/>
      <c r="AG2" s="2198"/>
      <c r="AH2" s="2198"/>
      <c r="AI2" s="2198"/>
      <c r="AJ2" s="2198"/>
      <c r="AK2" s="2198"/>
      <c r="AL2" s="2198"/>
      <c r="AM2" s="2198"/>
      <c r="AN2" s="2198"/>
      <c r="AO2" s="2198"/>
      <c r="AP2" s="2198"/>
      <c r="AQ2" s="2198"/>
      <c r="AR2" s="2198"/>
      <c r="AS2" s="2198"/>
    </row>
    <row r="3" spans="1:45" s="1947" customFormat="1">
      <c r="A3" s="2199"/>
      <c r="B3" s="944"/>
      <c r="C3" s="945"/>
      <c r="D3" s="946"/>
      <c r="E3" s="946"/>
      <c r="F3" s="946"/>
      <c r="G3" s="946"/>
      <c r="H3" s="946"/>
      <c r="I3" s="946"/>
      <c r="J3" s="947"/>
      <c r="K3" s="947"/>
      <c r="L3" s="948"/>
      <c r="M3" s="2200"/>
      <c r="N3" s="2201"/>
      <c r="O3" s="946"/>
      <c r="P3" s="946"/>
      <c r="Q3" s="946"/>
      <c r="R3" s="946"/>
      <c r="S3" s="2202"/>
      <c r="T3" s="949"/>
      <c r="U3" s="2203"/>
      <c r="V3" s="2203"/>
      <c r="W3" s="2203"/>
      <c r="X3" s="2203"/>
      <c r="Y3" s="2203"/>
      <c r="Z3" s="2203"/>
      <c r="AA3" s="2203"/>
      <c r="AB3" s="2203"/>
      <c r="AC3" s="2203"/>
      <c r="AD3" s="2203"/>
      <c r="AE3" s="2203"/>
      <c r="AF3" s="2203"/>
      <c r="AG3" s="2203"/>
      <c r="AH3" s="2203"/>
      <c r="AI3" s="2203"/>
      <c r="AJ3" s="2203"/>
      <c r="AK3" s="2203"/>
      <c r="AL3" s="2203"/>
      <c r="AM3" s="2203"/>
      <c r="AN3" s="2203"/>
      <c r="AO3" s="2203"/>
      <c r="AP3" s="2203"/>
      <c r="AQ3" s="2203"/>
      <c r="AR3" s="2203"/>
      <c r="AS3" s="2203"/>
    </row>
    <row r="4" spans="1:45" s="1947" customFormat="1" ht="13.5" thickBot="1">
      <c r="A4" s="2204"/>
      <c r="B4" s="2205"/>
      <c r="C4" s="2206"/>
      <c r="D4" s="2207"/>
      <c r="E4" s="2207"/>
      <c r="F4" s="2207"/>
      <c r="G4" s="2207"/>
      <c r="H4" s="2207"/>
      <c r="I4" s="2207"/>
      <c r="J4" s="2207"/>
      <c r="K4" s="2207"/>
      <c r="L4" s="2207"/>
      <c r="M4" s="2208"/>
      <c r="N4" s="2209"/>
      <c r="O4" s="2207"/>
      <c r="P4" s="2207"/>
      <c r="Q4" s="2207"/>
      <c r="R4" s="2207"/>
      <c r="S4" s="2210"/>
      <c r="T4" s="2211"/>
      <c r="U4" s="2203"/>
      <c r="V4" s="2203"/>
      <c r="W4" s="2203"/>
      <c r="X4" s="2203"/>
      <c r="Y4" s="2203"/>
      <c r="Z4" s="2203"/>
      <c r="AA4" s="2203"/>
      <c r="AB4" s="2203"/>
      <c r="AC4" s="2203"/>
      <c r="AD4" s="2203"/>
      <c r="AE4" s="2203"/>
      <c r="AF4" s="2203"/>
      <c r="AG4" s="2203"/>
      <c r="AH4" s="2203"/>
      <c r="AI4" s="2203"/>
      <c r="AJ4" s="2203"/>
      <c r="AK4" s="2203"/>
      <c r="AL4" s="2203"/>
      <c r="AM4" s="2203"/>
      <c r="AN4" s="2203"/>
      <c r="AO4" s="2203"/>
      <c r="AP4" s="2203"/>
      <c r="AQ4" s="2203"/>
      <c r="AR4" s="2203"/>
      <c r="AS4" s="2203"/>
    </row>
    <row r="5" spans="1:45" s="1948" customFormat="1">
      <c r="A5" s="2212"/>
      <c r="B5" s="3016" t="s">
        <v>2904</v>
      </c>
      <c r="C5" s="2213"/>
      <c r="D5" s="2214"/>
      <c r="E5" s="2214"/>
      <c r="F5" s="2214"/>
      <c r="G5" s="2214"/>
      <c r="H5" s="2214"/>
      <c r="I5" s="2214"/>
      <c r="J5" s="2214"/>
      <c r="K5" s="2214"/>
      <c r="L5" s="2215"/>
      <c r="M5" s="2216"/>
      <c r="N5" s="2216"/>
      <c r="O5" s="2214"/>
      <c r="P5" s="2214"/>
      <c r="Q5" s="2214"/>
      <c r="R5" s="2214"/>
      <c r="S5" s="2217"/>
      <c r="T5" s="2218"/>
      <c r="U5" s="2219"/>
      <c r="V5" s="2219"/>
      <c r="W5" s="2219"/>
      <c r="X5" s="2219"/>
      <c r="Y5" s="2219"/>
      <c r="Z5" s="2219"/>
      <c r="AA5" s="2219"/>
      <c r="AB5" s="2219"/>
      <c r="AC5" s="2219"/>
      <c r="AD5" s="2219"/>
      <c r="AE5" s="2219"/>
      <c r="AF5" s="2219"/>
      <c r="AG5" s="2219"/>
      <c r="AH5" s="2219"/>
      <c r="AI5" s="2219"/>
      <c r="AJ5" s="2219"/>
      <c r="AK5" s="2219"/>
      <c r="AL5" s="2219"/>
      <c r="AM5" s="2219"/>
      <c r="AN5" s="2219"/>
      <c r="AO5" s="2219"/>
      <c r="AP5" s="2219"/>
      <c r="AQ5" s="2219"/>
      <c r="AR5" s="2219"/>
      <c r="AS5" s="2219"/>
    </row>
    <row r="6" spans="1:45" s="1948" customFormat="1" ht="13.5" thickBot="1">
      <c r="A6" s="2212"/>
      <c r="B6" s="1940"/>
      <c r="C6" s="1944">
        <v>100</v>
      </c>
      <c r="D6" s="1945">
        <f>C6-$T5</f>
        <v>100</v>
      </c>
      <c r="E6" s="1945">
        <f t="shared" ref="E6:S6" si="7">D6-$T5</f>
        <v>100</v>
      </c>
      <c r="F6" s="1945">
        <f t="shared" si="7"/>
        <v>100</v>
      </c>
      <c r="G6" s="1945">
        <f t="shared" si="7"/>
        <v>100</v>
      </c>
      <c r="H6" s="1945">
        <f t="shared" si="7"/>
        <v>100</v>
      </c>
      <c r="I6" s="1945">
        <f t="shared" si="7"/>
        <v>100</v>
      </c>
      <c r="J6" s="1945">
        <f t="shared" si="7"/>
        <v>100</v>
      </c>
      <c r="K6" s="1945">
        <f t="shared" si="7"/>
        <v>100</v>
      </c>
      <c r="L6" s="1945">
        <f t="shared" si="7"/>
        <v>100</v>
      </c>
      <c r="M6" s="1945">
        <f t="shared" si="7"/>
        <v>100</v>
      </c>
      <c r="N6" s="1945">
        <f t="shared" si="7"/>
        <v>100</v>
      </c>
      <c r="O6" s="1945">
        <f t="shared" si="7"/>
        <v>100</v>
      </c>
      <c r="P6" s="1945">
        <f t="shared" si="7"/>
        <v>100</v>
      </c>
      <c r="Q6" s="1945">
        <f t="shared" si="7"/>
        <v>100</v>
      </c>
      <c r="R6" s="1945">
        <f t="shared" si="7"/>
        <v>100</v>
      </c>
      <c r="S6" s="1945">
        <f t="shared" si="7"/>
        <v>100</v>
      </c>
      <c r="T6" s="1943"/>
      <c r="U6" s="2219"/>
      <c r="V6" s="2219"/>
      <c r="W6" s="2219"/>
      <c r="X6" s="2219"/>
      <c r="Y6" s="2219"/>
      <c r="Z6" s="2219"/>
      <c r="AA6" s="2219"/>
      <c r="AB6" s="2219"/>
      <c r="AC6" s="2219"/>
      <c r="AD6" s="2219"/>
      <c r="AE6" s="2219"/>
      <c r="AF6" s="2219"/>
      <c r="AG6" s="2219"/>
      <c r="AH6" s="2219"/>
      <c r="AI6" s="2219"/>
      <c r="AJ6" s="2219"/>
      <c r="AK6" s="2219"/>
      <c r="AL6" s="2219"/>
      <c r="AM6" s="2219"/>
      <c r="AN6" s="2219"/>
      <c r="AO6" s="2219"/>
      <c r="AP6" s="2219"/>
      <c r="AQ6" s="2219"/>
      <c r="AR6" s="2219"/>
      <c r="AS6" s="2219"/>
    </row>
    <row r="7" spans="1:45" s="1948" customFormat="1">
      <c r="A7" s="2212"/>
      <c r="B7" s="3018" t="s">
        <v>2903</v>
      </c>
      <c r="C7" s="1937"/>
      <c r="D7" s="1938"/>
      <c r="E7" s="1938"/>
      <c r="F7" s="1938"/>
      <c r="G7" s="1938"/>
      <c r="H7" s="1938"/>
      <c r="I7" s="1938"/>
      <c r="J7" s="1938"/>
      <c r="K7" s="1938"/>
      <c r="L7" s="1938"/>
      <c r="M7" s="2220"/>
      <c r="N7" s="2221"/>
      <c r="O7" s="2222"/>
      <c r="P7" s="2223"/>
      <c r="Q7" s="2224"/>
      <c r="R7" s="2225"/>
      <c r="S7" s="2226"/>
      <c r="T7" s="950"/>
      <c r="U7" s="2219"/>
      <c r="V7" s="2219"/>
      <c r="W7" s="2219"/>
      <c r="X7" s="2219"/>
      <c r="Y7" s="2219"/>
      <c r="Z7" s="2219"/>
      <c r="AA7" s="2219"/>
      <c r="AB7" s="2219"/>
      <c r="AC7" s="2219"/>
      <c r="AD7" s="2219"/>
      <c r="AE7" s="2219"/>
      <c r="AF7" s="2219"/>
      <c r="AG7" s="2219"/>
      <c r="AH7" s="2219"/>
      <c r="AI7" s="2219"/>
      <c r="AJ7" s="2219"/>
      <c r="AK7" s="2219"/>
      <c r="AL7" s="2219"/>
      <c r="AM7" s="2219"/>
      <c r="AN7" s="2219"/>
      <c r="AO7" s="2219"/>
      <c r="AP7" s="2219"/>
      <c r="AQ7" s="2219"/>
      <c r="AR7" s="2219"/>
      <c r="AS7" s="2219"/>
    </row>
    <row r="8" spans="1:45" s="1948" customFormat="1" ht="13.5" thickBot="1">
      <c r="A8" s="2212"/>
      <c r="B8" s="1940"/>
      <c r="C8" s="1944">
        <v>100</v>
      </c>
      <c r="D8" s="1945">
        <f>C8-$T7</f>
        <v>100</v>
      </c>
      <c r="E8" s="1945">
        <f t="shared" ref="E8:S8" si="8">D8-$T7</f>
        <v>100</v>
      </c>
      <c r="F8" s="1945">
        <f t="shared" si="8"/>
        <v>100</v>
      </c>
      <c r="G8" s="1945">
        <f t="shared" si="8"/>
        <v>100</v>
      </c>
      <c r="H8" s="1945">
        <f t="shared" si="8"/>
        <v>100</v>
      </c>
      <c r="I8" s="1945">
        <f t="shared" si="8"/>
        <v>100</v>
      </c>
      <c r="J8" s="1945">
        <f t="shared" si="8"/>
        <v>100</v>
      </c>
      <c r="K8" s="1945">
        <f t="shared" si="8"/>
        <v>100</v>
      </c>
      <c r="L8" s="1945">
        <f t="shared" si="8"/>
        <v>100</v>
      </c>
      <c r="M8" s="1945">
        <f t="shared" si="8"/>
        <v>100</v>
      </c>
      <c r="N8" s="1945">
        <f t="shared" si="8"/>
        <v>100</v>
      </c>
      <c r="O8" s="1945">
        <f t="shared" si="8"/>
        <v>100</v>
      </c>
      <c r="P8" s="1945">
        <f t="shared" si="8"/>
        <v>100</v>
      </c>
      <c r="Q8" s="1945">
        <f t="shared" si="8"/>
        <v>100</v>
      </c>
      <c r="R8" s="1945">
        <f t="shared" si="8"/>
        <v>100</v>
      </c>
      <c r="S8" s="1945">
        <f t="shared" si="8"/>
        <v>100</v>
      </c>
      <c r="T8" s="1943"/>
      <c r="U8" s="2219"/>
      <c r="V8" s="2219"/>
      <c r="W8" s="2219"/>
      <c r="X8" s="2219"/>
      <c r="Y8" s="2219"/>
      <c r="Z8" s="2219"/>
      <c r="AA8" s="2219"/>
      <c r="AB8" s="2219"/>
      <c r="AC8" s="2219"/>
      <c r="AD8" s="2219"/>
      <c r="AE8" s="2219"/>
      <c r="AF8" s="2219"/>
      <c r="AG8" s="2219"/>
      <c r="AH8" s="2219"/>
      <c r="AI8" s="2219"/>
      <c r="AJ8" s="2219"/>
      <c r="AK8" s="2219"/>
      <c r="AL8" s="2219"/>
      <c r="AM8" s="2219"/>
      <c r="AN8" s="2219"/>
      <c r="AO8" s="2219"/>
      <c r="AP8" s="2219"/>
      <c r="AQ8" s="2219"/>
      <c r="AR8" s="2219"/>
      <c r="AS8" s="2219"/>
    </row>
    <row r="9" spans="1:45" s="1948" customFormat="1">
      <c r="A9" s="2212"/>
      <c r="B9" s="3018" t="s">
        <v>2902</v>
      </c>
      <c r="C9" s="1937"/>
      <c r="D9" s="1938"/>
      <c r="E9" s="1938"/>
      <c r="F9" s="1938"/>
      <c r="G9" s="1938"/>
      <c r="H9" s="1938"/>
      <c r="I9" s="1938"/>
      <c r="J9" s="1938"/>
      <c r="K9" s="1938"/>
      <c r="L9" s="1939"/>
      <c r="M9" s="2220"/>
      <c r="N9" s="2221"/>
      <c r="O9" s="2222"/>
      <c r="P9" s="2223"/>
      <c r="Q9" s="2224"/>
      <c r="R9" s="2225"/>
      <c r="S9" s="2226"/>
      <c r="T9" s="950"/>
      <c r="U9" s="2219"/>
      <c r="V9" s="2219"/>
      <c r="W9" s="2219"/>
      <c r="X9" s="2219"/>
      <c r="Y9" s="2219"/>
      <c r="Z9" s="2219"/>
      <c r="AA9" s="2219"/>
      <c r="AB9" s="2219"/>
      <c r="AC9" s="2219"/>
      <c r="AD9" s="2219"/>
      <c r="AE9" s="2219"/>
      <c r="AF9" s="2219"/>
      <c r="AG9" s="2219"/>
      <c r="AH9" s="2219"/>
      <c r="AI9" s="2219"/>
      <c r="AJ9" s="2219"/>
      <c r="AK9" s="2219"/>
      <c r="AL9" s="2219"/>
      <c r="AM9" s="2219"/>
      <c r="AN9" s="2219"/>
      <c r="AO9" s="2219"/>
      <c r="AP9" s="2219"/>
      <c r="AQ9" s="2219"/>
      <c r="AR9" s="2219"/>
      <c r="AS9" s="2219"/>
    </row>
    <row r="10" spans="1:45" s="1948" customFormat="1" ht="13.5" thickBot="1">
      <c r="A10" s="2212"/>
      <c r="B10" s="3017"/>
      <c r="C10" s="2227">
        <v>100</v>
      </c>
      <c r="D10" s="2228">
        <f>C10-$T9</f>
        <v>100</v>
      </c>
      <c r="E10" s="2228">
        <f t="shared" ref="E10:S10" si="9">D10-$T9</f>
        <v>100</v>
      </c>
      <c r="F10" s="2228">
        <f t="shared" si="9"/>
        <v>100</v>
      </c>
      <c r="G10" s="2228">
        <f t="shared" si="9"/>
        <v>100</v>
      </c>
      <c r="H10" s="2228">
        <f t="shared" si="9"/>
        <v>100</v>
      </c>
      <c r="I10" s="2228">
        <f t="shared" si="9"/>
        <v>100</v>
      </c>
      <c r="J10" s="2228">
        <f t="shared" si="9"/>
        <v>100</v>
      </c>
      <c r="K10" s="2228">
        <f t="shared" si="9"/>
        <v>100</v>
      </c>
      <c r="L10" s="2228">
        <f t="shared" si="9"/>
        <v>100</v>
      </c>
      <c r="M10" s="2228">
        <f t="shared" si="9"/>
        <v>100</v>
      </c>
      <c r="N10" s="2228">
        <f t="shared" si="9"/>
        <v>100</v>
      </c>
      <c r="O10" s="2228">
        <f t="shared" si="9"/>
        <v>100</v>
      </c>
      <c r="P10" s="2228">
        <f t="shared" si="9"/>
        <v>100</v>
      </c>
      <c r="Q10" s="2228">
        <f t="shared" si="9"/>
        <v>100</v>
      </c>
      <c r="R10" s="2228">
        <f t="shared" si="9"/>
        <v>100</v>
      </c>
      <c r="S10" s="2228">
        <f t="shared" si="9"/>
        <v>100</v>
      </c>
      <c r="T10" s="2211"/>
      <c r="U10" s="2219"/>
      <c r="V10" s="2219"/>
      <c r="W10" s="2219"/>
      <c r="X10" s="2219"/>
      <c r="Y10" s="2219"/>
      <c r="Z10" s="2219"/>
      <c r="AA10" s="2219"/>
      <c r="AB10" s="2219"/>
      <c r="AC10" s="2219"/>
      <c r="AD10" s="2219"/>
      <c r="AE10" s="2219"/>
      <c r="AF10" s="2219"/>
      <c r="AG10" s="2219"/>
      <c r="AH10" s="2219"/>
      <c r="AI10" s="2219"/>
      <c r="AJ10" s="2219"/>
      <c r="AK10" s="2219"/>
      <c r="AL10" s="2219"/>
      <c r="AM10" s="2219"/>
      <c r="AN10" s="2219"/>
      <c r="AO10" s="2219"/>
      <c r="AP10" s="2219"/>
      <c r="AQ10" s="2219"/>
      <c r="AR10" s="2219"/>
      <c r="AS10" s="2219"/>
    </row>
    <row r="11" spans="1:45" s="1948" customFormat="1">
      <c r="A11" s="2212"/>
      <c r="B11" s="3016" t="s">
        <v>2915</v>
      </c>
      <c r="C11" s="2213"/>
      <c r="D11" s="2214"/>
      <c r="E11" s="2214"/>
      <c r="F11" s="2214"/>
      <c r="G11" s="2214"/>
      <c r="H11" s="2214"/>
      <c r="I11" s="2214"/>
      <c r="J11" s="2214"/>
      <c r="K11" s="2214"/>
      <c r="L11" s="2214"/>
      <c r="M11" s="2216"/>
      <c r="N11" s="2229"/>
      <c r="O11" s="2230"/>
      <c r="P11" s="2231"/>
      <c r="Q11" s="2232"/>
      <c r="R11" s="2233"/>
      <c r="S11" s="2234"/>
      <c r="T11" s="2218"/>
      <c r="U11" s="2219"/>
      <c r="V11" s="2219"/>
      <c r="W11" s="2219"/>
      <c r="X11" s="2219"/>
      <c r="Y11" s="2219"/>
      <c r="Z11" s="2219"/>
      <c r="AA11" s="2219"/>
      <c r="AB11" s="2219"/>
      <c r="AC11" s="2219"/>
      <c r="AD11" s="2219"/>
      <c r="AE11" s="2219"/>
      <c r="AF11" s="2219"/>
      <c r="AG11" s="2219"/>
      <c r="AH11" s="2219"/>
      <c r="AI11" s="2219"/>
      <c r="AJ11" s="2219"/>
      <c r="AK11" s="2219"/>
      <c r="AL11" s="2219"/>
      <c r="AM11" s="2219"/>
      <c r="AN11" s="2219"/>
      <c r="AO11" s="2219"/>
      <c r="AP11" s="2219"/>
      <c r="AQ11" s="2219"/>
      <c r="AR11" s="2219"/>
      <c r="AS11" s="2219"/>
    </row>
    <row r="12" spans="1:45" s="1948" customFormat="1" ht="13.5" thickBot="1">
      <c r="A12" s="2212"/>
      <c r="B12" s="1940"/>
      <c r="C12" s="1944">
        <v>100</v>
      </c>
      <c r="D12" s="1945">
        <f>C12-$T11</f>
        <v>100</v>
      </c>
      <c r="E12" s="1945">
        <f t="shared" ref="E12:S12" si="10">D12-$T11</f>
        <v>100</v>
      </c>
      <c r="F12" s="1945">
        <f t="shared" si="10"/>
        <v>100</v>
      </c>
      <c r="G12" s="1945">
        <f t="shared" si="10"/>
        <v>100</v>
      </c>
      <c r="H12" s="1945">
        <f t="shared" si="10"/>
        <v>100</v>
      </c>
      <c r="I12" s="1945">
        <f t="shared" si="10"/>
        <v>100</v>
      </c>
      <c r="J12" s="1945">
        <f t="shared" si="10"/>
        <v>100</v>
      </c>
      <c r="K12" s="1945">
        <f t="shared" si="10"/>
        <v>100</v>
      </c>
      <c r="L12" s="1945">
        <f t="shared" si="10"/>
        <v>100</v>
      </c>
      <c r="M12" s="1945">
        <f t="shared" si="10"/>
        <v>100</v>
      </c>
      <c r="N12" s="1945">
        <f t="shared" si="10"/>
        <v>100</v>
      </c>
      <c r="O12" s="1945">
        <f t="shared" si="10"/>
        <v>100</v>
      </c>
      <c r="P12" s="1945">
        <f t="shared" si="10"/>
        <v>100</v>
      </c>
      <c r="Q12" s="1945">
        <f t="shared" si="10"/>
        <v>100</v>
      </c>
      <c r="R12" s="1945">
        <f t="shared" si="10"/>
        <v>100</v>
      </c>
      <c r="S12" s="1945">
        <f t="shared" si="10"/>
        <v>100</v>
      </c>
      <c r="T12" s="1943"/>
      <c r="U12" s="2219"/>
      <c r="V12" s="2219"/>
      <c r="W12" s="2219"/>
      <c r="X12" s="2219"/>
      <c r="Y12" s="2219"/>
      <c r="Z12" s="2219"/>
      <c r="AA12" s="2219"/>
      <c r="AB12" s="2219"/>
      <c r="AC12" s="2219"/>
      <c r="AD12" s="2219"/>
      <c r="AE12" s="2219"/>
      <c r="AF12" s="2219"/>
      <c r="AG12" s="2219"/>
      <c r="AH12" s="2219"/>
      <c r="AI12" s="2219"/>
      <c r="AJ12" s="2219"/>
      <c r="AK12" s="2219"/>
      <c r="AL12" s="2219"/>
      <c r="AM12" s="2219"/>
      <c r="AN12" s="2219"/>
      <c r="AO12" s="2219"/>
      <c r="AP12" s="2219"/>
      <c r="AQ12" s="2219"/>
      <c r="AR12" s="2219"/>
      <c r="AS12" s="2219"/>
    </row>
    <row r="13" spans="1:45" s="1948" customFormat="1">
      <c r="A13" s="2212"/>
      <c r="B13" s="3016" t="s">
        <v>2901</v>
      </c>
      <c r="C13" s="2213"/>
      <c r="D13" s="2214"/>
      <c r="E13" s="2214"/>
      <c r="F13" s="2214"/>
      <c r="G13" s="2214"/>
      <c r="H13" s="2214"/>
      <c r="I13" s="2214"/>
      <c r="J13" s="2214"/>
      <c r="K13" s="2214"/>
      <c r="L13" s="2214"/>
      <c r="M13" s="2216"/>
      <c r="N13" s="2229"/>
      <c r="O13" s="2230"/>
      <c r="P13" s="2231"/>
      <c r="Q13" s="2232"/>
      <c r="R13" s="2233"/>
      <c r="S13" s="2234"/>
      <c r="T13" s="2235"/>
      <c r="U13" s="2219"/>
      <c r="V13" s="2219"/>
      <c r="W13" s="2219"/>
      <c r="X13" s="2219"/>
      <c r="Y13" s="2219"/>
      <c r="Z13" s="2219"/>
      <c r="AA13" s="2219"/>
      <c r="AB13" s="2219"/>
      <c r="AC13" s="2219"/>
      <c r="AD13" s="2219"/>
      <c r="AE13" s="2219"/>
      <c r="AF13" s="2219"/>
      <c r="AG13" s="2219"/>
      <c r="AH13" s="2219"/>
      <c r="AI13" s="2219"/>
      <c r="AJ13" s="2219"/>
      <c r="AK13" s="2219"/>
      <c r="AL13" s="2219"/>
      <c r="AM13" s="2219"/>
      <c r="AN13" s="2219"/>
      <c r="AO13" s="2219"/>
      <c r="AP13" s="2219"/>
      <c r="AQ13" s="2219"/>
      <c r="AR13" s="2219"/>
      <c r="AS13" s="2219"/>
    </row>
    <row r="14" spans="1:45" s="1948" customFormat="1" ht="13.5" thickBot="1">
      <c r="A14" s="2212"/>
      <c r="B14" s="1940"/>
      <c r="C14" s="1941"/>
      <c r="D14" s="1942"/>
      <c r="E14" s="1942"/>
      <c r="F14" s="1942"/>
      <c r="G14" s="1942"/>
      <c r="H14" s="1942"/>
      <c r="I14" s="1942"/>
      <c r="J14" s="1942"/>
      <c r="K14" s="1942"/>
      <c r="L14" s="1942"/>
      <c r="M14" s="2236"/>
      <c r="N14" s="2236"/>
      <c r="O14" s="1942"/>
      <c r="P14" s="1942"/>
      <c r="Q14" s="1942"/>
      <c r="R14" s="1942"/>
      <c r="S14" s="2237"/>
      <c r="T14" s="1943"/>
      <c r="U14" s="2219"/>
      <c r="V14" s="2219"/>
      <c r="W14" s="2219"/>
      <c r="X14" s="2219"/>
      <c r="Y14" s="2219"/>
      <c r="Z14" s="2219"/>
      <c r="AA14" s="2219"/>
      <c r="AB14" s="2219"/>
      <c r="AC14" s="2219"/>
      <c r="AD14" s="2219"/>
      <c r="AE14" s="2219"/>
      <c r="AF14" s="2219"/>
      <c r="AG14" s="2219"/>
      <c r="AH14" s="2219"/>
      <c r="AI14" s="2219"/>
      <c r="AJ14" s="2219"/>
      <c r="AK14" s="2219"/>
      <c r="AL14" s="2219"/>
      <c r="AM14" s="2219"/>
      <c r="AN14" s="2219"/>
      <c r="AO14" s="2219"/>
      <c r="AP14" s="2219"/>
      <c r="AQ14" s="2219"/>
      <c r="AR14" s="2219"/>
      <c r="AS14" s="2219"/>
    </row>
    <row r="15" spans="1:45" s="1948" customFormat="1">
      <c r="A15" s="2212"/>
      <c r="B15" s="3016" t="s">
        <v>2900</v>
      </c>
      <c r="C15" s="2213"/>
      <c r="D15" s="2214"/>
      <c r="E15" s="2214"/>
      <c r="F15" s="2214"/>
      <c r="G15" s="2214"/>
      <c r="H15" s="2214"/>
      <c r="I15" s="2214"/>
      <c r="J15" s="2214"/>
      <c r="K15" s="2214"/>
      <c r="L15" s="2214"/>
      <c r="M15" s="2216"/>
      <c r="N15" s="2229"/>
      <c r="O15" s="2230"/>
      <c r="P15" s="2231"/>
      <c r="Q15" s="2232"/>
      <c r="R15" s="2233"/>
      <c r="S15" s="2234"/>
      <c r="T15" s="2235"/>
      <c r="U15" s="2219"/>
      <c r="V15" s="2219"/>
      <c r="W15" s="2219"/>
      <c r="X15" s="2219"/>
      <c r="Y15" s="2219"/>
      <c r="Z15" s="2219"/>
      <c r="AA15" s="2219"/>
      <c r="AB15" s="2219"/>
      <c r="AC15" s="2219"/>
      <c r="AD15" s="2219"/>
      <c r="AE15" s="2219"/>
      <c r="AF15" s="2219"/>
      <c r="AG15" s="2219"/>
      <c r="AH15" s="2219"/>
      <c r="AI15" s="2219"/>
      <c r="AJ15" s="2219"/>
      <c r="AK15" s="2219"/>
      <c r="AL15" s="2219"/>
      <c r="AM15" s="2219"/>
      <c r="AN15" s="2219"/>
      <c r="AO15" s="2219"/>
      <c r="AP15" s="2219"/>
      <c r="AQ15" s="2219"/>
      <c r="AR15" s="2219"/>
      <c r="AS15" s="2219"/>
    </row>
    <row r="16" spans="1:45" s="1948" customFormat="1" ht="13.5" thickBot="1">
      <c r="A16" s="2212"/>
      <c r="B16" s="2205"/>
      <c r="C16" s="2206"/>
      <c r="D16" s="2207"/>
      <c r="E16" s="2207"/>
      <c r="F16" s="2207"/>
      <c r="G16" s="2207"/>
      <c r="H16" s="2207"/>
      <c r="I16" s="2207"/>
      <c r="J16" s="2207"/>
      <c r="K16" s="2207"/>
      <c r="L16" s="2207"/>
      <c r="M16" s="2208"/>
      <c r="N16" s="2208"/>
      <c r="O16" s="2207"/>
      <c r="P16" s="2207"/>
      <c r="Q16" s="2207"/>
      <c r="R16" s="2207"/>
      <c r="S16" s="2210"/>
      <c r="T16" s="2211"/>
      <c r="U16" s="2219"/>
      <c r="V16" s="2219"/>
      <c r="W16" s="2219"/>
      <c r="X16" s="2219"/>
      <c r="Y16" s="2219"/>
      <c r="Z16" s="2219"/>
      <c r="AA16" s="2219"/>
      <c r="AB16" s="2219"/>
      <c r="AC16" s="2219"/>
      <c r="AD16" s="2219"/>
      <c r="AE16" s="2219"/>
      <c r="AF16" s="2219"/>
      <c r="AG16" s="2219"/>
      <c r="AH16" s="2219"/>
      <c r="AI16" s="2219"/>
      <c r="AJ16" s="2219"/>
      <c r="AK16" s="2219"/>
      <c r="AL16" s="2219"/>
      <c r="AM16" s="2219"/>
      <c r="AN16" s="2219"/>
      <c r="AO16" s="2219"/>
      <c r="AP16" s="2219"/>
      <c r="AQ16" s="2219"/>
      <c r="AR16" s="2219"/>
      <c r="AS16" s="2219"/>
    </row>
    <row r="17" spans="1:45" s="1946" customFormat="1">
      <c r="A17" s="2238" t="s">
        <v>2282</v>
      </c>
      <c r="B17" s="2239" t="s">
        <v>2283</v>
      </c>
      <c r="C17" s="2240"/>
      <c r="D17" s="2241"/>
      <c r="E17" s="2241"/>
      <c r="F17" s="2241"/>
      <c r="G17" s="2241"/>
      <c r="H17" s="2241"/>
      <c r="I17" s="2241"/>
      <c r="J17" s="2241"/>
      <c r="K17" s="2241"/>
      <c r="L17" s="2242"/>
      <c r="M17" s="2243"/>
      <c r="N17" s="2244"/>
      <c r="O17" s="2245"/>
      <c r="P17" s="2246"/>
      <c r="Q17" s="2247"/>
      <c r="R17" s="2248"/>
      <c r="S17" s="2249"/>
      <c r="T17" s="2249"/>
      <c r="U17" s="2249"/>
      <c r="V17" s="2249"/>
      <c r="W17" s="2249"/>
      <c r="X17" s="2249"/>
      <c r="Y17" s="2249"/>
      <c r="Z17" s="2249"/>
      <c r="AA17" s="2249"/>
      <c r="AB17" s="2249"/>
      <c r="AC17" s="2249"/>
      <c r="AD17" s="2249"/>
      <c r="AE17" s="2249"/>
      <c r="AF17" s="2249"/>
      <c r="AG17" s="2249"/>
      <c r="AH17" s="2249"/>
      <c r="AI17" s="2249"/>
      <c r="AJ17" s="2249"/>
      <c r="AK17" s="2249"/>
      <c r="AL17" s="2249"/>
      <c r="AM17" s="2249"/>
      <c r="AN17" s="2249"/>
      <c r="AO17" s="2249"/>
      <c r="AP17" s="2249"/>
      <c r="AQ17" s="2249"/>
      <c r="AR17" s="2198"/>
      <c r="AS17" s="2198"/>
    </row>
    <row r="18" spans="1:45" s="1946" customFormat="1" ht="13.5" thickBot="1">
      <c r="A18" s="2250"/>
      <c r="B18" s="2251"/>
      <c r="C18" s="2252"/>
      <c r="D18" s="2253"/>
      <c r="E18" s="2253"/>
      <c r="F18" s="2253"/>
      <c r="G18" s="2253"/>
      <c r="H18" s="2253"/>
      <c r="I18" s="2253"/>
      <c r="J18" s="2253"/>
      <c r="K18" s="2253"/>
      <c r="L18" s="2253"/>
      <c r="M18" s="2254"/>
      <c r="N18" s="2254"/>
      <c r="O18" s="2253"/>
      <c r="P18" s="2253"/>
      <c r="Q18" s="2253"/>
      <c r="R18" s="2253"/>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198"/>
      <c r="AS18" s="2198"/>
    </row>
    <row r="19" spans="1:45">
      <c r="A19" s="311"/>
      <c r="B19" s="939"/>
      <c r="C19" s="1966"/>
      <c r="D19" s="1966"/>
      <c r="E19" s="1966"/>
      <c r="F19" s="1966"/>
      <c r="G19" s="1966"/>
      <c r="H19" s="1966"/>
      <c r="I19" s="1966"/>
      <c r="J19" s="1966"/>
      <c r="K19" s="1966"/>
      <c r="L19" s="1966"/>
      <c r="M19" s="1966"/>
      <c r="N19" s="1966"/>
      <c r="O19" s="1966"/>
      <c r="P19" s="1966"/>
      <c r="Q19" s="1966"/>
      <c r="R19" s="2186"/>
      <c r="S19" s="2004"/>
    </row>
    <row r="20" spans="1:45" ht="15.75">
      <c r="A20" s="951" t="s">
        <v>806</v>
      </c>
      <c r="B20" s="775">
        <f>S22</f>
        <v>0</v>
      </c>
      <c r="C20" s="1966"/>
      <c r="D20" s="1966"/>
      <c r="E20" s="1966"/>
      <c r="F20" s="1966"/>
      <c r="G20" s="1966"/>
      <c r="H20" s="1966"/>
      <c r="I20" s="1966"/>
      <c r="J20" s="1966"/>
      <c r="K20" s="1966"/>
      <c r="L20" s="1966"/>
      <c r="M20" s="1966"/>
      <c r="N20" s="1966"/>
      <c r="O20" s="1966"/>
      <c r="P20" s="1966"/>
      <c r="Q20" s="1966"/>
      <c r="R20" s="2186"/>
      <c r="S20" s="2004"/>
    </row>
    <row r="21" spans="1:45" ht="15.75">
      <c r="A21" s="951" t="s">
        <v>807</v>
      </c>
      <c r="B21" s="775" t="e">
        <f>R22</f>
        <v>#DIV/0!</v>
      </c>
      <c r="C21" s="1966"/>
      <c r="D21" s="1966"/>
      <c r="E21" s="1966"/>
      <c r="F21" s="1966"/>
      <c r="G21" s="1966"/>
      <c r="H21" s="1966"/>
      <c r="I21" s="1966"/>
      <c r="J21" s="1966"/>
      <c r="K21" s="1966"/>
      <c r="L21" s="1966"/>
      <c r="M21" s="1966"/>
      <c r="N21" s="1966"/>
      <c r="O21" s="1966"/>
      <c r="P21" s="1966"/>
      <c r="Q21" s="1966"/>
      <c r="R21" s="2186"/>
      <c r="S21" s="2004"/>
    </row>
    <row r="22" spans="1:45">
      <c r="A22" s="799" t="s">
        <v>808</v>
      </c>
      <c r="B22" s="53">
        <f>SUM(B24:B10000)</f>
        <v>0</v>
      </c>
      <c r="C22" s="3962" t="s">
        <v>19</v>
      </c>
      <c r="D22" s="3963"/>
      <c r="E22" s="3963"/>
      <c r="F22" s="3963"/>
      <c r="G22" s="3963"/>
      <c r="H22" s="3963"/>
      <c r="I22" s="3963"/>
      <c r="J22" s="3963"/>
      <c r="K22" s="3963"/>
      <c r="L22" s="3963"/>
      <c r="M22" s="3963"/>
      <c r="N22" s="3963"/>
      <c r="O22" s="3963"/>
      <c r="P22" s="3963"/>
      <c r="Q22" s="3964"/>
      <c r="R22" s="490" t="e">
        <f>ROUND(S22*10000/B22,0)</f>
        <v>#DIV/0!</v>
      </c>
      <c r="S22" s="53">
        <f>SUM(S24:S10000)</f>
        <v>0</v>
      </c>
    </row>
    <row r="23" spans="1:45" s="1590" customFormat="1" ht="24">
      <c r="A23" s="17" t="s">
        <v>809</v>
      </c>
      <c r="B23" s="17" t="s">
        <v>810</v>
      </c>
      <c r="C23" s="17" t="s">
        <v>811</v>
      </c>
      <c r="D23" s="17" t="str">
        <f>B5</f>
        <v>修正项2</v>
      </c>
      <c r="E23" s="17" t="s">
        <v>811</v>
      </c>
      <c r="F23" s="17" t="str">
        <f>B7</f>
        <v>修正项3</v>
      </c>
      <c r="G23" s="17" t="s">
        <v>811</v>
      </c>
      <c r="H23" s="17" t="str">
        <f>B9</f>
        <v>修正项4</v>
      </c>
      <c r="I23" s="17" t="s">
        <v>811</v>
      </c>
      <c r="J23" s="17" t="str">
        <f>B11</f>
        <v>修正项5</v>
      </c>
      <c r="K23" s="17" t="s">
        <v>811</v>
      </c>
      <c r="L23" s="17" t="str">
        <f>B13</f>
        <v>修正项6</v>
      </c>
      <c r="M23" s="17" t="s">
        <v>811</v>
      </c>
      <c r="N23" s="17" t="str">
        <f>B15</f>
        <v>修正项7</v>
      </c>
      <c r="O23" s="17" t="s">
        <v>811</v>
      </c>
      <c r="P23" s="17" t="str">
        <f>B17</f>
        <v>楼层</v>
      </c>
      <c r="Q23" s="17" t="s">
        <v>811</v>
      </c>
      <c r="R23" s="491" t="s">
        <v>812</v>
      </c>
      <c r="S23" s="17" t="s">
        <v>813</v>
      </c>
      <c r="T23" s="18"/>
      <c r="U23" s="18"/>
      <c r="V23" s="18"/>
      <c r="W23" s="18"/>
      <c r="X23" s="18"/>
      <c r="Y23" s="18"/>
      <c r="Z23" s="18"/>
      <c r="AA23" s="18"/>
      <c r="AB23" s="18"/>
      <c r="AC23" s="18"/>
      <c r="AD23" s="18"/>
      <c r="AE23" s="18"/>
      <c r="AF23" s="18"/>
      <c r="AG23" s="18"/>
      <c r="AH23" s="18"/>
      <c r="AI23" s="18"/>
    </row>
    <row r="24" spans="1:45" s="1591" customFormat="1">
      <c r="A24" s="952" t="s">
        <v>814</v>
      </c>
      <c r="B24" s="952"/>
      <c r="C24" s="953">
        <v>1</v>
      </c>
      <c r="D24" s="954"/>
      <c r="E24" s="953">
        <v>1</v>
      </c>
      <c r="F24" s="954"/>
      <c r="G24" s="953">
        <v>1</v>
      </c>
      <c r="H24" s="954"/>
      <c r="I24" s="953">
        <v>1</v>
      </c>
      <c r="J24" s="954"/>
      <c r="K24" s="953">
        <v>1</v>
      </c>
      <c r="L24" s="954"/>
      <c r="M24" s="953">
        <v>1</v>
      </c>
      <c r="N24" s="954"/>
      <c r="O24" s="953">
        <v>1</v>
      </c>
      <c r="P24" s="954"/>
      <c r="Q24" s="953">
        <v>1</v>
      </c>
      <c r="R24" s="955"/>
      <c r="S24" s="953">
        <f t="shared" ref="S24:S54" si="11">ROUND(R24*B24/10000,0)</f>
        <v>0</v>
      </c>
      <c r="T24" s="1949"/>
      <c r="U24" s="1949"/>
      <c r="V24" s="1949"/>
      <c r="W24" s="1949"/>
      <c r="X24" s="1949"/>
      <c r="Y24" s="1949"/>
      <c r="Z24" s="1949"/>
      <c r="AA24" s="1949"/>
      <c r="AB24" s="1949"/>
      <c r="AC24" s="1949"/>
      <c r="AD24" s="1949"/>
      <c r="AE24" s="1949"/>
      <c r="AF24" s="1949"/>
      <c r="AG24" s="1949"/>
      <c r="AH24" s="1949"/>
      <c r="AI24" s="1949"/>
    </row>
    <row r="25" spans="1:45">
      <c r="A25" s="956"/>
      <c r="B25" s="137"/>
      <c r="C25" s="53">
        <f>IF(B25="",1,(LOOKUP(B25,$3:$3,$4:$4)-LOOKUP($B$24,$3:$3,$4:$4)+100)/100)</f>
        <v>1</v>
      </c>
      <c r="D25" s="954"/>
      <c r="E25" s="53">
        <f>(SUMIF($5:$5,D25,$6:$6)-SUMIF($5:$5,$D$24,$6:$6)+100)/100</f>
        <v>1</v>
      </c>
      <c r="F25" s="954"/>
      <c r="G25" s="53">
        <f>(SUMIF($7:$7,F25,$8:$8)-SUMIF($7:$7,$F$24,$8:$8)+100)/100</f>
        <v>1</v>
      </c>
      <c r="H25" s="954"/>
      <c r="I25" s="53">
        <f>(SUMIF($9:$9,H25,$10:$10)-SUMIF($9:$9,$H$24,$10:$10)+100)/100</f>
        <v>1</v>
      </c>
      <c r="J25" s="954"/>
      <c r="K25" s="53">
        <f>(SUMIF($11:$11,J25,$12:$12)-SUMIF($11:$11,$J$24,$12:$12)+100)/100</f>
        <v>1</v>
      </c>
      <c r="L25" s="954"/>
      <c r="M25" s="53">
        <f>(SUMIF($13:$13,L25,$14:$14)-SUMIF($13:$13,$L$24,$14:$14)+100)/100</f>
        <v>1</v>
      </c>
      <c r="N25" s="954"/>
      <c r="O25" s="53">
        <f>(SUMIF($15:$15,N25,$16:$16)-SUMIF($15:$15,$N$24,$16:$16)+100)/100</f>
        <v>1</v>
      </c>
      <c r="P25" s="954"/>
      <c r="Q25" s="53">
        <f>(SUMIF($17:$17,P25,$18:$18)-SUMIF($17:$17,$P$24,$18:$18)+100)/100</f>
        <v>1</v>
      </c>
      <c r="R25" s="490">
        <f>IF(B25="",0,ROUND($R$24*C25*E25*G25*I25*K25*M25*O25*Q25,0))</f>
        <v>0</v>
      </c>
      <c r="S25" s="799">
        <f t="shared" si="11"/>
        <v>0</v>
      </c>
    </row>
    <row r="26" spans="1:45">
      <c r="A26" s="956"/>
      <c r="B26" s="137"/>
      <c r="C26" s="53">
        <f t="shared" ref="C26:C89" si="12">IF(B26="",1,(LOOKUP(B26,$3:$3,$4:$4)-LOOKUP($B$24,$3:$3,$4:$4)+100)/100)</f>
        <v>1</v>
      </c>
      <c r="D26" s="954"/>
      <c r="E26" s="53">
        <f t="shared" ref="E26:E89" si="13">(SUMIF($5:$5,D26,$6:$6)-SUMIF($5:$5,$D$24,$6:$6)+100)/100</f>
        <v>1</v>
      </c>
      <c r="F26" s="954"/>
      <c r="G26" s="53">
        <f t="shared" ref="G26:G89" si="14">(SUMIF($7:$7,F26,$8:$8)-SUMIF($7:$7,$F$24,$8:$8)+100)/100</f>
        <v>1</v>
      </c>
      <c r="H26" s="954"/>
      <c r="I26" s="53">
        <f t="shared" ref="I26:I89" si="15">(SUMIF($9:$9,H26,$10:$10)-SUMIF($9:$9,$H$24,$10:$10)+100)/100</f>
        <v>1</v>
      </c>
      <c r="J26" s="954"/>
      <c r="K26" s="53">
        <f t="shared" ref="K26:K89" si="16">(SUMIF($11:$11,J26,$12:$12)-SUMIF($11:$11,$J$24,$12:$12)+100)/100</f>
        <v>1</v>
      </c>
      <c r="L26" s="954"/>
      <c r="M26" s="53">
        <f t="shared" ref="M26:M89" si="17">(SUMIF($13:$13,L26,$14:$14)-SUMIF($13:$13,$L$24,$14:$14)+100)/100</f>
        <v>1</v>
      </c>
      <c r="N26" s="954"/>
      <c r="O26" s="53">
        <f t="shared" ref="O26:O89" si="18">(SUMIF($15:$15,N26,$16:$16)-SUMIF($15:$15,$N$24,$16:$16)+100)/100</f>
        <v>1</v>
      </c>
      <c r="P26" s="954"/>
      <c r="Q26" s="53">
        <f t="shared" ref="Q26:Q89" si="19">(SUMIF($17:$17,P26,$18:$18)-SUMIF($17:$17,$P$24,$18:$18)+100)/100</f>
        <v>1</v>
      </c>
      <c r="R26" s="490">
        <f t="shared" ref="R26:R89" si="20">IF(B26="",0,ROUND($R$24*C26*E26*G26*I26*K26*M26*O26*Q26,0))</f>
        <v>0</v>
      </c>
      <c r="S26" s="799">
        <f t="shared" si="11"/>
        <v>0</v>
      </c>
    </row>
    <row r="27" spans="1:45">
      <c r="A27" s="956"/>
      <c r="B27" s="137"/>
      <c r="C27" s="53">
        <f t="shared" si="12"/>
        <v>1</v>
      </c>
      <c r="D27" s="954"/>
      <c r="E27" s="53">
        <f t="shared" si="13"/>
        <v>1</v>
      </c>
      <c r="F27" s="954"/>
      <c r="G27" s="53">
        <f t="shared" si="14"/>
        <v>1</v>
      </c>
      <c r="H27" s="954"/>
      <c r="I27" s="53">
        <f t="shared" si="15"/>
        <v>1</v>
      </c>
      <c r="J27" s="954"/>
      <c r="K27" s="53">
        <f t="shared" si="16"/>
        <v>1</v>
      </c>
      <c r="L27" s="954"/>
      <c r="M27" s="53">
        <f t="shared" si="17"/>
        <v>1</v>
      </c>
      <c r="N27" s="954"/>
      <c r="O27" s="53">
        <f t="shared" si="18"/>
        <v>1</v>
      </c>
      <c r="P27" s="954"/>
      <c r="Q27" s="53">
        <f t="shared" si="19"/>
        <v>1</v>
      </c>
      <c r="R27" s="490">
        <f t="shared" si="20"/>
        <v>0</v>
      </c>
      <c r="S27" s="799">
        <f t="shared" si="11"/>
        <v>0</v>
      </c>
    </row>
    <row r="28" spans="1:45">
      <c r="A28" s="956"/>
      <c r="B28" s="137"/>
      <c r="C28" s="53">
        <f t="shared" si="12"/>
        <v>1</v>
      </c>
      <c r="D28" s="954"/>
      <c r="E28" s="53">
        <f t="shared" si="13"/>
        <v>1</v>
      </c>
      <c r="F28" s="954"/>
      <c r="G28" s="53">
        <f t="shared" si="14"/>
        <v>1</v>
      </c>
      <c r="H28" s="954"/>
      <c r="I28" s="53">
        <f t="shared" si="15"/>
        <v>1</v>
      </c>
      <c r="J28" s="954"/>
      <c r="K28" s="53">
        <f t="shared" si="16"/>
        <v>1</v>
      </c>
      <c r="L28" s="954"/>
      <c r="M28" s="53">
        <f t="shared" si="17"/>
        <v>1</v>
      </c>
      <c r="N28" s="954"/>
      <c r="O28" s="53">
        <f t="shared" si="18"/>
        <v>1</v>
      </c>
      <c r="P28" s="954"/>
      <c r="Q28" s="53">
        <f t="shared" si="19"/>
        <v>1</v>
      </c>
      <c r="R28" s="490">
        <f t="shared" si="20"/>
        <v>0</v>
      </c>
      <c r="S28" s="799">
        <f t="shared" si="11"/>
        <v>0</v>
      </c>
    </row>
    <row r="29" spans="1:45">
      <c r="A29" s="956"/>
      <c r="B29" s="137"/>
      <c r="C29" s="53">
        <f t="shared" si="12"/>
        <v>1</v>
      </c>
      <c r="D29" s="954"/>
      <c r="E29" s="53">
        <f t="shared" si="13"/>
        <v>1</v>
      </c>
      <c r="F29" s="954"/>
      <c r="G29" s="53">
        <f t="shared" si="14"/>
        <v>1</v>
      </c>
      <c r="H29" s="954"/>
      <c r="I29" s="53">
        <f t="shared" si="15"/>
        <v>1</v>
      </c>
      <c r="J29" s="954"/>
      <c r="K29" s="53">
        <f t="shared" si="16"/>
        <v>1</v>
      </c>
      <c r="L29" s="954"/>
      <c r="M29" s="53">
        <f t="shared" si="17"/>
        <v>1</v>
      </c>
      <c r="N29" s="954"/>
      <c r="O29" s="53">
        <f t="shared" si="18"/>
        <v>1</v>
      </c>
      <c r="P29" s="954"/>
      <c r="Q29" s="53">
        <f t="shared" si="19"/>
        <v>1</v>
      </c>
      <c r="R29" s="490">
        <f t="shared" si="20"/>
        <v>0</v>
      </c>
      <c r="S29" s="799">
        <f t="shared" si="11"/>
        <v>0</v>
      </c>
    </row>
    <row r="30" spans="1:45">
      <c r="A30" s="956"/>
      <c r="B30" s="137"/>
      <c r="C30" s="53">
        <f t="shared" si="12"/>
        <v>1</v>
      </c>
      <c r="D30" s="954"/>
      <c r="E30" s="53">
        <f t="shared" si="13"/>
        <v>1</v>
      </c>
      <c r="F30" s="954"/>
      <c r="G30" s="53">
        <f t="shared" si="14"/>
        <v>1</v>
      </c>
      <c r="H30" s="954"/>
      <c r="I30" s="53">
        <f t="shared" si="15"/>
        <v>1</v>
      </c>
      <c r="J30" s="954"/>
      <c r="K30" s="53">
        <f t="shared" si="16"/>
        <v>1</v>
      </c>
      <c r="L30" s="954"/>
      <c r="M30" s="53">
        <f t="shared" si="17"/>
        <v>1</v>
      </c>
      <c r="N30" s="954"/>
      <c r="O30" s="53">
        <f t="shared" si="18"/>
        <v>1</v>
      </c>
      <c r="P30" s="954"/>
      <c r="Q30" s="53">
        <f t="shared" si="19"/>
        <v>1</v>
      </c>
      <c r="R30" s="490">
        <f t="shared" si="20"/>
        <v>0</v>
      </c>
      <c r="S30" s="799">
        <f t="shared" si="11"/>
        <v>0</v>
      </c>
    </row>
    <row r="31" spans="1:45">
      <c r="A31" s="956"/>
      <c r="B31" s="137"/>
      <c r="C31" s="53">
        <f t="shared" si="12"/>
        <v>1</v>
      </c>
      <c r="D31" s="954"/>
      <c r="E31" s="53">
        <f t="shared" si="13"/>
        <v>1</v>
      </c>
      <c r="F31" s="954"/>
      <c r="G31" s="53">
        <f t="shared" si="14"/>
        <v>1</v>
      </c>
      <c r="H31" s="954"/>
      <c r="I31" s="53">
        <f t="shared" si="15"/>
        <v>1</v>
      </c>
      <c r="J31" s="954"/>
      <c r="K31" s="53">
        <f t="shared" si="16"/>
        <v>1</v>
      </c>
      <c r="L31" s="954"/>
      <c r="M31" s="53">
        <f t="shared" si="17"/>
        <v>1</v>
      </c>
      <c r="N31" s="954"/>
      <c r="O31" s="53">
        <f t="shared" si="18"/>
        <v>1</v>
      </c>
      <c r="P31" s="954"/>
      <c r="Q31" s="53">
        <f t="shared" si="19"/>
        <v>1</v>
      </c>
      <c r="R31" s="490">
        <f t="shared" si="20"/>
        <v>0</v>
      </c>
      <c r="S31" s="799">
        <f t="shared" si="11"/>
        <v>0</v>
      </c>
    </row>
    <row r="32" spans="1:45">
      <c r="A32" s="956"/>
      <c r="B32" s="137"/>
      <c r="C32" s="53">
        <f t="shared" si="12"/>
        <v>1</v>
      </c>
      <c r="D32" s="954"/>
      <c r="E32" s="53">
        <f t="shared" si="13"/>
        <v>1</v>
      </c>
      <c r="F32" s="954"/>
      <c r="G32" s="53">
        <f t="shared" si="14"/>
        <v>1</v>
      </c>
      <c r="H32" s="954"/>
      <c r="I32" s="53">
        <f t="shared" si="15"/>
        <v>1</v>
      </c>
      <c r="J32" s="954"/>
      <c r="K32" s="53">
        <f t="shared" si="16"/>
        <v>1</v>
      </c>
      <c r="L32" s="954"/>
      <c r="M32" s="53">
        <f t="shared" si="17"/>
        <v>1</v>
      </c>
      <c r="N32" s="954"/>
      <c r="O32" s="53">
        <f t="shared" si="18"/>
        <v>1</v>
      </c>
      <c r="P32" s="954"/>
      <c r="Q32" s="53">
        <f t="shared" si="19"/>
        <v>1</v>
      </c>
      <c r="R32" s="490">
        <f t="shared" si="20"/>
        <v>0</v>
      </c>
      <c r="S32" s="799">
        <f t="shared" si="11"/>
        <v>0</v>
      </c>
    </row>
    <row r="33" spans="1:19">
      <c r="A33" s="956"/>
      <c r="B33" s="137"/>
      <c r="C33" s="53">
        <f t="shared" si="12"/>
        <v>1</v>
      </c>
      <c r="D33" s="954"/>
      <c r="E33" s="53">
        <f t="shared" si="13"/>
        <v>1</v>
      </c>
      <c r="F33" s="954"/>
      <c r="G33" s="53">
        <f t="shared" si="14"/>
        <v>1</v>
      </c>
      <c r="H33" s="954"/>
      <c r="I33" s="53">
        <f t="shared" si="15"/>
        <v>1</v>
      </c>
      <c r="J33" s="954"/>
      <c r="K33" s="53">
        <f t="shared" si="16"/>
        <v>1</v>
      </c>
      <c r="L33" s="954"/>
      <c r="M33" s="53">
        <f t="shared" si="17"/>
        <v>1</v>
      </c>
      <c r="N33" s="954"/>
      <c r="O33" s="53">
        <f t="shared" si="18"/>
        <v>1</v>
      </c>
      <c r="P33" s="954"/>
      <c r="Q33" s="53">
        <f t="shared" si="19"/>
        <v>1</v>
      </c>
      <c r="R33" s="490">
        <f t="shared" si="20"/>
        <v>0</v>
      </c>
      <c r="S33" s="799">
        <f t="shared" si="11"/>
        <v>0</v>
      </c>
    </row>
    <row r="34" spans="1:19">
      <c r="A34" s="956"/>
      <c r="B34" s="137"/>
      <c r="C34" s="53">
        <f t="shared" si="12"/>
        <v>1</v>
      </c>
      <c r="D34" s="954"/>
      <c r="E34" s="53">
        <f t="shared" si="13"/>
        <v>1</v>
      </c>
      <c r="F34" s="954"/>
      <c r="G34" s="53">
        <f t="shared" si="14"/>
        <v>1</v>
      </c>
      <c r="H34" s="954"/>
      <c r="I34" s="53">
        <f t="shared" si="15"/>
        <v>1</v>
      </c>
      <c r="J34" s="954"/>
      <c r="K34" s="53">
        <f t="shared" si="16"/>
        <v>1</v>
      </c>
      <c r="L34" s="954"/>
      <c r="M34" s="53">
        <f t="shared" si="17"/>
        <v>1</v>
      </c>
      <c r="N34" s="954"/>
      <c r="O34" s="53">
        <f t="shared" si="18"/>
        <v>1</v>
      </c>
      <c r="P34" s="954"/>
      <c r="Q34" s="53">
        <f t="shared" si="19"/>
        <v>1</v>
      </c>
      <c r="R34" s="490">
        <f t="shared" si="20"/>
        <v>0</v>
      </c>
      <c r="S34" s="799">
        <f t="shared" si="11"/>
        <v>0</v>
      </c>
    </row>
    <row r="35" spans="1:19">
      <c r="A35" s="956"/>
      <c r="B35" s="137"/>
      <c r="C35" s="53">
        <f t="shared" si="12"/>
        <v>1</v>
      </c>
      <c r="D35" s="954"/>
      <c r="E35" s="53">
        <f t="shared" si="13"/>
        <v>1</v>
      </c>
      <c r="F35" s="954"/>
      <c r="G35" s="53">
        <f t="shared" si="14"/>
        <v>1</v>
      </c>
      <c r="H35" s="954"/>
      <c r="I35" s="53">
        <f t="shared" si="15"/>
        <v>1</v>
      </c>
      <c r="J35" s="954"/>
      <c r="K35" s="53">
        <f t="shared" si="16"/>
        <v>1</v>
      </c>
      <c r="L35" s="954"/>
      <c r="M35" s="53">
        <f t="shared" si="17"/>
        <v>1</v>
      </c>
      <c r="N35" s="954"/>
      <c r="O35" s="53">
        <f t="shared" si="18"/>
        <v>1</v>
      </c>
      <c r="P35" s="954"/>
      <c r="Q35" s="53">
        <f t="shared" si="19"/>
        <v>1</v>
      </c>
      <c r="R35" s="490">
        <f t="shared" si="20"/>
        <v>0</v>
      </c>
      <c r="S35" s="799">
        <f t="shared" si="11"/>
        <v>0</v>
      </c>
    </row>
    <row r="36" spans="1:19">
      <c r="A36" s="956"/>
      <c r="B36" s="137"/>
      <c r="C36" s="53">
        <f t="shared" si="12"/>
        <v>1</v>
      </c>
      <c r="D36" s="954"/>
      <c r="E36" s="53">
        <f t="shared" si="13"/>
        <v>1</v>
      </c>
      <c r="F36" s="954"/>
      <c r="G36" s="53">
        <f t="shared" si="14"/>
        <v>1</v>
      </c>
      <c r="H36" s="954"/>
      <c r="I36" s="53">
        <f t="shared" si="15"/>
        <v>1</v>
      </c>
      <c r="J36" s="954"/>
      <c r="K36" s="53">
        <f t="shared" si="16"/>
        <v>1</v>
      </c>
      <c r="L36" s="954"/>
      <c r="M36" s="53">
        <f t="shared" si="17"/>
        <v>1</v>
      </c>
      <c r="N36" s="954"/>
      <c r="O36" s="53">
        <f t="shared" si="18"/>
        <v>1</v>
      </c>
      <c r="P36" s="954"/>
      <c r="Q36" s="53">
        <f t="shared" si="19"/>
        <v>1</v>
      </c>
      <c r="R36" s="490">
        <f t="shared" si="20"/>
        <v>0</v>
      </c>
      <c r="S36" s="799">
        <f t="shared" si="11"/>
        <v>0</v>
      </c>
    </row>
    <row r="37" spans="1:19">
      <c r="A37" s="956"/>
      <c r="B37" s="137"/>
      <c r="C37" s="53">
        <f t="shared" si="12"/>
        <v>1</v>
      </c>
      <c r="D37" s="954"/>
      <c r="E37" s="53">
        <f t="shared" si="13"/>
        <v>1</v>
      </c>
      <c r="F37" s="954"/>
      <c r="G37" s="53">
        <f t="shared" si="14"/>
        <v>1</v>
      </c>
      <c r="H37" s="954"/>
      <c r="I37" s="53">
        <f t="shared" si="15"/>
        <v>1</v>
      </c>
      <c r="J37" s="954"/>
      <c r="K37" s="53">
        <f t="shared" si="16"/>
        <v>1</v>
      </c>
      <c r="L37" s="954"/>
      <c r="M37" s="53">
        <f t="shared" si="17"/>
        <v>1</v>
      </c>
      <c r="N37" s="954"/>
      <c r="O37" s="53">
        <f t="shared" si="18"/>
        <v>1</v>
      </c>
      <c r="P37" s="954"/>
      <c r="Q37" s="53">
        <f t="shared" si="19"/>
        <v>1</v>
      </c>
      <c r="R37" s="490">
        <f t="shared" si="20"/>
        <v>0</v>
      </c>
      <c r="S37" s="799">
        <f t="shared" si="11"/>
        <v>0</v>
      </c>
    </row>
    <row r="38" spans="1:19">
      <c r="A38" s="956"/>
      <c r="B38" s="137"/>
      <c r="C38" s="53">
        <f t="shared" si="12"/>
        <v>1</v>
      </c>
      <c r="D38" s="954"/>
      <c r="E38" s="53">
        <f t="shared" si="13"/>
        <v>1</v>
      </c>
      <c r="F38" s="954"/>
      <c r="G38" s="53">
        <f t="shared" si="14"/>
        <v>1</v>
      </c>
      <c r="H38" s="954"/>
      <c r="I38" s="53">
        <f t="shared" si="15"/>
        <v>1</v>
      </c>
      <c r="J38" s="954"/>
      <c r="K38" s="53">
        <f t="shared" si="16"/>
        <v>1</v>
      </c>
      <c r="L38" s="954"/>
      <c r="M38" s="53">
        <f t="shared" si="17"/>
        <v>1</v>
      </c>
      <c r="N38" s="954"/>
      <c r="O38" s="53">
        <f t="shared" si="18"/>
        <v>1</v>
      </c>
      <c r="P38" s="954"/>
      <c r="Q38" s="53">
        <f t="shared" si="19"/>
        <v>1</v>
      </c>
      <c r="R38" s="490">
        <f t="shared" si="20"/>
        <v>0</v>
      </c>
      <c r="S38" s="799">
        <f t="shared" si="11"/>
        <v>0</v>
      </c>
    </row>
    <row r="39" spans="1:19">
      <c r="A39" s="956"/>
      <c r="B39" s="137"/>
      <c r="C39" s="53">
        <f t="shared" si="12"/>
        <v>1</v>
      </c>
      <c r="D39" s="954"/>
      <c r="E39" s="53">
        <f t="shared" si="13"/>
        <v>1</v>
      </c>
      <c r="F39" s="954"/>
      <c r="G39" s="53">
        <f t="shared" si="14"/>
        <v>1</v>
      </c>
      <c r="H39" s="954"/>
      <c r="I39" s="53">
        <f t="shared" si="15"/>
        <v>1</v>
      </c>
      <c r="J39" s="954"/>
      <c r="K39" s="53">
        <f t="shared" si="16"/>
        <v>1</v>
      </c>
      <c r="L39" s="954"/>
      <c r="M39" s="53">
        <f t="shared" si="17"/>
        <v>1</v>
      </c>
      <c r="N39" s="954"/>
      <c r="O39" s="53">
        <f t="shared" si="18"/>
        <v>1</v>
      </c>
      <c r="P39" s="954"/>
      <c r="Q39" s="53">
        <f t="shared" si="19"/>
        <v>1</v>
      </c>
      <c r="R39" s="490">
        <f t="shared" si="20"/>
        <v>0</v>
      </c>
      <c r="S39" s="799">
        <f t="shared" si="11"/>
        <v>0</v>
      </c>
    </row>
    <row r="40" spans="1:19">
      <c r="A40" s="956"/>
      <c r="B40" s="137"/>
      <c r="C40" s="53">
        <f t="shared" si="12"/>
        <v>1</v>
      </c>
      <c r="D40" s="954"/>
      <c r="E40" s="53">
        <f t="shared" si="13"/>
        <v>1</v>
      </c>
      <c r="F40" s="954"/>
      <c r="G40" s="53">
        <f t="shared" si="14"/>
        <v>1</v>
      </c>
      <c r="H40" s="954"/>
      <c r="I40" s="53">
        <f t="shared" si="15"/>
        <v>1</v>
      </c>
      <c r="J40" s="954"/>
      <c r="K40" s="53">
        <f t="shared" si="16"/>
        <v>1</v>
      </c>
      <c r="L40" s="954"/>
      <c r="M40" s="53">
        <f t="shared" si="17"/>
        <v>1</v>
      </c>
      <c r="N40" s="954"/>
      <c r="O40" s="53">
        <f t="shared" si="18"/>
        <v>1</v>
      </c>
      <c r="P40" s="954"/>
      <c r="Q40" s="53">
        <f t="shared" si="19"/>
        <v>1</v>
      </c>
      <c r="R40" s="490">
        <f t="shared" si="20"/>
        <v>0</v>
      </c>
      <c r="S40" s="799">
        <f t="shared" si="11"/>
        <v>0</v>
      </c>
    </row>
    <row r="41" spans="1:19">
      <c r="A41" s="956"/>
      <c r="B41" s="137"/>
      <c r="C41" s="53">
        <f t="shared" si="12"/>
        <v>1</v>
      </c>
      <c r="D41" s="954"/>
      <c r="E41" s="53">
        <f t="shared" si="13"/>
        <v>1</v>
      </c>
      <c r="F41" s="954"/>
      <c r="G41" s="53">
        <f t="shared" si="14"/>
        <v>1</v>
      </c>
      <c r="H41" s="954"/>
      <c r="I41" s="53">
        <f t="shared" si="15"/>
        <v>1</v>
      </c>
      <c r="J41" s="954"/>
      <c r="K41" s="53">
        <f t="shared" si="16"/>
        <v>1</v>
      </c>
      <c r="L41" s="954"/>
      <c r="M41" s="53">
        <f t="shared" si="17"/>
        <v>1</v>
      </c>
      <c r="N41" s="954"/>
      <c r="O41" s="53">
        <f t="shared" si="18"/>
        <v>1</v>
      </c>
      <c r="P41" s="954"/>
      <c r="Q41" s="53">
        <f t="shared" si="19"/>
        <v>1</v>
      </c>
      <c r="R41" s="490">
        <f t="shared" si="20"/>
        <v>0</v>
      </c>
      <c r="S41" s="799">
        <f t="shared" si="11"/>
        <v>0</v>
      </c>
    </row>
    <row r="42" spans="1:19">
      <c r="A42" s="956"/>
      <c r="B42" s="137"/>
      <c r="C42" s="53">
        <f t="shared" si="12"/>
        <v>1</v>
      </c>
      <c r="D42" s="954"/>
      <c r="E42" s="53">
        <f t="shared" si="13"/>
        <v>1</v>
      </c>
      <c r="F42" s="954"/>
      <c r="G42" s="53">
        <f t="shared" si="14"/>
        <v>1</v>
      </c>
      <c r="H42" s="954"/>
      <c r="I42" s="53">
        <f t="shared" si="15"/>
        <v>1</v>
      </c>
      <c r="J42" s="954"/>
      <c r="K42" s="53">
        <f t="shared" si="16"/>
        <v>1</v>
      </c>
      <c r="L42" s="954"/>
      <c r="M42" s="53">
        <f t="shared" si="17"/>
        <v>1</v>
      </c>
      <c r="N42" s="954"/>
      <c r="O42" s="53">
        <f t="shared" si="18"/>
        <v>1</v>
      </c>
      <c r="P42" s="954"/>
      <c r="Q42" s="53">
        <f t="shared" si="19"/>
        <v>1</v>
      </c>
      <c r="R42" s="490">
        <f t="shared" si="20"/>
        <v>0</v>
      </c>
      <c r="S42" s="799">
        <f t="shared" si="11"/>
        <v>0</v>
      </c>
    </row>
    <row r="43" spans="1:19">
      <c r="A43" s="956"/>
      <c r="B43" s="137"/>
      <c r="C43" s="53">
        <f t="shared" si="12"/>
        <v>1</v>
      </c>
      <c r="D43" s="954"/>
      <c r="E43" s="53">
        <f t="shared" si="13"/>
        <v>1</v>
      </c>
      <c r="F43" s="954"/>
      <c r="G43" s="53">
        <f t="shared" si="14"/>
        <v>1</v>
      </c>
      <c r="H43" s="954"/>
      <c r="I43" s="53">
        <f t="shared" si="15"/>
        <v>1</v>
      </c>
      <c r="J43" s="954"/>
      <c r="K43" s="53">
        <f t="shared" si="16"/>
        <v>1</v>
      </c>
      <c r="L43" s="954"/>
      <c r="M43" s="53">
        <f t="shared" si="17"/>
        <v>1</v>
      </c>
      <c r="N43" s="954"/>
      <c r="O43" s="53">
        <f t="shared" si="18"/>
        <v>1</v>
      </c>
      <c r="P43" s="954"/>
      <c r="Q43" s="53">
        <f t="shared" si="19"/>
        <v>1</v>
      </c>
      <c r="R43" s="490">
        <f t="shared" si="20"/>
        <v>0</v>
      </c>
      <c r="S43" s="799">
        <f t="shared" si="11"/>
        <v>0</v>
      </c>
    </row>
    <row r="44" spans="1:19">
      <c r="A44" s="956"/>
      <c r="B44" s="137"/>
      <c r="C44" s="53">
        <f t="shared" si="12"/>
        <v>1</v>
      </c>
      <c r="D44" s="954"/>
      <c r="E44" s="53">
        <f t="shared" si="13"/>
        <v>1</v>
      </c>
      <c r="F44" s="954"/>
      <c r="G44" s="53">
        <f t="shared" si="14"/>
        <v>1</v>
      </c>
      <c r="H44" s="954"/>
      <c r="I44" s="53">
        <f t="shared" si="15"/>
        <v>1</v>
      </c>
      <c r="J44" s="954"/>
      <c r="K44" s="53">
        <f t="shared" si="16"/>
        <v>1</v>
      </c>
      <c r="L44" s="954"/>
      <c r="M44" s="53">
        <f t="shared" si="17"/>
        <v>1</v>
      </c>
      <c r="N44" s="954"/>
      <c r="O44" s="53">
        <f t="shared" si="18"/>
        <v>1</v>
      </c>
      <c r="P44" s="954"/>
      <c r="Q44" s="53">
        <f t="shared" si="19"/>
        <v>1</v>
      </c>
      <c r="R44" s="490">
        <f t="shared" si="20"/>
        <v>0</v>
      </c>
      <c r="S44" s="799">
        <f t="shared" si="11"/>
        <v>0</v>
      </c>
    </row>
    <row r="45" spans="1:19">
      <c r="A45" s="956"/>
      <c r="B45" s="137"/>
      <c r="C45" s="53">
        <f t="shared" si="12"/>
        <v>1</v>
      </c>
      <c r="D45" s="954"/>
      <c r="E45" s="53">
        <f t="shared" si="13"/>
        <v>1</v>
      </c>
      <c r="F45" s="954"/>
      <c r="G45" s="53">
        <f t="shared" si="14"/>
        <v>1</v>
      </c>
      <c r="H45" s="954"/>
      <c r="I45" s="53">
        <f t="shared" si="15"/>
        <v>1</v>
      </c>
      <c r="J45" s="954"/>
      <c r="K45" s="53">
        <f t="shared" si="16"/>
        <v>1</v>
      </c>
      <c r="L45" s="954"/>
      <c r="M45" s="53">
        <f t="shared" si="17"/>
        <v>1</v>
      </c>
      <c r="N45" s="954"/>
      <c r="O45" s="53">
        <f t="shared" si="18"/>
        <v>1</v>
      </c>
      <c r="P45" s="954"/>
      <c r="Q45" s="53">
        <f t="shared" si="19"/>
        <v>1</v>
      </c>
      <c r="R45" s="490">
        <f t="shared" si="20"/>
        <v>0</v>
      </c>
      <c r="S45" s="799">
        <f t="shared" si="11"/>
        <v>0</v>
      </c>
    </row>
    <row r="46" spans="1:19">
      <c r="A46" s="956"/>
      <c r="B46" s="137"/>
      <c r="C46" s="53">
        <f t="shared" si="12"/>
        <v>1</v>
      </c>
      <c r="D46" s="954"/>
      <c r="E46" s="53">
        <f t="shared" si="13"/>
        <v>1</v>
      </c>
      <c r="F46" s="954"/>
      <c r="G46" s="53">
        <f t="shared" si="14"/>
        <v>1</v>
      </c>
      <c r="H46" s="954"/>
      <c r="I46" s="53">
        <f t="shared" si="15"/>
        <v>1</v>
      </c>
      <c r="J46" s="954"/>
      <c r="K46" s="53">
        <f t="shared" si="16"/>
        <v>1</v>
      </c>
      <c r="L46" s="954"/>
      <c r="M46" s="53">
        <f t="shared" si="17"/>
        <v>1</v>
      </c>
      <c r="N46" s="954"/>
      <c r="O46" s="53">
        <f t="shared" si="18"/>
        <v>1</v>
      </c>
      <c r="P46" s="954"/>
      <c r="Q46" s="53">
        <f t="shared" si="19"/>
        <v>1</v>
      </c>
      <c r="R46" s="490">
        <f t="shared" si="20"/>
        <v>0</v>
      </c>
      <c r="S46" s="799">
        <f t="shared" si="11"/>
        <v>0</v>
      </c>
    </row>
    <row r="47" spans="1:19">
      <c r="A47" s="956"/>
      <c r="B47" s="137"/>
      <c r="C47" s="53">
        <f t="shared" si="12"/>
        <v>1</v>
      </c>
      <c r="D47" s="954"/>
      <c r="E47" s="53">
        <f t="shared" si="13"/>
        <v>1</v>
      </c>
      <c r="F47" s="954"/>
      <c r="G47" s="53">
        <f t="shared" si="14"/>
        <v>1</v>
      </c>
      <c r="H47" s="954"/>
      <c r="I47" s="53">
        <f t="shared" si="15"/>
        <v>1</v>
      </c>
      <c r="J47" s="954"/>
      <c r="K47" s="53">
        <f t="shared" si="16"/>
        <v>1</v>
      </c>
      <c r="L47" s="954"/>
      <c r="M47" s="53">
        <f t="shared" si="17"/>
        <v>1</v>
      </c>
      <c r="N47" s="954"/>
      <c r="O47" s="53">
        <f t="shared" si="18"/>
        <v>1</v>
      </c>
      <c r="P47" s="954"/>
      <c r="Q47" s="53">
        <f t="shared" si="19"/>
        <v>1</v>
      </c>
      <c r="R47" s="490">
        <f t="shared" si="20"/>
        <v>0</v>
      </c>
      <c r="S47" s="799">
        <f t="shared" si="11"/>
        <v>0</v>
      </c>
    </row>
    <row r="48" spans="1:19">
      <c r="A48" s="956"/>
      <c r="B48" s="137"/>
      <c r="C48" s="53">
        <f t="shared" si="12"/>
        <v>1</v>
      </c>
      <c r="D48" s="954"/>
      <c r="E48" s="53">
        <f t="shared" si="13"/>
        <v>1</v>
      </c>
      <c r="F48" s="954"/>
      <c r="G48" s="53">
        <f t="shared" si="14"/>
        <v>1</v>
      </c>
      <c r="H48" s="954"/>
      <c r="I48" s="53">
        <f t="shared" si="15"/>
        <v>1</v>
      </c>
      <c r="J48" s="954"/>
      <c r="K48" s="53">
        <f t="shared" si="16"/>
        <v>1</v>
      </c>
      <c r="L48" s="954"/>
      <c r="M48" s="53">
        <f t="shared" si="17"/>
        <v>1</v>
      </c>
      <c r="N48" s="954"/>
      <c r="O48" s="53">
        <f t="shared" si="18"/>
        <v>1</v>
      </c>
      <c r="P48" s="954"/>
      <c r="Q48" s="53">
        <f t="shared" si="19"/>
        <v>1</v>
      </c>
      <c r="R48" s="490">
        <f t="shared" si="20"/>
        <v>0</v>
      </c>
      <c r="S48" s="799">
        <f t="shared" si="11"/>
        <v>0</v>
      </c>
    </row>
    <row r="49" spans="1:19">
      <c r="A49" s="956"/>
      <c r="B49" s="137"/>
      <c r="C49" s="53">
        <f t="shared" si="12"/>
        <v>1</v>
      </c>
      <c r="D49" s="954"/>
      <c r="E49" s="53">
        <f t="shared" si="13"/>
        <v>1</v>
      </c>
      <c r="F49" s="954"/>
      <c r="G49" s="53">
        <f t="shared" si="14"/>
        <v>1</v>
      </c>
      <c r="H49" s="954"/>
      <c r="I49" s="53">
        <f t="shared" si="15"/>
        <v>1</v>
      </c>
      <c r="J49" s="954"/>
      <c r="K49" s="53">
        <f t="shared" si="16"/>
        <v>1</v>
      </c>
      <c r="L49" s="954"/>
      <c r="M49" s="53">
        <f t="shared" si="17"/>
        <v>1</v>
      </c>
      <c r="N49" s="954"/>
      <c r="O49" s="53">
        <f t="shared" si="18"/>
        <v>1</v>
      </c>
      <c r="P49" s="954"/>
      <c r="Q49" s="53">
        <f t="shared" si="19"/>
        <v>1</v>
      </c>
      <c r="R49" s="490">
        <f t="shared" si="20"/>
        <v>0</v>
      </c>
      <c r="S49" s="799">
        <f t="shared" si="11"/>
        <v>0</v>
      </c>
    </row>
    <row r="50" spans="1:19">
      <c r="A50" s="956"/>
      <c r="B50" s="137"/>
      <c r="C50" s="53">
        <f t="shared" si="12"/>
        <v>1</v>
      </c>
      <c r="D50" s="954"/>
      <c r="E50" s="53">
        <f t="shared" si="13"/>
        <v>1</v>
      </c>
      <c r="F50" s="954"/>
      <c r="G50" s="53">
        <f t="shared" si="14"/>
        <v>1</v>
      </c>
      <c r="H50" s="954"/>
      <c r="I50" s="53">
        <f t="shared" si="15"/>
        <v>1</v>
      </c>
      <c r="J50" s="954"/>
      <c r="K50" s="53">
        <f t="shared" si="16"/>
        <v>1</v>
      </c>
      <c r="L50" s="954"/>
      <c r="M50" s="53">
        <f t="shared" si="17"/>
        <v>1</v>
      </c>
      <c r="N50" s="954"/>
      <c r="O50" s="53">
        <f t="shared" si="18"/>
        <v>1</v>
      </c>
      <c r="P50" s="954"/>
      <c r="Q50" s="53">
        <f t="shared" si="19"/>
        <v>1</v>
      </c>
      <c r="R50" s="490">
        <f t="shared" si="20"/>
        <v>0</v>
      </c>
      <c r="S50" s="799">
        <f t="shared" si="11"/>
        <v>0</v>
      </c>
    </row>
    <row r="51" spans="1:19">
      <c r="A51" s="956"/>
      <c r="B51" s="137"/>
      <c r="C51" s="53">
        <f t="shared" si="12"/>
        <v>1</v>
      </c>
      <c r="D51" s="954"/>
      <c r="E51" s="53">
        <f t="shared" si="13"/>
        <v>1</v>
      </c>
      <c r="F51" s="954"/>
      <c r="G51" s="53">
        <f t="shared" si="14"/>
        <v>1</v>
      </c>
      <c r="H51" s="954"/>
      <c r="I51" s="53">
        <f t="shared" si="15"/>
        <v>1</v>
      </c>
      <c r="J51" s="954"/>
      <c r="K51" s="53">
        <f t="shared" si="16"/>
        <v>1</v>
      </c>
      <c r="L51" s="954"/>
      <c r="M51" s="53">
        <f t="shared" si="17"/>
        <v>1</v>
      </c>
      <c r="N51" s="954"/>
      <c r="O51" s="53">
        <f t="shared" si="18"/>
        <v>1</v>
      </c>
      <c r="P51" s="954"/>
      <c r="Q51" s="53">
        <f t="shared" si="19"/>
        <v>1</v>
      </c>
      <c r="R51" s="490">
        <f t="shared" si="20"/>
        <v>0</v>
      </c>
      <c r="S51" s="799">
        <f t="shared" si="11"/>
        <v>0</v>
      </c>
    </row>
    <row r="52" spans="1:19">
      <c r="A52" s="956"/>
      <c r="B52" s="137"/>
      <c r="C52" s="53">
        <f t="shared" si="12"/>
        <v>1</v>
      </c>
      <c r="D52" s="954"/>
      <c r="E52" s="53">
        <f t="shared" si="13"/>
        <v>1</v>
      </c>
      <c r="F52" s="954"/>
      <c r="G52" s="53">
        <f t="shared" si="14"/>
        <v>1</v>
      </c>
      <c r="H52" s="954"/>
      <c r="I52" s="53">
        <f t="shared" si="15"/>
        <v>1</v>
      </c>
      <c r="J52" s="954"/>
      <c r="K52" s="53">
        <f t="shared" si="16"/>
        <v>1</v>
      </c>
      <c r="L52" s="954"/>
      <c r="M52" s="53">
        <f t="shared" si="17"/>
        <v>1</v>
      </c>
      <c r="N52" s="954"/>
      <c r="O52" s="53">
        <f t="shared" si="18"/>
        <v>1</v>
      </c>
      <c r="P52" s="954"/>
      <c r="Q52" s="53">
        <f t="shared" si="19"/>
        <v>1</v>
      </c>
      <c r="R52" s="490">
        <f t="shared" si="20"/>
        <v>0</v>
      </c>
      <c r="S52" s="799">
        <f t="shared" si="11"/>
        <v>0</v>
      </c>
    </row>
    <row r="53" spans="1:19">
      <c r="A53" s="956"/>
      <c r="B53" s="137"/>
      <c r="C53" s="53">
        <f t="shared" si="12"/>
        <v>1</v>
      </c>
      <c r="D53" s="954"/>
      <c r="E53" s="53">
        <f t="shared" si="13"/>
        <v>1</v>
      </c>
      <c r="F53" s="954"/>
      <c r="G53" s="53">
        <f t="shared" si="14"/>
        <v>1</v>
      </c>
      <c r="H53" s="954"/>
      <c r="I53" s="53">
        <f t="shared" si="15"/>
        <v>1</v>
      </c>
      <c r="J53" s="954"/>
      <c r="K53" s="53">
        <f t="shared" si="16"/>
        <v>1</v>
      </c>
      <c r="L53" s="954"/>
      <c r="M53" s="53">
        <f t="shared" si="17"/>
        <v>1</v>
      </c>
      <c r="N53" s="954"/>
      <c r="O53" s="53">
        <f t="shared" si="18"/>
        <v>1</v>
      </c>
      <c r="P53" s="954"/>
      <c r="Q53" s="53">
        <f t="shared" si="19"/>
        <v>1</v>
      </c>
      <c r="R53" s="490">
        <f t="shared" si="20"/>
        <v>0</v>
      </c>
      <c r="S53" s="799">
        <f t="shared" si="11"/>
        <v>0</v>
      </c>
    </row>
    <row r="54" spans="1:19">
      <c r="A54" s="956"/>
      <c r="B54" s="137"/>
      <c r="C54" s="53">
        <f t="shared" si="12"/>
        <v>1</v>
      </c>
      <c r="D54" s="954"/>
      <c r="E54" s="53">
        <f t="shared" si="13"/>
        <v>1</v>
      </c>
      <c r="F54" s="954"/>
      <c r="G54" s="53">
        <f t="shared" si="14"/>
        <v>1</v>
      </c>
      <c r="H54" s="954"/>
      <c r="I54" s="53">
        <f t="shared" si="15"/>
        <v>1</v>
      </c>
      <c r="J54" s="954"/>
      <c r="K54" s="53">
        <f t="shared" si="16"/>
        <v>1</v>
      </c>
      <c r="L54" s="954"/>
      <c r="M54" s="53">
        <f t="shared" si="17"/>
        <v>1</v>
      </c>
      <c r="N54" s="954"/>
      <c r="O54" s="53">
        <f t="shared" si="18"/>
        <v>1</v>
      </c>
      <c r="P54" s="954"/>
      <c r="Q54" s="53">
        <f t="shared" si="19"/>
        <v>1</v>
      </c>
      <c r="R54" s="490">
        <f t="shared" si="20"/>
        <v>0</v>
      </c>
      <c r="S54" s="799">
        <f t="shared" si="11"/>
        <v>0</v>
      </c>
    </row>
    <row r="55" spans="1:19">
      <c r="A55" s="956"/>
      <c r="B55" s="137"/>
      <c r="C55" s="53">
        <f t="shared" si="12"/>
        <v>1</v>
      </c>
      <c r="D55" s="954"/>
      <c r="E55" s="53">
        <f t="shared" si="13"/>
        <v>1</v>
      </c>
      <c r="F55" s="954"/>
      <c r="G55" s="53">
        <f t="shared" si="14"/>
        <v>1</v>
      </c>
      <c r="H55" s="954"/>
      <c r="I55" s="53">
        <f t="shared" si="15"/>
        <v>1</v>
      </c>
      <c r="J55" s="954"/>
      <c r="K55" s="53">
        <f t="shared" si="16"/>
        <v>1</v>
      </c>
      <c r="L55" s="954"/>
      <c r="M55" s="53">
        <f t="shared" si="17"/>
        <v>1</v>
      </c>
      <c r="N55" s="954"/>
      <c r="O55" s="53">
        <f t="shared" si="18"/>
        <v>1</v>
      </c>
      <c r="P55" s="954"/>
      <c r="Q55" s="53">
        <f t="shared" si="19"/>
        <v>1</v>
      </c>
      <c r="R55" s="490">
        <f t="shared" si="20"/>
        <v>0</v>
      </c>
      <c r="S55" s="799">
        <f t="shared" ref="S55:S77" si="21">ROUND(R55*B55/10000,0)</f>
        <v>0</v>
      </c>
    </row>
    <row r="56" spans="1:19">
      <c r="A56" s="956"/>
      <c r="B56" s="137"/>
      <c r="C56" s="53">
        <f t="shared" si="12"/>
        <v>1</v>
      </c>
      <c r="D56" s="954"/>
      <c r="E56" s="53">
        <f t="shared" si="13"/>
        <v>1</v>
      </c>
      <c r="F56" s="954"/>
      <c r="G56" s="53">
        <f t="shared" si="14"/>
        <v>1</v>
      </c>
      <c r="H56" s="954"/>
      <c r="I56" s="53">
        <f t="shared" si="15"/>
        <v>1</v>
      </c>
      <c r="J56" s="954"/>
      <c r="K56" s="53">
        <f t="shared" si="16"/>
        <v>1</v>
      </c>
      <c r="L56" s="954"/>
      <c r="M56" s="53">
        <f t="shared" si="17"/>
        <v>1</v>
      </c>
      <c r="N56" s="954"/>
      <c r="O56" s="53">
        <f t="shared" si="18"/>
        <v>1</v>
      </c>
      <c r="P56" s="954"/>
      <c r="Q56" s="53">
        <f t="shared" si="19"/>
        <v>1</v>
      </c>
      <c r="R56" s="490">
        <f t="shared" si="20"/>
        <v>0</v>
      </c>
      <c r="S56" s="799">
        <f t="shared" si="21"/>
        <v>0</v>
      </c>
    </row>
    <row r="57" spans="1:19">
      <c r="A57" s="956"/>
      <c r="B57" s="137"/>
      <c r="C57" s="53">
        <f t="shared" si="12"/>
        <v>1</v>
      </c>
      <c r="D57" s="954"/>
      <c r="E57" s="53">
        <f t="shared" si="13"/>
        <v>1</v>
      </c>
      <c r="F57" s="954"/>
      <c r="G57" s="53">
        <f t="shared" si="14"/>
        <v>1</v>
      </c>
      <c r="H57" s="954"/>
      <c r="I57" s="53">
        <f t="shared" si="15"/>
        <v>1</v>
      </c>
      <c r="J57" s="954"/>
      <c r="K57" s="53">
        <f t="shared" si="16"/>
        <v>1</v>
      </c>
      <c r="L57" s="954"/>
      <c r="M57" s="53">
        <f t="shared" si="17"/>
        <v>1</v>
      </c>
      <c r="N57" s="954"/>
      <c r="O57" s="53">
        <f t="shared" si="18"/>
        <v>1</v>
      </c>
      <c r="P57" s="954"/>
      <c r="Q57" s="53">
        <f t="shared" si="19"/>
        <v>1</v>
      </c>
      <c r="R57" s="490">
        <f t="shared" si="20"/>
        <v>0</v>
      </c>
      <c r="S57" s="799">
        <f t="shared" si="21"/>
        <v>0</v>
      </c>
    </row>
    <row r="58" spans="1:19">
      <c r="A58" s="956"/>
      <c r="B58" s="137"/>
      <c r="C58" s="53">
        <f t="shared" si="12"/>
        <v>1</v>
      </c>
      <c r="D58" s="954"/>
      <c r="E58" s="53">
        <f t="shared" si="13"/>
        <v>1</v>
      </c>
      <c r="F58" s="954"/>
      <c r="G58" s="53">
        <f t="shared" si="14"/>
        <v>1</v>
      </c>
      <c r="H58" s="954"/>
      <c r="I58" s="53">
        <f t="shared" si="15"/>
        <v>1</v>
      </c>
      <c r="J58" s="954"/>
      <c r="K58" s="53">
        <f t="shared" si="16"/>
        <v>1</v>
      </c>
      <c r="L58" s="954"/>
      <c r="M58" s="53">
        <f t="shared" si="17"/>
        <v>1</v>
      </c>
      <c r="N58" s="954"/>
      <c r="O58" s="53">
        <f t="shared" si="18"/>
        <v>1</v>
      </c>
      <c r="P58" s="954"/>
      <c r="Q58" s="53">
        <f t="shared" si="19"/>
        <v>1</v>
      </c>
      <c r="R58" s="490">
        <f t="shared" si="20"/>
        <v>0</v>
      </c>
      <c r="S58" s="799">
        <f t="shared" si="21"/>
        <v>0</v>
      </c>
    </row>
    <row r="59" spans="1:19">
      <c r="A59" s="956"/>
      <c r="B59" s="137"/>
      <c r="C59" s="53">
        <f t="shared" si="12"/>
        <v>1</v>
      </c>
      <c r="D59" s="954"/>
      <c r="E59" s="53">
        <f t="shared" si="13"/>
        <v>1</v>
      </c>
      <c r="F59" s="954"/>
      <c r="G59" s="53">
        <f t="shared" si="14"/>
        <v>1</v>
      </c>
      <c r="H59" s="954"/>
      <c r="I59" s="53">
        <f t="shared" si="15"/>
        <v>1</v>
      </c>
      <c r="J59" s="954"/>
      <c r="K59" s="53">
        <f t="shared" si="16"/>
        <v>1</v>
      </c>
      <c r="L59" s="954"/>
      <c r="M59" s="53">
        <f t="shared" si="17"/>
        <v>1</v>
      </c>
      <c r="N59" s="954"/>
      <c r="O59" s="53">
        <f t="shared" si="18"/>
        <v>1</v>
      </c>
      <c r="P59" s="954"/>
      <c r="Q59" s="53">
        <f t="shared" si="19"/>
        <v>1</v>
      </c>
      <c r="R59" s="490">
        <f t="shared" si="20"/>
        <v>0</v>
      </c>
      <c r="S59" s="799">
        <f t="shared" si="21"/>
        <v>0</v>
      </c>
    </row>
    <row r="60" spans="1:19">
      <c r="A60" s="956"/>
      <c r="B60" s="137"/>
      <c r="C60" s="53">
        <f t="shared" si="12"/>
        <v>1</v>
      </c>
      <c r="D60" s="954"/>
      <c r="E60" s="53">
        <f t="shared" si="13"/>
        <v>1</v>
      </c>
      <c r="F60" s="954"/>
      <c r="G60" s="53">
        <f t="shared" si="14"/>
        <v>1</v>
      </c>
      <c r="H60" s="954"/>
      <c r="I60" s="53">
        <f t="shared" si="15"/>
        <v>1</v>
      </c>
      <c r="J60" s="954"/>
      <c r="K60" s="53">
        <f t="shared" si="16"/>
        <v>1</v>
      </c>
      <c r="L60" s="954"/>
      <c r="M60" s="53">
        <f t="shared" si="17"/>
        <v>1</v>
      </c>
      <c r="N60" s="954"/>
      <c r="O60" s="53">
        <f t="shared" si="18"/>
        <v>1</v>
      </c>
      <c r="P60" s="954"/>
      <c r="Q60" s="53">
        <f t="shared" si="19"/>
        <v>1</v>
      </c>
      <c r="R60" s="490">
        <f t="shared" si="20"/>
        <v>0</v>
      </c>
      <c r="S60" s="799">
        <f t="shared" si="21"/>
        <v>0</v>
      </c>
    </row>
    <row r="61" spans="1:19">
      <c r="A61" s="956"/>
      <c r="B61" s="137"/>
      <c r="C61" s="53">
        <f t="shared" si="12"/>
        <v>1</v>
      </c>
      <c r="D61" s="954"/>
      <c r="E61" s="53">
        <f t="shared" si="13"/>
        <v>1</v>
      </c>
      <c r="F61" s="954"/>
      <c r="G61" s="53">
        <f t="shared" si="14"/>
        <v>1</v>
      </c>
      <c r="H61" s="954"/>
      <c r="I61" s="53">
        <f t="shared" si="15"/>
        <v>1</v>
      </c>
      <c r="J61" s="954"/>
      <c r="K61" s="53">
        <f t="shared" si="16"/>
        <v>1</v>
      </c>
      <c r="L61" s="954"/>
      <c r="M61" s="53">
        <f t="shared" si="17"/>
        <v>1</v>
      </c>
      <c r="N61" s="954"/>
      <c r="O61" s="53">
        <f t="shared" si="18"/>
        <v>1</v>
      </c>
      <c r="P61" s="954"/>
      <c r="Q61" s="53">
        <f t="shared" si="19"/>
        <v>1</v>
      </c>
      <c r="R61" s="490">
        <f t="shared" si="20"/>
        <v>0</v>
      </c>
      <c r="S61" s="799">
        <f t="shared" si="21"/>
        <v>0</v>
      </c>
    </row>
    <row r="62" spans="1:19">
      <c r="A62" s="956"/>
      <c r="B62" s="137"/>
      <c r="C62" s="53">
        <f t="shared" si="12"/>
        <v>1</v>
      </c>
      <c r="D62" s="954"/>
      <c r="E62" s="53">
        <f t="shared" si="13"/>
        <v>1</v>
      </c>
      <c r="F62" s="954"/>
      <c r="G62" s="53">
        <f t="shared" si="14"/>
        <v>1</v>
      </c>
      <c r="H62" s="954"/>
      <c r="I62" s="53">
        <f t="shared" si="15"/>
        <v>1</v>
      </c>
      <c r="J62" s="954"/>
      <c r="K62" s="53">
        <f t="shared" si="16"/>
        <v>1</v>
      </c>
      <c r="L62" s="954"/>
      <c r="M62" s="53">
        <f t="shared" si="17"/>
        <v>1</v>
      </c>
      <c r="N62" s="954"/>
      <c r="O62" s="53">
        <f t="shared" si="18"/>
        <v>1</v>
      </c>
      <c r="P62" s="954"/>
      <c r="Q62" s="53">
        <f t="shared" si="19"/>
        <v>1</v>
      </c>
      <c r="R62" s="490">
        <f t="shared" si="20"/>
        <v>0</v>
      </c>
      <c r="S62" s="799">
        <f t="shared" si="21"/>
        <v>0</v>
      </c>
    </row>
    <row r="63" spans="1:19">
      <c r="A63" s="956"/>
      <c r="B63" s="137"/>
      <c r="C63" s="53">
        <f t="shared" si="12"/>
        <v>1</v>
      </c>
      <c r="D63" s="954"/>
      <c r="E63" s="53">
        <f t="shared" si="13"/>
        <v>1</v>
      </c>
      <c r="F63" s="954"/>
      <c r="G63" s="53">
        <f t="shared" si="14"/>
        <v>1</v>
      </c>
      <c r="H63" s="954"/>
      <c r="I63" s="53">
        <f t="shared" si="15"/>
        <v>1</v>
      </c>
      <c r="J63" s="954"/>
      <c r="K63" s="53">
        <f t="shared" si="16"/>
        <v>1</v>
      </c>
      <c r="L63" s="954"/>
      <c r="M63" s="53">
        <f t="shared" si="17"/>
        <v>1</v>
      </c>
      <c r="N63" s="954"/>
      <c r="O63" s="53">
        <f t="shared" si="18"/>
        <v>1</v>
      </c>
      <c r="P63" s="954"/>
      <c r="Q63" s="53">
        <f t="shared" si="19"/>
        <v>1</v>
      </c>
      <c r="R63" s="490">
        <f t="shared" si="20"/>
        <v>0</v>
      </c>
      <c r="S63" s="799">
        <f t="shared" si="21"/>
        <v>0</v>
      </c>
    </row>
    <row r="64" spans="1:19">
      <c r="A64" s="956"/>
      <c r="B64" s="137"/>
      <c r="C64" s="53">
        <f t="shared" si="12"/>
        <v>1</v>
      </c>
      <c r="D64" s="954"/>
      <c r="E64" s="53">
        <f t="shared" si="13"/>
        <v>1</v>
      </c>
      <c r="F64" s="954"/>
      <c r="G64" s="53">
        <f t="shared" si="14"/>
        <v>1</v>
      </c>
      <c r="H64" s="954"/>
      <c r="I64" s="53">
        <f t="shared" si="15"/>
        <v>1</v>
      </c>
      <c r="J64" s="954"/>
      <c r="K64" s="53">
        <f t="shared" si="16"/>
        <v>1</v>
      </c>
      <c r="L64" s="954"/>
      <c r="M64" s="53">
        <f t="shared" si="17"/>
        <v>1</v>
      </c>
      <c r="N64" s="954"/>
      <c r="O64" s="53">
        <f t="shared" si="18"/>
        <v>1</v>
      </c>
      <c r="P64" s="954"/>
      <c r="Q64" s="53">
        <f t="shared" si="19"/>
        <v>1</v>
      </c>
      <c r="R64" s="490">
        <f t="shared" si="20"/>
        <v>0</v>
      </c>
      <c r="S64" s="799">
        <f t="shared" si="21"/>
        <v>0</v>
      </c>
    </row>
    <row r="65" spans="1:19">
      <c r="A65" s="956"/>
      <c r="B65" s="137"/>
      <c r="C65" s="53">
        <f t="shared" si="12"/>
        <v>1</v>
      </c>
      <c r="D65" s="954"/>
      <c r="E65" s="53">
        <f t="shared" si="13"/>
        <v>1</v>
      </c>
      <c r="F65" s="954"/>
      <c r="G65" s="53">
        <f t="shared" si="14"/>
        <v>1</v>
      </c>
      <c r="H65" s="954"/>
      <c r="I65" s="53">
        <f t="shared" si="15"/>
        <v>1</v>
      </c>
      <c r="J65" s="954"/>
      <c r="K65" s="53">
        <f t="shared" si="16"/>
        <v>1</v>
      </c>
      <c r="L65" s="954"/>
      <c r="M65" s="53">
        <f t="shared" si="17"/>
        <v>1</v>
      </c>
      <c r="N65" s="954"/>
      <c r="O65" s="53">
        <f t="shared" si="18"/>
        <v>1</v>
      </c>
      <c r="P65" s="954"/>
      <c r="Q65" s="53">
        <f t="shared" si="19"/>
        <v>1</v>
      </c>
      <c r="R65" s="490">
        <f t="shared" si="20"/>
        <v>0</v>
      </c>
      <c r="S65" s="799">
        <f t="shared" si="21"/>
        <v>0</v>
      </c>
    </row>
    <row r="66" spans="1:19">
      <c r="A66" s="956"/>
      <c r="B66" s="137"/>
      <c r="C66" s="53">
        <f t="shared" si="12"/>
        <v>1</v>
      </c>
      <c r="D66" s="954"/>
      <c r="E66" s="53">
        <f t="shared" si="13"/>
        <v>1</v>
      </c>
      <c r="F66" s="954"/>
      <c r="G66" s="53">
        <f t="shared" si="14"/>
        <v>1</v>
      </c>
      <c r="H66" s="954"/>
      <c r="I66" s="53">
        <f t="shared" si="15"/>
        <v>1</v>
      </c>
      <c r="J66" s="954"/>
      <c r="K66" s="53">
        <f t="shared" si="16"/>
        <v>1</v>
      </c>
      <c r="L66" s="954"/>
      <c r="M66" s="53">
        <f t="shared" si="17"/>
        <v>1</v>
      </c>
      <c r="N66" s="954"/>
      <c r="O66" s="53">
        <f t="shared" si="18"/>
        <v>1</v>
      </c>
      <c r="P66" s="954"/>
      <c r="Q66" s="53">
        <f t="shared" si="19"/>
        <v>1</v>
      </c>
      <c r="R66" s="490">
        <f t="shared" si="20"/>
        <v>0</v>
      </c>
      <c r="S66" s="799">
        <f t="shared" si="21"/>
        <v>0</v>
      </c>
    </row>
    <row r="67" spans="1:19">
      <c r="A67" s="956"/>
      <c r="B67" s="137"/>
      <c r="C67" s="53">
        <f t="shared" si="12"/>
        <v>1</v>
      </c>
      <c r="D67" s="954"/>
      <c r="E67" s="53">
        <f t="shared" si="13"/>
        <v>1</v>
      </c>
      <c r="F67" s="954"/>
      <c r="G67" s="53">
        <f t="shared" si="14"/>
        <v>1</v>
      </c>
      <c r="H67" s="954"/>
      <c r="I67" s="53">
        <f t="shared" si="15"/>
        <v>1</v>
      </c>
      <c r="J67" s="954"/>
      <c r="K67" s="53">
        <f t="shared" si="16"/>
        <v>1</v>
      </c>
      <c r="L67" s="954"/>
      <c r="M67" s="53">
        <f t="shared" si="17"/>
        <v>1</v>
      </c>
      <c r="N67" s="954"/>
      <c r="O67" s="53">
        <f t="shared" si="18"/>
        <v>1</v>
      </c>
      <c r="P67" s="954"/>
      <c r="Q67" s="53">
        <f t="shared" si="19"/>
        <v>1</v>
      </c>
      <c r="R67" s="490">
        <f t="shared" si="20"/>
        <v>0</v>
      </c>
      <c r="S67" s="799">
        <f t="shared" si="21"/>
        <v>0</v>
      </c>
    </row>
    <row r="68" spans="1:19">
      <c r="A68" s="956"/>
      <c r="B68" s="137"/>
      <c r="C68" s="53">
        <f t="shared" si="12"/>
        <v>1</v>
      </c>
      <c r="D68" s="954"/>
      <c r="E68" s="53">
        <f t="shared" si="13"/>
        <v>1</v>
      </c>
      <c r="F68" s="954"/>
      <c r="G68" s="53">
        <f t="shared" si="14"/>
        <v>1</v>
      </c>
      <c r="H68" s="954"/>
      <c r="I68" s="53">
        <f t="shared" si="15"/>
        <v>1</v>
      </c>
      <c r="J68" s="954"/>
      <c r="K68" s="53">
        <f t="shared" si="16"/>
        <v>1</v>
      </c>
      <c r="L68" s="954"/>
      <c r="M68" s="53">
        <f t="shared" si="17"/>
        <v>1</v>
      </c>
      <c r="N68" s="954"/>
      <c r="O68" s="53">
        <f t="shared" si="18"/>
        <v>1</v>
      </c>
      <c r="P68" s="954"/>
      <c r="Q68" s="53">
        <f t="shared" si="19"/>
        <v>1</v>
      </c>
      <c r="R68" s="490">
        <f t="shared" si="20"/>
        <v>0</v>
      </c>
      <c r="S68" s="799">
        <f t="shared" si="21"/>
        <v>0</v>
      </c>
    </row>
    <row r="69" spans="1:19">
      <c r="A69" s="956"/>
      <c r="B69" s="137"/>
      <c r="C69" s="53">
        <f t="shared" si="12"/>
        <v>1</v>
      </c>
      <c r="D69" s="954"/>
      <c r="E69" s="53">
        <f t="shared" si="13"/>
        <v>1</v>
      </c>
      <c r="F69" s="954"/>
      <c r="G69" s="53">
        <f t="shared" si="14"/>
        <v>1</v>
      </c>
      <c r="H69" s="954"/>
      <c r="I69" s="53">
        <f t="shared" si="15"/>
        <v>1</v>
      </c>
      <c r="J69" s="954"/>
      <c r="K69" s="53">
        <f t="shared" si="16"/>
        <v>1</v>
      </c>
      <c r="L69" s="954"/>
      <c r="M69" s="53">
        <f t="shared" si="17"/>
        <v>1</v>
      </c>
      <c r="N69" s="954"/>
      <c r="O69" s="53">
        <f t="shared" si="18"/>
        <v>1</v>
      </c>
      <c r="P69" s="954"/>
      <c r="Q69" s="53">
        <f t="shared" si="19"/>
        <v>1</v>
      </c>
      <c r="R69" s="490">
        <f t="shared" si="20"/>
        <v>0</v>
      </c>
      <c r="S69" s="799">
        <f t="shared" si="21"/>
        <v>0</v>
      </c>
    </row>
    <row r="70" spans="1:19">
      <c r="A70" s="956"/>
      <c r="B70" s="137"/>
      <c r="C70" s="53">
        <f t="shared" si="12"/>
        <v>1</v>
      </c>
      <c r="D70" s="954"/>
      <c r="E70" s="53">
        <f t="shared" si="13"/>
        <v>1</v>
      </c>
      <c r="F70" s="954"/>
      <c r="G70" s="53">
        <f t="shared" si="14"/>
        <v>1</v>
      </c>
      <c r="H70" s="954"/>
      <c r="I70" s="53">
        <f t="shared" si="15"/>
        <v>1</v>
      </c>
      <c r="J70" s="954"/>
      <c r="K70" s="53">
        <f t="shared" si="16"/>
        <v>1</v>
      </c>
      <c r="L70" s="954"/>
      <c r="M70" s="53">
        <f t="shared" si="17"/>
        <v>1</v>
      </c>
      <c r="N70" s="954"/>
      <c r="O70" s="53">
        <f t="shared" si="18"/>
        <v>1</v>
      </c>
      <c r="P70" s="954"/>
      <c r="Q70" s="53">
        <f t="shared" si="19"/>
        <v>1</v>
      </c>
      <c r="R70" s="490">
        <f t="shared" si="20"/>
        <v>0</v>
      </c>
      <c r="S70" s="799">
        <f t="shared" si="21"/>
        <v>0</v>
      </c>
    </row>
    <row r="71" spans="1:19">
      <c r="A71" s="956"/>
      <c r="B71" s="137"/>
      <c r="C71" s="53">
        <f t="shared" si="12"/>
        <v>1</v>
      </c>
      <c r="D71" s="954"/>
      <c r="E71" s="53">
        <f t="shared" si="13"/>
        <v>1</v>
      </c>
      <c r="F71" s="954"/>
      <c r="G71" s="53">
        <f t="shared" si="14"/>
        <v>1</v>
      </c>
      <c r="H71" s="954"/>
      <c r="I71" s="53">
        <f t="shared" si="15"/>
        <v>1</v>
      </c>
      <c r="J71" s="954"/>
      <c r="K71" s="53">
        <f t="shared" si="16"/>
        <v>1</v>
      </c>
      <c r="L71" s="954"/>
      <c r="M71" s="53">
        <f t="shared" si="17"/>
        <v>1</v>
      </c>
      <c r="N71" s="954"/>
      <c r="O71" s="53">
        <f t="shared" si="18"/>
        <v>1</v>
      </c>
      <c r="P71" s="954"/>
      <c r="Q71" s="53">
        <f t="shared" si="19"/>
        <v>1</v>
      </c>
      <c r="R71" s="490">
        <f t="shared" si="20"/>
        <v>0</v>
      </c>
      <c r="S71" s="799">
        <f t="shared" si="21"/>
        <v>0</v>
      </c>
    </row>
    <row r="72" spans="1:19">
      <c r="A72" s="956"/>
      <c r="B72" s="137"/>
      <c r="C72" s="53">
        <f t="shared" si="12"/>
        <v>1</v>
      </c>
      <c r="D72" s="954"/>
      <c r="E72" s="53">
        <f t="shared" si="13"/>
        <v>1</v>
      </c>
      <c r="F72" s="954"/>
      <c r="G72" s="53">
        <f t="shared" si="14"/>
        <v>1</v>
      </c>
      <c r="H72" s="954"/>
      <c r="I72" s="53">
        <f t="shared" si="15"/>
        <v>1</v>
      </c>
      <c r="J72" s="954"/>
      <c r="K72" s="53">
        <f t="shared" si="16"/>
        <v>1</v>
      </c>
      <c r="L72" s="954"/>
      <c r="M72" s="53">
        <f t="shared" si="17"/>
        <v>1</v>
      </c>
      <c r="N72" s="954"/>
      <c r="O72" s="53">
        <f t="shared" si="18"/>
        <v>1</v>
      </c>
      <c r="P72" s="954"/>
      <c r="Q72" s="53">
        <f t="shared" si="19"/>
        <v>1</v>
      </c>
      <c r="R72" s="490">
        <f t="shared" si="20"/>
        <v>0</v>
      </c>
      <c r="S72" s="799">
        <f t="shared" si="21"/>
        <v>0</v>
      </c>
    </row>
    <row r="73" spans="1:19">
      <c r="A73" s="956"/>
      <c r="B73" s="137"/>
      <c r="C73" s="53">
        <f t="shared" si="12"/>
        <v>1</v>
      </c>
      <c r="D73" s="954"/>
      <c r="E73" s="53">
        <f t="shared" si="13"/>
        <v>1</v>
      </c>
      <c r="F73" s="954"/>
      <c r="G73" s="53">
        <f t="shared" si="14"/>
        <v>1</v>
      </c>
      <c r="H73" s="954"/>
      <c r="I73" s="53">
        <f t="shared" si="15"/>
        <v>1</v>
      </c>
      <c r="J73" s="954"/>
      <c r="K73" s="53">
        <f t="shared" si="16"/>
        <v>1</v>
      </c>
      <c r="L73" s="954"/>
      <c r="M73" s="53">
        <f t="shared" si="17"/>
        <v>1</v>
      </c>
      <c r="N73" s="954"/>
      <c r="O73" s="53">
        <f t="shared" si="18"/>
        <v>1</v>
      </c>
      <c r="P73" s="954"/>
      <c r="Q73" s="53">
        <f t="shared" si="19"/>
        <v>1</v>
      </c>
      <c r="R73" s="490">
        <f t="shared" si="20"/>
        <v>0</v>
      </c>
      <c r="S73" s="799">
        <f t="shared" si="21"/>
        <v>0</v>
      </c>
    </row>
    <row r="74" spans="1:19">
      <c r="A74" s="956"/>
      <c r="B74" s="137"/>
      <c r="C74" s="53">
        <f t="shared" si="12"/>
        <v>1</v>
      </c>
      <c r="D74" s="954"/>
      <c r="E74" s="53">
        <f t="shared" si="13"/>
        <v>1</v>
      </c>
      <c r="F74" s="954"/>
      <c r="G74" s="53">
        <f t="shared" si="14"/>
        <v>1</v>
      </c>
      <c r="H74" s="954"/>
      <c r="I74" s="53">
        <f t="shared" si="15"/>
        <v>1</v>
      </c>
      <c r="J74" s="954"/>
      <c r="K74" s="53">
        <f t="shared" si="16"/>
        <v>1</v>
      </c>
      <c r="L74" s="954"/>
      <c r="M74" s="53">
        <f t="shared" si="17"/>
        <v>1</v>
      </c>
      <c r="N74" s="954"/>
      <c r="O74" s="53">
        <f t="shared" si="18"/>
        <v>1</v>
      </c>
      <c r="P74" s="954"/>
      <c r="Q74" s="53">
        <f t="shared" si="19"/>
        <v>1</v>
      </c>
      <c r="R74" s="490">
        <f t="shared" si="20"/>
        <v>0</v>
      </c>
      <c r="S74" s="799">
        <f t="shared" si="21"/>
        <v>0</v>
      </c>
    </row>
    <row r="75" spans="1:19">
      <c r="A75" s="956"/>
      <c r="B75" s="137"/>
      <c r="C75" s="53">
        <f t="shared" si="12"/>
        <v>1</v>
      </c>
      <c r="D75" s="954"/>
      <c r="E75" s="53">
        <f t="shared" si="13"/>
        <v>1</v>
      </c>
      <c r="F75" s="954"/>
      <c r="G75" s="53">
        <f t="shared" si="14"/>
        <v>1</v>
      </c>
      <c r="H75" s="954"/>
      <c r="I75" s="53">
        <f t="shared" si="15"/>
        <v>1</v>
      </c>
      <c r="J75" s="954"/>
      <c r="K75" s="53">
        <f t="shared" si="16"/>
        <v>1</v>
      </c>
      <c r="L75" s="954"/>
      <c r="M75" s="53">
        <f t="shared" si="17"/>
        <v>1</v>
      </c>
      <c r="N75" s="954"/>
      <c r="O75" s="53">
        <f t="shared" si="18"/>
        <v>1</v>
      </c>
      <c r="P75" s="954"/>
      <c r="Q75" s="53">
        <f t="shared" si="19"/>
        <v>1</v>
      </c>
      <c r="R75" s="490">
        <f t="shared" si="20"/>
        <v>0</v>
      </c>
      <c r="S75" s="799">
        <f t="shared" si="21"/>
        <v>0</v>
      </c>
    </row>
    <row r="76" spans="1:19">
      <c r="A76" s="956"/>
      <c r="B76" s="137"/>
      <c r="C76" s="53">
        <f t="shared" si="12"/>
        <v>1</v>
      </c>
      <c r="D76" s="954"/>
      <c r="E76" s="53">
        <f t="shared" si="13"/>
        <v>1</v>
      </c>
      <c r="F76" s="954"/>
      <c r="G76" s="53">
        <f t="shared" si="14"/>
        <v>1</v>
      </c>
      <c r="H76" s="954"/>
      <c r="I76" s="53">
        <f t="shared" si="15"/>
        <v>1</v>
      </c>
      <c r="J76" s="954"/>
      <c r="K76" s="53">
        <f t="shared" si="16"/>
        <v>1</v>
      </c>
      <c r="L76" s="954"/>
      <c r="M76" s="53">
        <f t="shared" si="17"/>
        <v>1</v>
      </c>
      <c r="N76" s="954"/>
      <c r="O76" s="53">
        <f t="shared" si="18"/>
        <v>1</v>
      </c>
      <c r="P76" s="954"/>
      <c r="Q76" s="53">
        <f t="shared" si="19"/>
        <v>1</v>
      </c>
      <c r="R76" s="490">
        <f t="shared" si="20"/>
        <v>0</v>
      </c>
      <c r="S76" s="799">
        <f t="shared" si="21"/>
        <v>0</v>
      </c>
    </row>
    <row r="77" spans="1:19">
      <c r="A77" s="956"/>
      <c r="B77" s="137"/>
      <c r="C77" s="53">
        <f t="shared" si="12"/>
        <v>1</v>
      </c>
      <c r="D77" s="954"/>
      <c r="E77" s="53">
        <f t="shared" si="13"/>
        <v>1</v>
      </c>
      <c r="F77" s="954"/>
      <c r="G77" s="53">
        <f t="shared" si="14"/>
        <v>1</v>
      </c>
      <c r="H77" s="954"/>
      <c r="I77" s="53">
        <f t="shared" si="15"/>
        <v>1</v>
      </c>
      <c r="J77" s="954"/>
      <c r="K77" s="53">
        <f t="shared" si="16"/>
        <v>1</v>
      </c>
      <c r="L77" s="954"/>
      <c r="M77" s="53">
        <f t="shared" si="17"/>
        <v>1</v>
      </c>
      <c r="N77" s="954"/>
      <c r="O77" s="53">
        <f t="shared" si="18"/>
        <v>1</v>
      </c>
      <c r="P77" s="954"/>
      <c r="Q77" s="53">
        <f t="shared" si="19"/>
        <v>1</v>
      </c>
      <c r="R77" s="490">
        <f t="shared" si="20"/>
        <v>0</v>
      </c>
      <c r="S77" s="799">
        <f t="shared" si="21"/>
        <v>0</v>
      </c>
    </row>
    <row r="78" spans="1:19">
      <c r="A78" s="956"/>
      <c r="B78" s="137"/>
      <c r="C78" s="53">
        <f t="shared" si="12"/>
        <v>1</v>
      </c>
      <c r="D78" s="954"/>
      <c r="E78" s="53">
        <f t="shared" si="13"/>
        <v>1</v>
      </c>
      <c r="F78" s="954"/>
      <c r="G78" s="53">
        <f t="shared" si="14"/>
        <v>1</v>
      </c>
      <c r="H78" s="954"/>
      <c r="I78" s="53">
        <f t="shared" si="15"/>
        <v>1</v>
      </c>
      <c r="J78" s="954"/>
      <c r="K78" s="53">
        <f t="shared" si="16"/>
        <v>1</v>
      </c>
      <c r="L78" s="954"/>
      <c r="M78" s="53">
        <f t="shared" si="17"/>
        <v>1</v>
      </c>
      <c r="N78" s="954"/>
      <c r="O78" s="53">
        <f t="shared" si="18"/>
        <v>1</v>
      </c>
      <c r="P78" s="954"/>
      <c r="Q78" s="53">
        <f t="shared" si="19"/>
        <v>1</v>
      </c>
      <c r="R78" s="490">
        <f t="shared" si="20"/>
        <v>0</v>
      </c>
      <c r="S78" s="799">
        <f t="shared" ref="S78:S122" si="22">ROUND(R78*B78/10000,0)</f>
        <v>0</v>
      </c>
    </row>
    <row r="79" spans="1:19">
      <c r="A79" s="956"/>
      <c r="B79" s="137"/>
      <c r="C79" s="53">
        <f t="shared" si="12"/>
        <v>1</v>
      </c>
      <c r="D79" s="954"/>
      <c r="E79" s="53">
        <f t="shared" si="13"/>
        <v>1</v>
      </c>
      <c r="F79" s="954"/>
      <c r="G79" s="53">
        <f t="shared" si="14"/>
        <v>1</v>
      </c>
      <c r="H79" s="954"/>
      <c r="I79" s="53">
        <f t="shared" si="15"/>
        <v>1</v>
      </c>
      <c r="J79" s="954"/>
      <c r="K79" s="53">
        <f t="shared" si="16"/>
        <v>1</v>
      </c>
      <c r="L79" s="954"/>
      <c r="M79" s="53">
        <f t="shared" si="17"/>
        <v>1</v>
      </c>
      <c r="N79" s="954"/>
      <c r="O79" s="53">
        <f t="shared" si="18"/>
        <v>1</v>
      </c>
      <c r="P79" s="954"/>
      <c r="Q79" s="53">
        <f t="shared" si="19"/>
        <v>1</v>
      </c>
      <c r="R79" s="490">
        <f t="shared" si="20"/>
        <v>0</v>
      </c>
      <c r="S79" s="799">
        <f t="shared" si="22"/>
        <v>0</v>
      </c>
    </row>
    <row r="80" spans="1:19">
      <c r="A80" s="956"/>
      <c r="B80" s="137"/>
      <c r="C80" s="53">
        <f t="shared" si="12"/>
        <v>1</v>
      </c>
      <c r="D80" s="954"/>
      <c r="E80" s="53">
        <f t="shared" si="13"/>
        <v>1</v>
      </c>
      <c r="F80" s="954"/>
      <c r="G80" s="53">
        <f t="shared" si="14"/>
        <v>1</v>
      </c>
      <c r="H80" s="954"/>
      <c r="I80" s="53">
        <f t="shared" si="15"/>
        <v>1</v>
      </c>
      <c r="J80" s="954"/>
      <c r="K80" s="53">
        <f t="shared" si="16"/>
        <v>1</v>
      </c>
      <c r="L80" s="954"/>
      <c r="M80" s="53">
        <f t="shared" si="17"/>
        <v>1</v>
      </c>
      <c r="N80" s="954"/>
      <c r="O80" s="53">
        <f t="shared" si="18"/>
        <v>1</v>
      </c>
      <c r="P80" s="954"/>
      <c r="Q80" s="53">
        <f t="shared" si="19"/>
        <v>1</v>
      </c>
      <c r="R80" s="490">
        <f t="shared" si="20"/>
        <v>0</v>
      </c>
      <c r="S80" s="799">
        <f t="shared" si="22"/>
        <v>0</v>
      </c>
    </row>
    <row r="81" spans="1:19">
      <c r="A81" s="956"/>
      <c r="B81" s="137"/>
      <c r="C81" s="53">
        <f t="shared" si="12"/>
        <v>1</v>
      </c>
      <c r="D81" s="954"/>
      <c r="E81" s="53">
        <f t="shared" si="13"/>
        <v>1</v>
      </c>
      <c r="F81" s="954"/>
      <c r="G81" s="53">
        <f t="shared" si="14"/>
        <v>1</v>
      </c>
      <c r="H81" s="954"/>
      <c r="I81" s="53">
        <f t="shared" si="15"/>
        <v>1</v>
      </c>
      <c r="J81" s="954"/>
      <c r="K81" s="53">
        <f t="shared" si="16"/>
        <v>1</v>
      </c>
      <c r="L81" s="954"/>
      <c r="M81" s="53">
        <f t="shared" si="17"/>
        <v>1</v>
      </c>
      <c r="N81" s="954"/>
      <c r="O81" s="53">
        <f t="shared" si="18"/>
        <v>1</v>
      </c>
      <c r="P81" s="954"/>
      <c r="Q81" s="53">
        <f t="shared" si="19"/>
        <v>1</v>
      </c>
      <c r="R81" s="490">
        <f t="shared" si="20"/>
        <v>0</v>
      </c>
      <c r="S81" s="799">
        <f t="shared" si="22"/>
        <v>0</v>
      </c>
    </row>
    <row r="82" spans="1:19">
      <c r="A82" s="956"/>
      <c r="B82" s="137"/>
      <c r="C82" s="53">
        <f t="shared" si="12"/>
        <v>1</v>
      </c>
      <c r="D82" s="954"/>
      <c r="E82" s="53">
        <f t="shared" si="13"/>
        <v>1</v>
      </c>
      <c r="F82" s="954"/>
      <c r="G82" s="53">
        <f t="shared" si="14"/>
        <v>1</v>
      </c>
      <c r="H82" s="954"/>
      <c r="I82" s="53">
        <f t="shared" si="15"/>
        <v>1</v>
      </c>
      <c r="J82" s="954"/>
      <c r="K82" s="53">
        <f t="shared" si="16"/>
        <v>1</v>
      </c>
      <c r="L82" s="954"/>
      <c r="M82" s="53">
        <f t="shared" si="17"/>
        <v>1</v>
      </c>
      <c r="N82" s="954"/>
      <c r="O82" s="53">
        <f t="shared" si="18"/>
        <v>1</v>
      </c>
      <c r="P82" s="954"/>
      <c r="Q82" s="53">
        <f t="shared" si="19"/>
        <v>1</v>
      </c>
      <c r="R82" s="490">
        <f t="shared" si="20"/>
        <v>0</v>
      </c>
      <c r="S82" s="799">
        <f t="shared" si="22"/>
        <v>0</v>
      </c>
    </row>
    <row r="83" spans="1:19">
      <c r="A83" s="956"/>
      <c r="B83" s="137"/>
      <c r="C83" s="53">
        <f t="shared" si="12"/>
        <v>1</v>
      </c>
      <c r="D83" s="954"/>
      <c r="E83" s="53">
        <f t="shared" si="13"/>
        <v>1</v>
      </c>
      <c r="F83" s="954"/>
      <c r="G83" s="53">
        <f t="shared" si="14"/>
        <v>1</v>
      </c>
      <c r="H83" s="954"/>
      <c r="I83" s="53">
        <f t="shared" si="15"/>
        <v>1</v>
      </c>
      <c r="J83" s="954"/>
      <c r="K83" s="53">
        <f t="shared" si="16"/>
        <v>1</v>
      </c>
      <c r="L83" s="954"/>
      <c r="M83" s="53">
        <f t="shared" si="17"/>
        <v>1</v>
      </c>
      <c r="N83" s="954"/>
      <c r="O83" s="53">
        <f t="shared" si="18"/>
        <v>1</v>
      </c>
      <c r="P83" s="954"/>
      <c r="Q83" s="53">
        <f t="shared" si="19"/>
        <v>1</v>
      </c>
      <c r="R83" s="490">
        <f t="shared" si="20"/>
        <v>0</v>
      </c>
      <c r="S83" s="799">
        <f t="shared" si="22"/>
        <v>0</v>
      </c>
    </row>
    <row r="84" spans="1:19">
      <c r="A84" s="956"/>
      <c r="B84" s="137"/>
      <c r="C84" s="53">
        <f t="shared" si="12"/>
        <v>1</v>
      </c>
      <c r="D84" s="954"/>
      <c r="E84" s="53">
        <f t="shared" si="13"/>
        <v>1</v>
      </c>
      <c r="F84" s="954"/>
      <c r="G84" s="53">
        <f t="shared" si="14"/>
        <v>1</v>
      </c>
      <c r="H84" s="954"/>
      <c r="I84" s="53">
        <f t="shared" si="15"/>
        <v>1</v>
      </c>
      <c r="J84" s="954"/>
      <c r="K84" s="53">
        <f t="shared" si="16"/>
        <v>1</v>
      </c>
      <c r="L84" s="954"/>
      <c r="M84" s="53">
        <f t="shared" si="17"/>
        <v>1</v>
      </c>
      <c r="N84" s="954"/>
      <c r="O84" s="53">
        <f t="shared" si="18"/>
        <v>1</v>
      </c>
      <c r="P84" s="954"/>
      <c r="Q84" s="53">
        <f t="shared" si="19"/>
        <v>1</v>
      </c>
      <c r="R84" s="490">
        <f t="shared" si="20"/>
        <v>0</v>
      </c>
      <c r="S84" s="799">
        <f t="shared" si="22"/>
        <v>0</v>
      </c>
    </row>
    <row r="85" spans="1:19">
      <c r="A85" s="956"/>
      <c r="B85" s="137"/>
      <c r="C85" s="53">
        <f t="shared" si="12"/>
        <v>1</v>
      </c>
      <c r="D85" s="954"/>
      <c r="E85" s="53">
        <f t="shared" si="13"/>
        <v>1</v>
      </c>
      <c r="F85" s="954"/>
      <c r="G85" s="53">
        <f t="shared" si="14"/>
        <v>1</v>
      </c>
      <c r="H85" s="954"/>
      <c r="I85" s="53">
        <f t="shared" si="15"/>
        <v>1</v>
      </c>
      <c r="J85" s="954"/>
      <c r="K85" s="53">
        <f t="shared" si="16"/>
        <v>1</v>
      </c>
      <c r="L85" s="954"/>
      <c r="M85" s="53">
        <f t="shared" si="17"/>
        <v>1</v>
      </c>
      <c r="N85" s="954"/>
      <c r="O85" s="53">
        <f t="shared" si="18"/>
        <v>1</v>
      </c>
      <c r="P85" s="954"/>
      <c r="Q85" s="53">
        <f t="shared" si="19"/>
        <v>1</v>
      </c>
      <c r="R85" s="490">
        <f t="shared" si="20"/>
        <v>0</v>
      </c>
      <c r="S85" s="799">
        <f t="shared" si="22"/>
        <v>0</v>
      </c>
    </row>
    <row r="86" spans="1:19">
      <c r="A86" s="956"/>
      <c r="B86" s="137"/>
      <c r="C86" s="53">
        <f t="shared" si="12"/>
        <v>1</v>
      </c>
      <c r="D86" s="954"/>
      <c r="E86" s="53">
        <f t="shared" si="13"/>
        <v>1</v>
      </c>
      <c r="F86" s="954"/>
      <c r="G86" s="53">
        <f t="shared" si="14"/>
        <v>1</v>
      </c>
      <c r="H86" s="954"/>
      <c r="I86" s="53">
        <f t="shared" si="15"/>
        <v>1</v>
      </c>
      <c r="J86" s="954"/>
      <c r="K86" s="53">
        <f t="shared" si="16"/>
        <v>1</v>
      </c>
      <c r="L86" s="954"/>
      <c r="M86" s="53">
        <f t="shared" si="17"/>
        <v>1</v>
      </c>
      <c r="N86" s="954"/>
      <c r="O86" s="53">
        <f t="shared" si="18"/>
        <v>1</v>
      </c>
      <c r="P86" s="954"/>
      <c r="Q86" s="53">
        <f t="shared" si="19"/>
        <v>1</v>
      </c>
      <c r="R86" s="490">
        <f t="shared" si="20"/>
        <v>0</v>
      </c>
      <c r="S86" s="799">
        <f t="shared" si="22"/>
        <v>0</v>
      </c>
    </row>
    <row r="87" spans="1:19">
      <c r="A87" s="956"/>
      <c r="B87" s="137"/>
      <c r="C87" s="53">
        <f t="shared" si="12"/>
        <v>1</v>
      </c>
      <c r="D87" s="954"/>
      <c r="E87" s="53">
        <f t="shared" si="13"/>
        <v>1</v>
      </c>
      <c r="F87" s="954"/>
      <c r="G87" s="53">
        <f t="shared" si="14"/>
        <v>1</v>
      </c>
      <c r="H87" s="954"/>
      <c r="I87" s="53">
        <f t="shared" si="15"/>
        <v>1</v>
      </c>
      <c r="J87" s="954"/>
      <c r="K87" s="53">
        <f t="shared" si="16"/>
        <v>1</v>
      </c>
      <c r="L87" s="954"/>
      <c r="M87" s="53">
        <f t="shared" si="17"/>
        <v>1</v>
      </c>
      <c r="N87" s="954"/>
      <c r="O87" s="53">
        <f t="shared" si="18"/>
        <v>1</v>
      </c>
      <c r="P87" s="954"/>
      <c r="Q87" s="53">
        <f t="shared" si="19"/>
        <v>1</v>
      </c>
      <c r="R87" s="490">
        <f t="shared" si="20"/>
        <v>0</v>
      </c>
      <c r="S87" s="799">
        <f t="shared" si="22"/>
        <v>0</v>
      </c>
    </row>
    <row r="88" spans="1:19">
      <c r="A88" s="956"/>
      <c r="B88" s="137"/>
      <c r="C88" s="53">
        <f t="shared" si="12"/>
        <v>1</v>
      </c>
      <c r="D88" s="954"/>
      <c r="E88" s="53">
        <f t="shared" si="13"/>
        <v>1</v>
      </c>
      <c r="F88" s="954"/>
      <c r="G88" s="53">
        <f t="shared" si="14"/>
        <v>1</v>
      </c>
      <c r="H88" s="954"/>
      <c r="I88" s="53">
        <f t="shared" si="15"/>
        <v>1</v>
      </c>
      <c r="J88" s="954"/>
      <c r="K88" s="53">
        <f t="shared" si="16"/>
        <v>1</v>
      </c>
      <c r="L88" s="954"/>
      <c r="M88" s="53">
        <f t="shared" si="17"/>
        <v>1</v>
      </c>
      <c r="N88" s="954"/>
      <c r="O88" s="53">
        <f t="shared" si="18"/>
        <v>1</v>
      </c>
      <c r="P88" s="954"/>
      <c r="Q88" s="53">
        <f t="shared" si="19"/>
        <v>1</v>
      </c>
      <c r="R88" s="490">
        <f t="shared" si="20"/>
        <v>0</v>
      </c>
      <c r="S88" s="799">
        <f t="shared" si="22"/>
        <v>0</v>
      </c>
    </row>
    <row r="89" spans="1:19">
      <c r="A89" s="956"/>
      <c r="B89" s="137"/>
      <c r="C89" s="53">
        <f t="shared" si="12"/>
        <v>1</v>
      </c>
      <c r="D89" s="954"/>
      <c r="E89" s="53">
        <f t="shared" si="13"/>
        <v>1</v>
      </c>
      <c r="F89" s="954"/>
      <c r="G89" s="53">
        <f t="shared" si="14"/>
        <v>1</v>
      </c>
      <c r="H89" s="954"/>
      <c r="I89" s="53">
        <f t="shared" si="15"/>
        <v>1</v>
      </c>
      <c r="J89" s="954"/>
      <c r="K89" s="53">
        <f t="shared" si="16"/>
        <v>1</v>
      </c>
      <c r="L89" s="954"/>
      <c r="M89" s="53">
        <f t="shared" si="17"/>
        <v>1</v>
      </c>
      <c r="N89" s="954"/>
      <c r="O89" s="53">
        <f t="shared" si="18"/>
        <v>1</v>
      </c>
      <c r="P89" s="954"/>
      <c r="Q89" s="53">
        <f t="shared" si="19"/>
        <v>1</v>
      </c>
      <c r="R89" s="490">
        <f t="shared" si="20"/>
        <v>0</v>
      </c>
      <c r="S89" s="799">
        <f t="shared" si="22"/>
        <v>0</v>
      </c>
    </row>
    <row r="90" spans="1:19">
      <c r="A90" s="956"/>
      <c r="B90" s="137"/>
      <c r="C90" s="53">
        <f t="shared" ref="C90:C153" si="23">IF(B90="",1,(LOOKUP(B90,$3:$3,$4:$4)-LOOKUP($B$24,$3:$3,$4:$4)+100)/100)</f>
        <v>1</v>
      </c>
      <c r="D90" s="954"/>
      <c r="E90" s="53">
        <f t="shared" ref="E90:E153" si="24">(SUMIF($5:$5,D90,$6:$6)-SUMIF($5:$5,$D$24,$6:$6)+100)/100</f>
        <v>1</v>
      </c>
      <c r="F90" s="954"/>
      <c r="G90" s="53">
        <f t="shared" ref="G90:G153" si="25">(SUMIF($7:$7,F90,$8:$8)-SUMIF($7:$7,$F$24,$8:$8)+100)/100</f>
        <v>1</v>
      </c>
      <c r="H90" s="954"/>
      <c r="I90" s="53">
        <f t="shared" ref="I90:I153" si="26">(SUMIF($9:$9,H90,$10:$10)-SUMIF($9:$9,$H$24,$10:$10)+100)/100</f>
        <v>1</v>
      </c>
      <c r="J90" s="954"/>
      <c r="K90" s="53">
        <f t="shared" ref="K90:K153" si="27">(SUMIF($11:$11,J90,$12:$12)-SUMIF($11:$11,$J$24,$12:$12)+100)/100</f>
        <v>1</v>
      </c>
      <c r="L90" s="954"/>
      <c r="M90" s="53">
        <f t="shared" ref="M90:M153" si="28">(SUMIF($13:$13,L90,$14:$14)-SUMIF($13:$13,$L$24,$14:$14)+100)/100</f>
        <v>1</v>
      </c>
      <c r="N90" s="954"/>
      <c r="O90" s="53">
        <f t="shared" ref="O90:O153" si="29">(SUMIF($15:$15,N90,$16:$16)-SUMIF($15:$15,$N$24,$16:$16)+100)/100</f>
        <v>1</v>
      </c>
      <c r="P90" s="954"/>
      <c r="Q90" s="53">
        <f t="shared" ref="Q90:Q153" si="30">(SUMIF($17:$17,P90,$18:$18)-SUMIF($17:$17,$P$24,$18:$18)+100)/100</f>
        <v>1</v>
      </c>
      <c r="R90" s="490">
        <f t="shared" ref="R90:R153" si="31">IF(B90="",0,ROUND($R$24*C90*E90*G90*I90*K90*M90*O90*Q90,0))</f>
        <v>0</v>
      </c>
      <c r="S90" s="799">
        <f t="shared" si="22"/>
        <v>0</v>
      </c>
    </row>
    <row r="91" spans="1:19">
      <c r="A91" s="956"/>
      <c r="B91" s="137"/>
      <c r="C91" s="53">
        <f t="shared" si="23"/>
        <v>1</v>
      </c>
      <c r="D91" s="954"/>
      <c r="E91" s="53">
        <f t="shared" si="24"/>
        <v>1</v>
      </c>
      <c r="F91" s="954"/>
      <c r="G91" s="53">
        <f t="shared" si="25"/>
        <v>1</v>
      </c>
      <c r="H91" s="954"/>
      <c r="I91" s="53">
        <f t="shared" si="26"/>
        <v>1</v>
      </c>
      <c r="J91" s="954"/>
      <c r="K91" s="53">
        <f t="shared" si="27"/>
        <v>1</v>
      </c>
      <c r="L91" s="954"/>
      <c r="M91" s="53">
        <f t="shared" si="28"/>
        <v>1</v>
      </c>
      <c r="N91" s="954"/>
      <c r="O91" s="53">
        <f t="shared" si="29"/>
        <v>1</v>
      </c>
      <c r="P91" s="954"/>
      <c r="Q91" s="53">
        <f t="shared" si="30"/>
        <v>1</v>
      </c>
      <c r="R91" s="490">
        <f t="shared" si="31"/>
        <v>0</v>
      </c>
      <c r="S91" s="799">
        <f t="shared" si="22"/>
        <v>0</v>
      </c>
    </row>
    <row r="92" spans="1:19">
      <c r="A92" s="956"/>
      <c r="B92" s="137"/>
      <c r="C92" s="53">
        <f t="shared" si="23"/>
        <v>1</v>
      </c>
      <c r="D92" s="954"/>
      <c r="E92" s="53">
        <f t="shared" si="24"/>
        <v>1</v>
      </c>
      <c r="F92" s="954"/>
      <c r="G92" s="53">
        <f t="shared" si="25"/>
        <v>1</v>
      </c>
      <c r="H92" s="954"/>
      <c r="I92" s="53">
        <f t="shared" si="26"/>
        <v>1</v>
      </c>
      <c r="J92" s="954"/>
      <c r="K92" s="53">
        <f t="shared" si="27"/>
        <v>1</v>
      </c>
      <c r="L92" s="954"/>
      <c r="M92" s="53">
        <f t="shared" si="28"/>
        <v>1</v>
      </c>
      <c r="N92" s="954"/>
      <c r="O92" s="53">
        <f t="shared" si="29"/>
        <v>1</v>
      </c>
      <c r="P92" s="954"/>
      <c r="Q92" s="53">
        <f t="shared" si="30"/>
        <v>1</v>
      </c>
      <c r="R92" s="490">
        <f t="shared" si="31"/>
        <v>0</v>
      </c>
      <c r="S92" s="799">
        <f t="shared" si="22"/>
        <v>0</v>
      </c>
    </row>
    <row r="93" spans="1:19">
      <c r="A93" s="956"/>
      <c r="B93" s="137"/>
      <c r="C93" s="53">
        <f t="shared" si="23"/>
        <v>1</v>
      </c>
      <c r="D93" s="954"/>
      <c r="E93" s="53">
        <f t="shared" si="24"/>
        <v>1</v>
      </c>
      <c r="F93" s="954"/>
      <c r="G93" s="53">
        <f t="shared" si="25"/>
        <v>1</v>
      </c>
      <c r="H93" s="954"/>
      <c r="I93" s="53">
        <f t="shared" si="26"/>
        <v>1</v>
      </c>
      <c r="J93" s="954"/>
      <c r="K93" s="53">
        <f t="shared" si="27"/>
        <v>1</v>
      </c>
      <c r="L93" s="954"/>
      <c r="M93" s="53">
        <f t="shared" si="28"/>
        <v>1</v>
      </c>
      <c r="N93" s="954"/>
      <c r="O93" s="53">
        <f t="shared" si="29"/>
        <v>1</v>
      </c>
      <c r="P93" s="954"/>
      <c r="Q93" s="53">
        <f t="shared" si="30"/>
        <v>1</v>
      </c>
      <c r="R93" s="490">
        <f t="shared" si="31"/>
        <v>0</v>
      </c>
      <c r="S93" s="799">
        <f t="shared" si="22"/>
        <v>0</v>
      </c>
    </row>
    <row r="94" spans="1:19">
      <c r="A94" s="956"/>
      <c r="B94" s="137"/>
      <c r="C94" s="53">
        <f t="shared" si="23"/>
        <v>1</v>
      </c>
      <c r="D94" s="954"/>
      <c r="E94" s="53">
        <f t="shared" si="24"/>
        <v>1</v>
      </c>
      <c r="F94" s="954"/>
      <c r="G94" s="53">
        <f t="shared" si="25"/>
        <v>1</v>
      </c>
      <c r="H94" s="954"/>
      <c r="I94" s="53">
        <f t="shared" si="26"/>
        <v>1</v>
      </c>
      <c r="J94" s="954"/>
      <c r="K94" s="53">
        <f t="shared" si="27"/>
        <v>1</v>
      </c>
      <c r="L94" s="954"/>
      <c r="M94" s="53">
        <f t="shared" si="28"/>
        <v>1</v>
      </c>
      <c r="N94" s="954"/>
      <c r="O94" s="53">
        <f t="shared" si="29"/>
        <v>1</v>
      </c>
      <c r="P94" s="954"/>
      <c r="Q94" s="53">
        <f t="shared" si="30"/>
        <v>1</v>
      </c>
      <c r="R94" s="490">
        <f t="shared" si="31"/>
        <v>0</v>
      </c>
      <c r="S94" s="799">
        <f t="shared" si="22"/>
        <v>0</v>
      </c>
    </row>
    <row r="95" spans="1:19">
      <c r="A95" s="956"/>
      <c r="B95" s="137"/>
      <c r="C95" s="53">
        <f t="shared" si="23"/>
        <v>1</v>
      </c>
      <c r="D95" s="954"/>
      <c r="E95" s="53">
        <f t="shared" si="24"/>
        <v>1</v>
      </c>
      <c r="F95" s="954"/>
      <c r="G95" s="53">
        <f t="shared" si="25"/>
        <v>1</v>
      </c>
      <c r="H95" s="954"/>
      <c r="I95" s="53">
        <f t="shared" si="26"/>
        <v>1</v>
      </c>
      <c r="J95" s="954"/>
      <c r="K95" s="53">
        <f t="shared" si="27"/>
        <v>1</v>
      </c>
      <c r="L95" s="954"/>
      <c r="M95" s="53">
        <f t="shared" si="28"/>
        <v>1</v>
      </c>
      <c r="N95" s="954"/>
      <c r="O95" s="53">
        <f t="shared" si="29"/>
        <v>1</v>
      </c>
      <c r="P95" s="954"/>
      <c r="Q95" s="53">
        <f t="shared" si="30"/>
        <v>1</v>
      </c>
      <c r="R95" s="490">
        <f t="shared" si="31"/>
        <v>0</v>
      </c>
      <c r="S95" s="799">
        <f t="shared" si="22"/>
        <v>0</v>
      </c>
    </row>
    <row r="96" spans="1:19">
      <c r="A96" s="956"/>
      <c r="B96" s="137"/>
      <c r="C96" s="53">
        <f t="shared" si="23"/>
        <v>1</v>
      </c>
      <c r="D96" s="954"/>
      <c r="E96" s="53">
        <f t="shared" si="24"/>
        <v>1</v>
      </c>
      <c r="F96" s="954"/>
      <c r="G96" s="53">
        <f t="shared" si="25"/>
        <v>1</v>
      </c>
      <c r="H96" s="954"/>
      <c r="I96" s="53">
        <f t="shared" si="26"/>
        <v>1</v>
      </c>
      <c r="J96" s="954"/>
      <c r="K96" s="53">
        <f t="shared" si="27"/>
        <v>1</v>
      </c>
      <c r="L96" s="954"/>
      <c r="M96" s="53">
        <f t="shared" si="28"/>
        <v>1</v>
      </c>
      <c r="N96" s="954"/>
      <c r="O96" s="53">
        <f t="shared" si="29"/>
        <v>1</v>
      </c>
      <c r="P96" s="954"/>
      <c r="Q96" s="53">
        <f t="shared" si="30"/>
        <v>1</v>
      </c>
      <c r="R96" s="490">
        <f t="shared" si="31"/>
        <v>0</v>
      </c>
      <c r="S96" s="799">
        <f t="shared" si="22"/>
        <v>0</v>
      </c>
    </row>
    <row r="97" spans="1:19">
      <c r="A97" s="956"/>
      <c r="B97" s="137"/>
      <c r="C97" s="53">
        <f t="shared" si="23"/>
        <v>1</v>
      </c>
      <c r="D97" s="954"/>
      <c r="E97" s="53">
        <f t="shared" si="24"/>
        <v>1</v>
      </c>
      <c r="F97" s="954"/>
      <c r="G97" s="53">
        <f t="shared" si="25"/>
        <v>1</v>
      </c>
      <c r="H97" s="954"/>
      <c r="I97" s="53">
        <f t="shared" si="26"/>
        <v>1</v>
      </c>
      <c r="J97" s="954"/>
      <c r="K97" s="53">
        <f t="shared" si="27"/>
        <v>1</v>
      </c>
      <c r="L97" s="954"/>
      <c r="M97" s="53">
        <f t="shared" si="28"/>
        <v>1</v>
      </c>
      <c r="N97" s="954"/>
      <c r="O97" s="53">
        <f t="shared" si="29"/>
        <v>1</v>
      </c>
      <c r="P97" s="954"/>
      <c r="Q97" s="53">
        <f t="shared" si="30"/>
        <v>1</v>
      </c>
      <c r="R97" s="490">
        <f t="shared" si="31"/>
        <v>0</v>
      </c>
      <c r="S97" s="799">
        <f t="shared" si="22"/>
        <v>0</v>
      </c>
    </row>
    <row r="98" spans="1:19">
      <c r="A98" s="956"/>
      <c r="B98" s="137"/>
      <c r="C98" s="53">
        <f t="shared" si="23"/>
        <v>1</v>
      </c>
      <c r="D98" s="954"/>
      <c r="E98" s="53">
        <f t="shared" si="24"/>
        <v>1</v>
      </c>
      <c r="F98" s="954"/>
      <c r="G98" s="53">
        <f t="shared" si="25"/>
        <v>1</v>
      </c>
      <c r="H98" s="954"/>
      <c r="I98" s="53">
        <f t="shared" si="26"/>
        <v>1</v>
      </c>
      <c r="J98" s="954"/>
      <c r="K98" s="53">
        <f t="shared" si="27"/>
        <v>1</v>
      </c>
      <c r="L98" s="954"/>
      <c r="M98" s="53">
        <f t="shared" si="28"/>
        <v>1</v>
      </c>
      <c r="N98" s="954"/>
      <c r="O98" s="53">
        <f t="shared" si="29"/>
        <v>1</v>
      </c>
      <c r="P98" s="954"/>
      <c r="Q98" s="53">
        <f t="shared" si="30"/>
        <v>1</v>
      </c>
      <c r="R98" s="490">
        <f t="shared" si="31"/>
        <v>0</v>
      </c>
      <c r="S98" s="799">
        <f t="shared" si="22"/>
        <v>0</v>
      </c>
    </row>
    <row r="99" spans="1:19">
      <c r="A99" s="956"/>
      <c r="B99" s="137"/>
      <c r="C99" s="53">
        <f t="shared" si="23"/>
        <v>1</v>
      </c>
      <c r="D99" s="954"/>
      <c r="E99" s="53">
        <f t="shared" si="24"/>
        <v>1</v>
      </c>
      <c r="F99" s="954"/>
      <c r="G99" s="53">
        <f t="shared" si="25"/>
        <v>1</v>
      </c>
      <c r="H99" s="954"/>
      <c r="I99" s="53">
        <f t="shared" si="26"/>
        <v>1</v>
      </c>
      <c r="J99" s="954"/>
      <c r="K99" s="53">
        <f t="shared" si="27"/>
        <v>1</v>
      </c>
      <c r="L99" s="954"/>
      <c r="M99" s="53">
        <f t="shared" si="28"/>
        <v>1</v>
      </c>
      <c r="N99" s="954"/>
      <c r="O99" s="53">
        <f t="shared" si="29"/>
        <v>1</v>
      </c>
      <c r="P99" s="954"/>
      <c r="Q99" s="53">
        <f t="shared" si="30"/>
        <v>1</v>
      </c>
      <c r="R99" s="490">
        <f t="shared" si="31"/>
        <v>0</v>
      </c>
      <c r="S99" s="799">
        <f t="shared" si="22"/>
        <v>0</v>
      </c>
    </row>
    <row r="100" spans="1:19">
      <c r="A100" s="956"/>
      <c r="B100" s="137"/>
      <c r="C100" s="53">
        <f t="shared" si="23"/>
        <v>1</v>
      </c>
      <c r="D100" s="954"/>
      <c r="E100" s="53">
        <f t="shared" si="24"/>
        <v>1</v>
      </c>
      <c r="F100" s="954"/>
      <c r="G100" s="53">
        <f t="shared" si="25"/>
        <v>1</v>
      </c>
      <c r="H100" s="954"/>
      <c r="I100" s="53">
        <f t="shared" si="26"/>
        <v>1</v>
      </c>
      <c r="J100" s="954"/>
      <c r="K100" s="53">
        <f t="shared" si="27"/>
        <v>1</v>
      </c>
      <c r="L100" s="954"/>
      <c r="M100" s="53">
        <f t="shared" si="28"/>
        <v>1</v>
      </c>
      <c r="N100" s="954"/>
      <c r="O100" s="53">
        <f t="shared" si="29"/>
        <v>1</v>
      </c>
      <c r="P100" s="954"/>
      <c r="Q100" s="53">
        <f t="shared" si="30"/>
        <v>1</v>
      </c>
      <c r="R100" s="490">
        <f t="shared" si="31"/>
        <v>0</v>
      </c>
      <c r="S100" s="799">
        <f t="shared" si="22"/>
        <v>0</v>
      </c>
    </row>
    <row r="101" spans="1:19">
      <c r="A101" s="956"/>
      <c r="B101" s="137"/>
      <c r="C101" s="53">
        <f t="shared" si="23"/>
        <v>1</v>
      </c>
      <c r="D101" s="954"/>
      <c r="E101" s="53">
        <f t="shared" si="24"/>
        <v>1</v>
      </c>
      <c r="F101" s="954"/>
      <c r="G101" s="53">
        <f t="shared" si="25"/>
        <v>1</v>
      </c>
      <c r="H101" s="954"/>
      <c r="I101" s="53">
        <f t="shared" si="26"/>
        <v>1</v>
      </c>
      <c r="J101" s="954"/>
      <c r="K101" s="53">
        <f t="shared" si="27"/>
        <v>1</v>
      </c>
      <c r="L101" s="954"/>
      <c r="M101" s="53">
        <f t="shared" si="28"/>
        <v>1</v>
      </c>
      <c r="N101" s="954"/>
      <c r="O101" s="53">
        <f t="shared" si="29"/>
        <v>1</v>
      </c>
      <c r="P101" s="954"/>
      <c r="Q101" s="53">
        <f t="shared" si="30"/>
        <v>1</v>
      </c>
      <c r="R101" s="490">
        <f t="shared" si="31"/>
        <v>0</v>
      </c>
      <c r="S101" s="799">
        <f t="shared" si="22"/>
        <v>0</v>
      </c>
    </row>
    <row r="102" spans="1:19">
      <c r="A102" s="956"/>
      <c r="B102" s="137"/>
      <c r="C102" s="53">
        <f t="shared" si="23"/>
        <v>1</v>
      </c>
      <c r="D102" s="954"/>
      <c r="E102" s="53">
        <f t="shared" si="24"/>
        <v>1</v>
      </c>
      <c r="F102" s="954"/>
      <c r="G102" s="53">
        <f t="shared" si="25"/>
        <v>1</v>
      </c>
      <c r="H102" s="954"/>
      <c r="I102" s="53">
        <f t="shared" si="26"/>
        <v>1</v>
      </c>
      <c r="J102" s="954"/>
      <c r="K102" s="53">
        <f t="shared" si="27"/>
        <v>1</v>
      </c>
      <c r="L102" s="954"/>
      <c r="M102" s="53">
        <f t="shared" si="28"/>
        <v>1</v>
      </c>
      <c r="N102" s="954"/>
      <c r="O102" s="53">
        <f t="shared" si="29"/>
        <v>1</v>
      </c>
      <c r="P102" s="954"/>
      <c r="Q102" s="53">
        <f t="shared" si="30"/>
        <v>1</v>
      </c>
      <c r="R102" s="490">
        <f t="shared" si="31"/>
        <v>0</v>
      </c>
      <c r="S102" s="799">
        <f t="shared" si="22"/>
        <v>0</v>
      </c>
    </row>
    <row r="103" spans="1:19">
      <c r="A103" s="956"/>
      <c r="B103" s="137"/>
      <c r="C103" s="53">
        <f t="shared" si="23"/>
        <v>1</v>
      </c>
      <c r="D103" s="954"/>
      <c r="E103" s="53">
        <f t="shared" si="24"/>
        <v>1</v>
      </c>
      <c r="F103" s="954"/>
      <c r="G103" s="53">
        <f t="shared" si="25"/>
        <v>1</v>
      </c>
      <c r="H103" s="954"/>
      <c r="I103" s="53">
        <f t="shared" si="26"/>
        <v>1</v>
      </c>
      <c r="J103" s="954"/>
      <c r="K103" s="53">
        <f t="shared" si="27"/>
        <v>1</v>
      </c>
      <c r="L103" s="954"/>
      <c r="M103" s="53">
        <f t="shared" si="28"/>
        <v>1</v>
      </c>
      <c r="N103" s="954"/>
      <c r="O103" s="53">
        <f t="shared" si="29"/>
        <v>1</v>
      </c>
      <c r="P103" s="954"/>
      <c r="Q103" s="53">
        <f t="shared" si="30"/>
        <v>1</v>
      </c>
      <c r="R103" s="490">
        <f t="shared" si="31"/>
        <v>0</v>
      </c>
      <c r="S103" s="799">
        <f t="shared" si="22"/>
        <v>0</v>
      </c>
    </row>
    <row r="104" spans="1:19">
      <c r="A104" s="956"/>
      <c r="B104" s="137"/>
      <c r="C104" s="53">
        <f t="shared" si="23"/>
        <v>1</v>
      </c>
      <c r="D104" s="954"/>
      <c r="E104" s="53">
        <f t="shared" si="24"/>
        <v>1</v>
      </c>
      <c r="F104" s="954"/>
      <c r="G104" s="53">
        <f t="shared" si="25"/>
        <v>1</v>
      </c>
      <c r="H104" s="954"/>
      <c r="I104" s="53">
        <f t="shared" si="26"/>
        <v>1</v>
      </c>
      <c r="J104" s="954"/>
      <c r="K104" s="53">
        <f t="shared" si="27"/>
        <v>1</v>
      </c>
      <c r="L104" s="954"/>
      <c r="M104" s="53">
        <f t="shared" si="28"/>
        <v>1</v>
      </c>
      <c r="N104" s="954"/>
      <c r="O104" s="53">
        <f t="shared" si="29"/>
        <v>1</v>
      </c>
      <c r="P104" s="954"/>
      <c r="Q104" s="53">
        <f t="shared" si="30"/>
        <v>1</v>
      </c>
      <c r="R104" s="490">
        <f t="shared" si="31"/>
        <v>0</v>
      </c>
      <c r="S104" s="799">
        <f t="shared" si="22"/>
        <v>0</v>
      </c>
    </row>
    <row r="105" spans="1:19">
      <c r="A105" s="956"/>
      <c r="B105" s="137"/>
      <c r="C105" s="53">
        <f t="shared" si="23"/>
        <v>1</v>
      </c>
      <c r="D105" s="954"/>
      <c r="E105" s="53">
        <f t="shared" si="24"/>
        <v>1</v>
      </c>
      <c r="F105" s="954"/>
      <c r="G105" s="53">
        <f t="shared" si="25"/>
        <v>1</v>
      </c>
      <c r="H105" s="954"/>
      <c r="I105" s="53">
        <f t="shared" si="26"/>
        <v>1</v>
      </c>
      <c r="J105" s="954"/>
      <c r="K105" s="53">
        <f t="shared" si="27"/>
        <v>1</v>
      </c>
      <c r="L105" s="954"/>
      <c r="M105" s="53">
        <f t="shared" si="28"/>
        <v>1</v>
      </c>
      <c r="N105" s="954"/>
      <c r="O105" s="53">
        <f t="shared" si="29"/>
        <v>1</v>
      </c>
      <c r="P105" s="954"/>
      <c r="Q105" s="53">
        <f t="shared" si="30"/>
        <v>1</v>
      </c>
      <c r="R105" s="490">
        <f t="shared" si="31"/>
        <v>0</v>
      </c>
      <c r="S105" s="799">
        <f t="shared" si="22"/>
        <v>0</v>
      </c>
    </row>
    <row r="106" spans="1:19">
      <c r="A106" s="956"/>
      <c r="B106" s="137"/>
      <c r="C106" s="53">
        <f t="shared" si="23"/>
        <v>1</v>
      </c>
      <c r="D106" s="954"/>
      <c r="E106" s="53">
        <f t="shared" si="24"/>
        <v>1</v>
      </c>
      <c r="F106" s="954"/>
      <c r="G106" s="53">
        <f t="shared" si="25"/>
        <v>1</v>
      </c>
      <c r="H106" s="954"/>
      <c r="I106" s="53">
        <f t="shared" si="26"/>
        <v>1</v>
      </c>
      <c r="J106" s="954"/>
      <c r="K106" s="53">
        <f t="shared" si="27"/>
        <v>1</v>
      </c>
      <c r="L106" s="954"/>
      <c r="M106" s="53">
        <f t="shared" si="28"/>
        <v>1</v>
      </c>
      <c r="N106" s="954"/>
      <c r="O106" s="53">
        <f t="shared" si="29"/>
        <v>1</v>
      </c>
      <c r="P106" s="954"/>
      <c r="Q106" s="53">
        <f t="shared" si="30"/>
        <v>1</v>
      </c>
      <c r="R106" s="490">
        <f t="shared" si="31"/>
        <v>0</v>
      </c>
      <c r="S106" s="799">
        <f t="shared" si="22"/>
        <v>0</v>
      </c>
    </row>
    <row r="107" spans="1:19">
      <c r="A107" s="956"/>
      <c r="B107" s="137"/>
      <c r="C107" s="53">
        <f t="shared" si="23"/>
        <v>1</v>
      </c>
      <c r="D107" s="954"/>
      <c r="E107" s="53">
        <f t="shared" si="24"/>
        <v>1</v>
      </c>
      <c r="F107" s="954"/>
      <c r="G107" s="53">
        <f t="shared" si="25"/>
        <v>1</v>
      </c>
      <c r="H107" s="954"/>
      <c r="I107" s="53">
        <f t="shared" si="26"/>
        <v>1</v>
      </c>
      <c r="J107" s="954"/>
      <c r="K107" s="53">
        <f t="shared" si="27"/>
        <v>1</v>
      </c>
      <c r="L107" s="954"/>
      <c r="M107" s="53">
        <f t="shared" si="28"/>
        <v>1</v>
      </c>
      <c r="N107" s="954"/>
      <c r="O107" s="53">
        <f t="shared" si="29"/>
        <v>1</v>
      </c>
      <c r="P107" s="954"/>
      <c r="Q107" s="53">
        <f t="shared" si="30"/>
        <v>1</v>
      </c>
      <c r="R107" s="490">
        <f t="shared" si="31"/>
        <v>0</v>
      </c>
      <c r="S107" s="799">
        <f t="shared" si="22"/>
        <v>0</v>
      </c>
    </row>
    <row r="108" spans="1:19">
      <c r="A108" s="956"/>
      <c r="B108" s="137"/>
      <c r="C108" s="53">
        <f t="shared" si="23"/>
        <v>1</v>
      </c>
      <c r="D108" s="954"/>
      <c r="E108" s="53">
        <f t="shared" si="24"/>
        <v>1</v>
      </c>
      <c r="F108" s="954"/>
      <c r="G108" s="53">
        <f t="shared" si="25"/>
        <v>1</v>
      </c>
      <c r="H108" s="954"/>
      <c r="I108" s="53">
        <f t="shared" si="26"/>
        <v>1</v>
      </c>
      <c r="J108" s="954"/>
      <c r="K108" s="53">
        <f t="shared" si="27"/>
        <v>1</v>
      </c>
      <c r="L108" s="954"/>
      <c r="M108" s="53">
        <f t="shared" si="28"/>
        <v>1</v>
      </c>
      <c r="N108" s="954"/>
      <c r="O108" s="53">
        <f t="shared" si="29"/>
        <v>1</v>
      </c>
      <c r="P108" s="954"/>
      <c r="Q108" s="53">
        <f t="shared" si="30"/>
        <v>1</v>
      </c>
      <c r="R108" s="490">
        <f t="shared" si="31"/>
        <v>0</v>
      </c>
      <c r="S108" s="799">
        <f t="shared" si="22"/>
        <v>0</v>
      </c>
    </row>
    <row r="109" spans="1:19">
      <c r="A109" s="956"/>
      <c r="B109" s="137"/>
      <c r="C109" s="53">
        <f t="shared" si="23"/>
        <v>1</v>
      </c>
      <c r="D109" s="954"/>
      <c r="E109" s="53">
        <f t="shared" si="24"/>
        <v>1</v>
      </c>
      <c r="F109" s="954"/>
      <c r="G109" s="53">
        <f t="shared" si="25"/>
        <v>1</v>
      </c>
      <c r="H109" s="954"/>
      <c r="I109" s="53">
        <f t="shared" si="26"/>
        <v>1</v>
      </c>
      <c r="J109" s="954"/>
      <c r="K109" s="53">
        <f t="shared" si="27"/>
        <v>1</v>
      </c>
      <c r="L109" s="954"/>
      <c r="M109" s="53">
        <f t="shared" si="28"/>
        <v>1</v>
      </c>
      <c r="N109" s="954"/>
      <c r="O109" s="53">
        <f t="shared" si="29"/>
        <v>1</v>
      </c>
      <c r="P109" s="954"/>
      <c r="Q109" s="53">
        <f t="shared" si="30"/>
        <v>1</v>
      </c>
      <c r="R109" s="490">
        <f t="shared" si="31"/>
        <v>0</v>
      </c>
      <c r="S109" s="799">
        <f t="shared" si="22"/>
        <v>0</v>
      </c>
    </row>
    <row r="110" spans="1:19">
      <c r="A110" s="956"/>
      <c r="B110" s="137"/>
      <c r="C110" s="53">
        <f t="shared" si="23"/>
        <v>1</v>
      </c>
      <c r="D110" s="954"/>
      <c r="E110" s="53">
        <f t="shared" si="24"/>
        <v>1</v>
      </c>
      <c r="F110" s="954"/>
      <c r="G110" s="53">
        <f t="shared" si="25"/>
        <v>1</v>
      </c>
      <c r="H110" s="954"/>
      <c r="I110" s="53">
        <f t="shared" si="26"/>
        <v>1</v>
      </c>
      <c r="J110" s="954"/>
      <c r="K110" s="53">
        <f t="shared" si="27"/>
        <v>1</v>
      </c>
      <c r="L110" s="954"/>
      <c r="M110" s="53">
        <f t="shared" si="28"/>
        <v>1</v>
      </c>
      <c r="N110" s="954"/>
      <c r="O110" s="53">
        <f t="shared" si="29"/>
        <v>1</v>
      </c>
      <c r="P110" s="954"/>
      <c r="Q110" s="53">
        <f t="shared" si="30"/>
        <v>1</v>
      </c>
      <c r="R110" s="490">
        <f t="shared" si="31"/>
        <v>0</v>
      </c>
      <c r="S110" s="799">
        <f t="shared" si="22"/>
        <v>0</v>
      </c>
    </row>
    <row r="111" spans="1:19">
      <c r="A111" s="956"/>
      <c r="B111" s="137"/>
      <c r="C111" s="53">
        <f t="shared" si="23"/>
        <v>1</v>
      </c>
      <c r="D111" s="954"/>
      <c r="E111" s="53">
        <f t="shared" si="24"/>
        <v>1</v>
      </c>
      <c r="F111" s="954"/>
      <c r="G111" s="53">
        <f t="shared" si="25"/>
        <v>1</v>
      </c>
      <c r="H111" s="954"/>
      <c r="I111" s="53">
        <f t="shared" si="26"/>
        <v>1</v>
      </c>
      <c r="J111" s="954"/>
      <c r="K111" s="53">
        <f t="shared" si="27"/>
        <v>1</v>
      </c>
      <c r="L111" s="954"/>
      <c r="M111" s="53">
        <f t="shared" si="28"/>
        <v>1</v>
      </c>
      <c r="N111" s="954"/>
      <c r="O111" s="53">
        <f t="shared" si="29"/>
        <v>1</v>
      </c>
      <c r="P111" s="954"/>
      <c r="Q111" s="53">
        <f t="shared" si="30"/>
        <v>1</v>
      </c>
      <c r="R111" s="490">
        <f t="shared" si="31"/>
        <v>0</v>
      </c>
      <c r="S111" s="799">
        <f t="shared" si="22"/>
        <v>0</v>
      </c>
    </row>
    <row r="112" spans="1:19">
      <c r="A112" s="956"/>
      <c r="B112" s="137"/>
      <c r="C112" s="53">
        <f t="shared" si="23"/>
        <v>1</v>
      </c>
      <c r="D112" s="954"/>
      <c r="E112" s="53">
        <f t="shared" si="24"/>
        <v>1</v>
      </c>
      <c r="F112" s="954"/>
      <c r="G112" s="53">
        <f t="shared" si="25"/>
        <v>1</v>
      </c>
      <c r="H112" s="954"/>
      <c r="I112" s="53">
        <f t="shared" si="26"/>
        <v>1</v>
      </c>
      <c r="J112" s="954"/>
      <c r="K112" s="53">
        <f t="shared" si="27"/>
        <v>1</v>
      </c>
      <c r="L112" s="954"/>
      <c r="M112" s="53">
        <f t="shared" si="28"/>
        <v>1</v>
      </c>
      <c r="N112" s="954"/>
      <c r="O112" s="53">
        <f t="shared" si="29"/>
        <v>1</v>
      </c>
      <c r="P112" s="954"/>
      <c r="Q112" s="53">
        <f t="shared" si="30"/>
        <v>1</v>
      </c>
      <c r="R112" s="490">
        <f t="shared" si="31"/>
        <v>0</v>
      </c>
      <c r="S112" s="799">
        <f t="shared" si="22"/>
        <v>0</v>
      </c>
    </row>
    <row r="113" spans="1:19">
      <c r="A113" s="956"/>
      <c r="B113" s="137"/>
      <c r="C113" s="53">
        <f t="shared" si="23"/>
        <v>1</v>
      </c>
      <c r="D113" s="954"/>
      <c r="E113" s="53">
        <f t="shared" si="24"/>
        <v>1</v>
      </c>
      <c r="F113" s="954"/>
      <c r="G113" s="53">
        <f t="shared" si="25"/>
        <v>1</v>
      </c>
      <c r="H113" s="954"/>
      <c r="I113" s="53">
        <f t="shared" si="26"/>
        <v>1</v>
      </c>
      <c r="J113" s="954"/>
      <c r="K113" s="53">
        <f t="shared" si="27"/>
        <v>1</v>
      </c>
      <c r="L113" s="954"/>
      <c r="M113" s="53">
        <f t="shared" si="28"/>
        <v>1</v>
      </c>
      <c r="N113" s="954"/>
      <c r="O113" s="53">
        <f t="shared" si="29"/>
        <v>1</v>
      </c>
      <c r="P113" s="954"/>
      <c r="Q113" s="53">
        <f t="shared" si="30"/>
        <v>1</v>
      </c>
      <c r="R113" s="490">
        <f t="shared" si="31"/>
        <v>0</v>
      </c>
      <c r="S113" s="799">
        <f t="shared" si="22"/>
        <v>0</v>
      </c>
    </row>
    <row r="114" spans="1:19">
      <c r="A114" s="956"/>
      <c r="B114" s="137"/>
      <c r="C114" s="53">
        <f t="shared" si="23"/>
        <v>1</v>
      </c>
      <c r="D114" s="954"/>
      <c r="E114" s="53">
        <f t="shared" si="24"/>
        <v>1</v>
      </c>
      <c r="F114" s="954"/>
      <c r="G114" s="53">
        <f t="shared" si="25"/>
        <v>1</v>
      </c>
      <c r="H114" s="954"/>
      <c r="I114" s="53">
        <f t="shared" si="26"/>
        <v>1</v>
      </c>
      <c r="J114" s="954"/>
      <c r="K114" s="53">
        <f t="shared" si="27"/>
        <v>1</v>
      </c>
      <c r="L114" s="954"/>
      <c r="M114" s="53">
        <f t="shared" si="28"/>
        <v>1</v>
      </c>
      <c r="N114" s="954"/>
      <c r="O114" s="53">
        <f t="shared" si="29"/>
        <v>1</v>
      </c>
      <c r="P114" s="954"/>
      <c r="Q114" s="53">
        <f t="shared" si="30"/>
        <v>1</v>
      </c>
      <c r="R114" s="490">
        <f t="shared" si="31"/>
        <v>0</v>
      </c>
      <c r="S114" s="799">
        <f t="shared" si="22"/>
        <v>0</v>
      </c>
    </row>
    <row r="115" spans="1:19">
      <c r="A115" s="956"/>
      <c r="B115" s="137"/>
      <c r="C115" s="53">
        <f t="shared" si="23"/>
        <v>1</v>
      </c>
      <c r="D115" s="954"/>
      <c r="E115" s="53">
        <f t="shared" si="24"/>
        <v>1</v>
      </c>
      <c r="F115" s="954"/>
      <c r="G115" s="53">
        <f t="shared" si="25"/>
        <v>1</v>
      </c>
      <c r="H115" s="954"/>
      <c r="I115" s="53">
        <f t="shared" si="26"/>
        <v>1</v>
      </c>
      <c r="J115" s="954"/>
      <c r="K115" s="53">
        <f t="shared" si="27"/>
        <v>1</v>
      </c>
      <c r="L115" s="954"/>
      <c r="M115" s="53">
        <f t="shared" si="28"/>
        <v>1</v>
      </c>
      <c r="N115" s="954"/>
      <c r="O115" s="53">
        <f t="shared" si="29"/>
        <v>1</v>
      </c>
      <c r="P115" s="954"/>
      <c r="Q115" s="53">
        <f t="shared" si="30"/>
        <v>1</v>
      </c>
      <c r="R115" s="490">
        <f t="shared" si="31"/>
        <v>0</v>
      </c>
      <c r="S115" s="799">
        <f t="shared" si="22"/>
        <v>0</v>
      </c>
    </row>
    <row r="116" spans="1:19">
      <c r="A116" s="956"/>
      <c r="B116" s="137"/>
      <c r="C116" s="53">
        <f t="shared" si="23"/>
        <v>1</v>
      </c>
      <c r="D116" s="954"/>
      <c r="E116" s="53">
        <f t="shared" si="24"/>
        <v>1</v>
      </c>
      <c r="F116" s="954"/>
      <c r="G116" s="53">
        <f t="shared" si="25"/>
        <v>1</v>
      </c>
      <c r="H116" s="954"/>
      <c r="I116" s="53">
        <f t="shared" si="26"/>
        <v>1</v>
      </c>
      <c r="J116" s="954"/>
      <c r="K116" s="53">
        <f t="shared" si="27"/>
        <v>1</v>
      </c>
      <c r="L116" s="954"/>
      <c r="M116" s="53">
        <f t="shared" si="28"/>
        <v>1</v>
      </c>
      <c r="N116" s="954"/>
      <c r="O116" s="53">
        <f t="shared" si="29"/>
        <v>1</v>
      </c>
      <c r="P116" s="954"/>
      <c r="Q116" s="53">
        <f t="shared" si="30"/>
        <v>1</v>
      </c>
      <c r="R116" s="490">
        <f t="shared" si="31"/>
        <v>0</v>
      </c>
      <c r="S116" s="799">
        <f t="shared" si="22"/>
        <v>0</v>
      </c>
    </row>
    <row r="117" spans="1:19">
      <c r="A117" s="956"/>
      <c r="B117" s="137"/>
      <c r="C117" s="53">
        <f t="shared" si="23"/>
        <v>1</v>
      </c>
      <c r="D117" s="954"/>
      <c r="E117" s="53">
        <f t="shared" si="24"/>
        <v>1</v>
      </c>
      <c r="F117" s="954"/>
      <c r="G117" s="53">
        <f t="shared" si="25"/>
        <v>1</v>
      </c>
      <c r="H117" s="954"/>
      <c r="I117" s="53">
        <f t="shared" si="26"/>
        <v>1</v>
      </c>
      <c r="J117" s="954"/>
      <c r="K117" s="53">
        <f t="shared" si="27"/>
        <v>1</v>
      </c>
      <c r="L117" s="954"/>
      <c r="M117" s="53">
        <f t="shared" si="28"/>
        <v>1</v>
      </c>
      <c r="N117" s="954"/>
      <c r="O117" s="53">
        <f t="shared" si="29"/>
        <v>1</v>
      </c>
      <c r="P117" s="954"/>
      <c r="Q117" s="53">
        <f t="shared" si="30"/>
        <v>1</v>
      </c>
      <c r="R117" s="490">
        <f t="shared" si="31"/>
        <v>0</v>
      </c>
      <c r="S117" s="799">
        <f t="shared" si="22"/>
        <v>0</v>
      </c>
    </row>
    <row r="118" spans="1:19">
      <c r="A118" s="956"/>
      <c r="B118" s="137"/>
      <c r="C118" s="53">
        <f t="shared" si="23"/>
        <v>1</v>
      </c>
      <c r="D118" s="954"/>
      <c r="E118" s="53">
        <f t="shared" si="24"/>
        <v>1</v>
      </c>
      <c r="F118" s="954"/>
      <c r="G118" s="53">
        <f t="shared" si="25"/>
        <v>1</v>
      </c>
      <c r="H118" s="954"/>
      <c r="I118" s="53">
        <f t="shared" si="26"/>
        <v>1</v>
      </c>
      <c r="J118" s="954"/>
      <c r="K118" s="53">
        <f t="shared" si="27"/>
        <v>1</v>
      </c>
      <c r="L118" s="954"/>
      <c r="M118" s="53">
        <f t="shared" si="28"/>
        <v>1</v>
      </c>
      <c r="N118" s="954"/>
      <c r="O118" s="53">
        <f t="shared" si="29"/>
        <v>1</v>
      </c>
      <c r="P118" s="954"/>
      <c r="Q118" s="53">
        <f t="shared" si="30"/>
        <v>1</v>
      </c>
      <c r="R118" s="490">
        <f t="shared" si="31"/>
        <v>0</v>
      </c>
      <c r="S118" s="799">
        <f t="shared" si="22"/>
        <v>0</v>
      </c>
    </row>
    <row r="119" spans="1:19">
      <c r="A119" s="956"/>
      <c r="B119" s="137"/>
      <c r="C119" s="53">
        <f t="shared" si="23"/>
        <v>1</v>
      </c>
      <c r="D119" s="954"/>
      <c r="E119" s="53">
        <f t="shared" si="24"/>
        <v>1</v>
      </c>
      <c r="F119" s="954"/>
      <c r="G119" s="53">
        <f t="shared" si="25"/>
        <v>1</v>
      </c>
      <c r="H119" s="954"/>
      <c r="I119" s="53">
        <f t="shared" si="26"/>
        <v>1</v>
      </c>
      <c r="J119" s="954"/>
      <c r="K119" s="53">
        <f t="shared" si="27"/>
        <v>1</v>
      </c>
      <c r="L119" s="954"/>
      <c r="M119" s="53">
        <f t="shared" si="28"/>
        <v>1</v>
      </c>
      <c r="N119" s="954"/>
      <c r="O119" s="53">
        <f t="shared" si="29"/>
        <v>1</v>
      </c>
      <c r="P119" s="954"/>
      <c r="Q119" s="53">
        <f t="shared" si="30"/>
        <v>1</v>
      </c>
      <c r="R119" s="490">
        <f t="shared" si="31"/>
        <v>0</v>
      </c>
      <c r="S119" s="799">
        <f t="shared" si="22"/>
        <v>0</v>
      </c>
    </row>
    <row r="120" spans="1:19">
      <c r="A120" s="956"/>
      <c r="B120" s="137"/>
      <c r="C120" s="53">
        <f t="shared" si="23"/>
        <v>1</v>
      </c>
      <c r="D120" s="954"/>
      <c r="E120" s="53">
        <f t="shared" si="24"/>
        <v>1</v>
      </c>
      <c r="F120" s="954"/>
      <c r="G120" s="53">
        <f t="shared" si="25"/>
        <v>1</v>
      </c>
      <c r="H120" s="954"/>
      <c r="I120" s="53">
        <f t="shared" si="26"/>
        <v>1</v>
      </c>
      <c r="J120" s="954"/>
      <c r="K120" s="53">
        <f t="shared" si="27"/>
        <v>1</v>
      </c>
      <c r="L120" s="954"/>
      <c r="M120" s="53">
        <f t="shared" si="28"/>
        <v>1</v>
      </c>
      <c r="N120" s="954"/>
      <c r="O120" s="53">
        <f t="shared" si="29"/>
        <v>1</v>
      </c>
      <c r="P120" s="954"/>
      <c r="Q120" s="53">
        <f t="shared" si="30"/>
        <v>1</v>
      </c>
      <c r="R120" s="490">
        <f t="shared" si="31"/>
        <v>0</v>
      </c>
      <c r="S120" s="799">
        <f t="shared" si="22"/>
        <v>0</v>
      </c>
    </row>
    <row r="121" spans="1:19">
      <c r="A121" s="956"/>
      <c r="B121" s="137"/>
      <c r="C121" s="53">
        <f t="shared" si="23"/>
        <v>1</v>
      </c>
      <c r="D121" s="954"/>
      <c r="E121" s="53">
        <f t="shared" si="24"/>
        <v>1</v>
      </c>
      <c r="F121" s="954"/>
      <c r="G121" s="53">
        <f t="shared" si="25"/>
        <v>1</v>
      </c>
      <c r="H121" s="954"/>
      <c r="I121" s="53">
        <f t="shared" si="26"/>
        <v>1</v>
      </c>
      <c r="J121" s="954"/>
      <c r="K121" s="53">
        <f t="shared" si="27"/>
        <v>1</v>
      </c>
      <c r="L121" s="954"/>
      <c r="M121" s="53">
        <f t="shared" si="28"/>
        <v>1</v>
      </c>
      <c r="N121" s="954"/>
      <c r="O121" s="53">
        <f t="shared" si="29"/>
        <v>1</v>
      </c>
      <c r="P121" s="954"/>
      <c r="Q121" s="53">
        <f t="shared" si="30"/>
        <v>1</v>
      </c>
      <c r="R121" s="490">
        <f t="shared" si="31"/>
        <v>0</v>
      </c>
      <c r="S121" s="799">
        <f t="shared" si="22"/>
        <v>0</v>
      </c>
    </row>
    <row r="122" spans="1:19">
      <c r="A122" s="956"/>
      <c r="B122" s="137"/>
      <c r="C122" s="53">
        <f t="shared" si="23"/>
        <v>1</v>
      </c>
      <c r="D122" s="954"/>
      <c r="E122" s="53">
        <f t="shared" si="24"/>
        <v>1</v>
      </c>
      <c r="F122" s="954"/>
      <c r="G122" s="53">
        <f t="shared" si="25"/>
        <v>1</v>
      </c>
      <c r="H122" s="954"/>
      <c r="I122" s="53">
        <f t="shared" si="26"/>
        <v>1</v>
      </c>
      <c r="J122" s="954"/>
      <c r="K122" s="53">
        <f t="shared" si="27"/>
        <v>1</v>
      </c>
      <c r="L122" s="954"/>
      <c r="M122" s="53">
        <f t="shared" si="28"/>
        <v>1</v>
      </c>
      <c r="N122" s="954"/>
      <c r="O122" s="53">
        <f t="shared" si="29"/>
        <v>1</v>
      </c>
      <c r="P122" s="954"/>
      <c r="Q122" s="53">
        <f t="shared" si="30"/>
        <v>1</v>
      </c>
      <c r="R122" s="490">
        <f t="shared" si="31"/>
        <v>0</v>
      </c>
      <c r="S122" s="799">
        <f t="shared" si="22"/>
        <v>0</v>
      </c>
    </row>
    <row r="123" spans="1:19">
      <c r="A123" s="956"/>
      <c r="B123" s="137"/>
      <c r="C123" s="53">
        <f t="shared" si="23"/>
        <v>1</v>
      </c>
      <c r="D123" s="954"/>
      <c r="E123" s="53">
        <f t="shared" si="24"/>
        <v>1</v>
      </c>
      <c r="F123" s="954"/>
      <c r="G123" s="53">
        <f t="shared" si="25"/>
        <v>1</v>
      </c>
      <c r="H123" s="954"/>
      <c r="I123" s="53">
        <f t="shared" si="26"/>
        <v>1</v>
      </c>
      <c r="J123" s="954"/>
      <c r="K123" s="53">
        <f t="shared" si="27"/>
        <v>1</v>
      </c>
      <c r="L123" s="954"/>
      <c r="M123" s="53">
        <f t="shared" si="28"/>
        <v>1</v>
      </c>
      <c r="N123" s="954"/>
      <c r="O123" s="53">
        <f t="shared" si="29"/>
        <v>1</v>
      </c>
      <c r="P123" s="954"/>
      <c r="Q123" s="53">
        <f t="shared" si="30"/>
        <v>1</v>
      </c>
      <c r="R123" s="490">
        <f t="shared" si="31"/>
        <v>0</v>
      </c>
      <c r="S123" s="799">
        <f t="shared" ref="S123:S186" si="32">ROUND(R123*B123/10000,0)</f>
        <v>0</v>
      </c>
    </row>
    <row r="124" spans="1:19">
      <c r="A124" s="956"/>
      <c r="B124" s="137"/>
      <c r="C124" s="53">
        <f t="shared" si="23"/>
        <v>1</v>
      </c>
      <c r="D124" s="954"/>
      <c r="E124" s="53">
        <f t="shared" si="24"/>
        <v>1</v>
      </c>
      <c r="F124" s="954"/>
      <c r="G124" s="53">
        <f t="shared" si="25"/>
        <v>1</v>
      </c>
      <c r="H124" s="954"/>
      <c r="I124" s="53">
        <f t="shared" si="26"/>
        <v>1</v>
      </c>
      <c r="J124" s="954"/>
      <c r="K124" s="53">
        <f t="shared" si="27"/>
        <v>1</v>
      </c>
      <c r="L124" s="954"/>
      <c r="M124" s="53">
        <f t="shared" si="28"/>
        <v>1</v>
      </c>
      <c r="N124" s="954"/>
      <c r="O124" s="53">
        <f t="shared" si="29"/>
        <v>1</v>
      </c>
      <c r="P124" s="954"/>
      <c r="Q124" s="53">
        <f t="shared" si="30"/>
        <v>1</v>
      </c>
      <c r="R124" s="490">
        <f t="shared" si="31"/>
        <v>0</v>
      </c>
      <c r="S124" s="799">
        <f t="shared" si="32"/>
        <v>0</v>
      </c>
    </row>
    <row r="125" spans="1:19">
      <c r="A125" s="956"/>
      <c r="B125" s="137"/>
      <c r="C125" s="53">
        <f t="shared" si="23"/>
        <v>1</v>
      </c>
      <c r="D125" s="954"/>
      <c r="E125" s="53">
        <f t="shared" si="24"/>
        <v>1</v>
      </c>
      <c r="F125" s="954"/>
      <c r="G125" s="53">
        <f t="shared" si="25"/>
        <v>1</v>
      </c>
      <c r="H125" s="954"/>
      <c r="I125" s="53">
        <f t="shared" si="26"/>
        <v>1</v>
      </c>
      <c r="J125" s="954"/>
      <c r="K125" s="53">
        <f t="shared" si="27"/>
        <v>1</v>
      </c>
      <c r="L125" s="954"/>
      <c r="M125" s="53">
        <f t="shared" si="28"/>
        <v>1</v>
      </c>
      <c r="N125" s="954"/>
      <c r="O125" s="53">
        <f t="shared" si="29"/>
        <v>1</v>
      </c>
      <c r="P125" s="954"/>
      <c r="Q125" s="53">
        <f t="shared" si="30"/>
        <v>1</v>
      </c>
      <c r="R125" s="490">
        <f t="shared" si="31"/>
        <v>0</v>
      </c>
      <c r="S125" s="799">
        <f t="shared" si="32"/>
        <v>0</v>
      </c>
    </row>
    <row r="126" spans="1:19">
      <c r="A126" s="956"/>
      <c r="B126" s="137"/>
      <c r="C126" s="53">
        <f t="shared" si="23"/>
        <v>1</v>
      </c>
      <c r="D126" s="954"/>
      <c r="E126" s="53">
        <f t="shared" si="24"/>
        <v>1</v>
      </c>
      <c r="F126" s="954"/>
      <c r="G126" s="53">
        <f t="shared" si="25"/>
        <v>1</v>
      </c>
      <c r="H126" s="954"/>
      <c r="I126" s="53">
        <f t="shared" si="26"/>
        <v>1</v>
      </c>
      <c r="J126" s="954"/>
      <c r="K126" s="53">
        <f t="shared" si="27"/>
        <v>1</v>
      </c>
      <c r="L126" s="954"/>
      <c r="M126" s="53">
        <f t="shared" si="28"/>
        <v>1</v>
      </c>
      <c r="N126" s="954"/>
      <c r="O126" s="53">
        <f t="shared" si="29"/>
        <v>1</v>
      </c>
      <c r="P126" s="954"/>
      <c r="Q126" s="53">
        <f t="shared" si="30"/>
        <v>1</v>
      </c>
      <c r="R126" s="490">
        <f t="shared" si="31"/>
        <v>0</v>
      </c>
      <c r="S126" s="799">
        <f t="shared" si="32"/>
        <v>0</v>
      </c>
    </row>
    <row r="127" spans="1:19">
      <c r="A127" s="956"/>
      <c r="B127" s="137"/>
      <c r="C127" s="53">
        <f t="shared" si="23"/>
        <v>1</v>
      </c>
      <c r="D127" s="954"/>
      <c r="E127" s="53">
        <f t="shared" si="24"/>
        <v>1</v>
      </c>
      <c r="F127" s="954"/>
      <c r="G127" s="53">
        <f t="shared" si="25"/>
        <v>1</v>
      </c>
      <c r="H127" s="954"/>
      <c r="I127" s="53">
        <f t="shared" si="26"/>
        <v>1</v>
      </c>
      <c r="J127" s="954"/>
      <c r="K127" s="53">
        <f t="shared" si="27"/>
        <v>1</v>
      </c>
      <c r="L127" s="954"/>
      <c r="M127" s="53">
        <f t="shared" si="28"/>
        <v>1</v>
      </c>
      <c r="N127" s="954"/>
      <c r="O127" s="53">
        <f t="shared" si="29"/>
        <v>1</v>
      </c>
      <c r="P127" s="954"/>
      <c r="Q127" s="53">
        <f t="shared" si="30"/>
        <v>1</v>
      </c>
      <c r="R127" s="490">
        <f t="shared" si="31"/>
        <v>0</v>
      </c>
      <c r="S127" s="799">
        <f t="shared" si="32"/>
        <v>0</v>
      </c>
    </row>
    <row r="128" spans="1:19">
      <c r="A128" s="956"/>
      <c r="B128" s="137"/>
      <c r="C128" s="53">
        <f t="shared" si="23"/>
        <v>1</v>
      </c>
      <c r="D128" s="954"/>
      <c r="E128" s="53">
        <f t="shared" si="24"/>
        <v>1</v>
      </c>
      <c r="F128" s="954"/>
      <c r="G128" s="53">
        <f t="shared" si="25"/>
        <v>1</v>
      </c>
      <c r="H128" s="954"/>
      <c r="I128" s="53">
        <f t="shared" si="26"/>
        <v>1</v>
      </c>
      <c r="J128" s="954"/>
      <c r="K128" s="53">
        <f t="shared" si="27"/>
        <v>1</v>
      </c>
      <c r="L128" s="954"/>
      <c r="M128" s="53">
        <f t="shared" si="28"/>
        <v>1</v>
      </c>
      <c r="N128" s="954"/>
      <c r="O128" s="53">
        <f t="shared" si="29"/>
        <v>1</v>
      </c>
      <c r="P128" s="954"/>
      <c r="Q128" s="53">
        <f t="shared" si="30"/>
        <v>1</v>
      </c>
      <c r="R128" s="490">
        <f t="shared" si="31"/>
        <v>0</v>
      </c>
      <c r="S128" s="799">
        <f t="shared" si="32"/>
        <v>0</v>
      </c>
    </row>
    <row r="129" spans="1:19">
      <c r="A129" s="956"/>
      <c r="B129" s="137"/>
      <c r="C129" s="53">
        <f t="shared" si="23"/>
        <v>1</v>
      </c>
      <c r="D129" s="954"/>
      <c r="E129" s="53">
        <f t="shared" si="24"/>
        <v>1</v>
      </c>
      <c r="F129" s="954"/>
      <c r="G129" s="53">
        <f t="shared" si="25"/>
        <v>1</v>
      </c>
      <c r="H129" s="954"/>
      <c r="I129" s="53">
        <f t="shared" si="26"/>
        <v>1</v>
      </c>
      <c r="J129" s="954"/>
      <c r="K129" s="53">
        <f t="shared" si="27"/>
        <v>1</v>
      </c>
      <c r="L129" s="954"/>
      <c r="M129" s="53">
        <f t="shared" si="28"/>
        <v>1</v>
      </c>
      <c r="N129" s="954"/>
      <c r="O129" s="53">
        <f t="shared" si="29"/>
        <v>1</v>
      </c>
      <c r="P129" s="954"/>
      <c r="Q129" s="53">
        <f t="shared" si="30"/>
        <v>1</v>
      </c>
      <c r="R129" s="490">
        <f t="shared" si="31"/>
        <v>0</v>
      </c>
      <c r="S129" s="799">
        <f t="shared" si="32"/>
        <v>0</v>
      </c>
    </row>
    <row r="130" spans="1:19">
      <c r="A130" s="956"/>
      <c r="B130" s="137"/>
      <c r="C130" s="53">
        <f t="shared" si="23"/>
        <v>1</v>
      </c>
      <c r="D130" s="954"/>
      <c r="E130" s="53">
        <f t="shared" si="24"/>
        <v>1</v>
      </c>
      <c r="F130" s="954"/>
      <c r="G130" s="53">
        <f t="shared" si="25"/>
        <v>1</v>
      </c>
      <c r="H130" s="954"/>
      <c r="I130" s="53">
        <f t="shared" si="26"/>
        <v>1</v>
      </c>
      <c r="J130" s="954"/>
      <c r="K130" s="53">
        <f t="shared" si="27"/>
        <v>1</v>
      </c>
      <c r="L130" s="954"/>
      <c r="M130" s="53">
        <f t="shared" si="28"/>
        <v>1</v>
      </c>
      <c r="N130" s="954"/>
      <c r="O130" s="53">
        <f t="shared" si="29"/>
        <v>1</v>
      </c>
      <c r="P130" s="954"/>
      <c r="Q130" s="53">
        <f t="shared" si="30"/>
        <v>1</v>
      </c>
      <c r="R130" s="490">
        <f t="shared" si="31"/>
        <v>0</v>
      </c>
      <c r="S130" s="799">
        <f t="shared" si="32"/>
        <v>0</v>
      </c>
    </row>
    <row r="131" spans="1:19">
      <c r="A131" s="956"/>
      <c r="B131" s="137"/>
      <c r="C131" s="53">
        <f t="shared" si="23"/>
        <v>1</v>
      </c>
      <c r="D131" s="954"/>
      <c r="E131" s="53">
        <f t="shared" si="24"/>
        <v>1</v>
      </c>
      <c r="F131" s="954"/>
      <c r="G131" s="53">
        <f t="shared" si="25"/>
        <v>1</v>
      </c>
      <c r="H131" s="954"/>
      <c r="I131" s="53">
        <f t="shared" si="26"/>
        <v>1</v>
      </c>
      <c r="J131" s="954"/>
      <c r="K131" s="53">
        <f t="shared" si="27"/>
        <v>1</v>
      </c>
      <c r="L131" s="954"/>
      <c r="M131" s="53">
        <f t="shared" si="28"/>
        <v>1</v>
      </c>
      <c r="N131" s="954"/>
      <c r="O131" s="53">
        <f t="shared" si="29"/>
        <v>1</v>
      </c>
      <c r="P131" s="954"/>
      <c r="Q131" s="53">
        <f t="shared" si="30"/>
        <v>1</v>
      </c>
      <c r="R131" s="490">
        <f t="shared" si="31"/>
        <v>0</v>
      </c>
      <c r="S131" s="799">
        <f t="shared" si="32"/>
        <v>0</v>
      </c>
    </row>
    <row r="132" spans="1:19">
      <c r="A132" s="956"/>
      <c r="B132" s="137"/>
      <c r="C132" s="53">
        <f t="shared" si="23"/>
        <v>1</v>
      </c>
      <c r="D132" s="954"/>
      <c r="E132" s="53">
        <f t="shared" si="24"/>
        <v>1</v>
      </c>
      <c r="F132" s="954"/>
      <c r="G132" s="53">
        <f t="shared" si="25"/>
        <v>1</v>
      </c>
      <c r="H132" s="954"/>
      <c r="I132" s="53">
        <f t="shared" si="26"/>
        <v>1</v>
      </c>
      <c r="J132" s="954"/>
      <c r="K132" s="53">
        <f t="shared" si="27"/>
        <v>1</v>
      </c>
      <c r="L132" s="954"/>
      <c r="M132" s="53">
        <f t="shared" si="28"/>
        <v>1</v>
      </c>
      <c r="N132" s="954"/>
      <c r="O132" s="53">
        <f t="shared" si="29"/>
        <v>1</v>
      </c>
      <c r="P132" s="954"/>
      <c r="Q132" s="53">
        <f t="shared" si="30"/>
        <v>1</v>
      </c>
      <c r="R132" s="490">
        <f t="shared" si="31"/>
        <v>0</v>
      </c>
      <c r="S132" s="799">
        <f t="shared" si="32"/>
        <v>0</v>
      </c>
    </row>
    <row r="133" spans="1:19">
      <c r="A133" s="956"/>
      <c r="B133" s="137"/>
      <c r="C133" s="53">
        <f t="shared" si="23"/>
        <v>1</v>
      </c>
      <c r="D133" s="954"/>
      <c r="E133" s="53">
        <f t="shared" si="24"/>
        <v>1</v>
      </c>
      <c r="F133" s="954"/>
      <c r="G133" s="53">
        <f t="shared" si="25"/>
        <v>1</v>
      </c>
      <c r="H133" s="954"/>
      <c r="I133" s="53">
        <f t="shared" si="26"/>
        <v>1</v>
      </c>
      <c r="J133" s="954"/>
      <c r="K133" s="53">
        <f t="shared" si="27"/>
        <v>1</v>
      </c>
      <c r="L133" s="954"/>
      <c r="M133" s="53">
        <f t="shared" si="28"/>
        <v>1</v>
      </c>
      <c r="N133" s="954"/>
      <c r="O133" s="53">
        <f t="shared" si="29"/>
        <v>1</v>
      </c>
      <c r="P133" s="954"/>
      <c r="Q133" s="53">
        <f t="shared" si="30"/>
        <v>1</v>
      </c>
      <c r="R133" s="490">
        <f t="shared" si="31"/>
        <v>0</v>
      </c>
      <c r="S133" s="799">
        <f t="shared" si="32"/>
        <v>0</v>
      </c>
    </row>
    <row r="134" spans="1:19">
      <c r="A134" s="956"/>
      <c r="B134" s="137"/>
      <c r="C134" s="53">
        <f t="shared" si="23"/>
        <v>1</v>
      </c>
      <c r="D134" s="954"/>
      <c r="E134" s="53">
        <f t="shared" si="24"/>
        <v>1</v>
      </c>
      <c r="F134" s="954"/>
      <c r="G134" s="53">
        <f t="shared" si="25"/>
        <v>1</v>
      </c>
      <c r="H134" s="954"/>
      <c r="I134" s="53">
        <f t="shared" si="26"/>
        <v>1</v>
      </c>
      <c r="J134" s="954"/>
      <c r="K134" s="53">
        <f t="shared" si="27"/>
        <v>1</v>
      </c>
      <c r="L134" s="954"/>
      <c r="M134" s="53">
        <f t="shared" si="28"/>
        <v>1</v>
      </c>
      <c r="N134" s="954"/>
      <c r="O134" s="53">
        <f t="shared" si="29"/>
        <v>1</v>
      </c>
      <c r="P134" s="954"/>
      <c r="Q134" s="53">
        <f t="shared" si="30"/>
        <v>1</v>
      </c>
      <c r="R134" s="490">
        <f t="shared" si="31"/>
        <v>0</v>
      </c>
      <c r="S134" s="799">
        <f t="shared" si="32"/>
        <v>0</v>
      </c>
    </row>
    <row r="135" spans="1:19">
      <c r="A135" s="956"/>
      <c r="B135" s="137"/>
      <c r="C135" s="53">
        <f t="shared" si="23"/>
        <v>1</v>
      </c>
      <c r="D135" s="954"/>
      <c r="E135" s="53">
        <f t="shared" si="24"/>
        <v>1</v>
      </c>
      <c r="F135" s="954"/>
      <c r="G135" s="53">
        <f t="shared" si="25"/>
        <v>1</v>
      </c>
      <c r="H135" s="954"/>
      <c r="I135" s="53">
        <f t="shared" si="26"/>
        <v>1</v>
      </c>
      <c r="J135" s="954"/>
      <c r="K135" s="53">
        <f t="shared" si="27"/>
        <v>1</v>
      </c>
      <c r="L135" s="954"/>
      <c r="M135" s="53">
        <f t="shared" si="28"/>
        <v>1</v>
      </c>
      <c r="N135" s="954"/>
      <c r="O135" s="53">
        <f t="shared" si="29"/>
        <v>1</v>
      </c>
      <c r="P135" s="954"/>
      <c r="Q135" s="53">
        <f t="shared" si="30"/>
        <v>1</v>
      </c>
      <c r="R135" s="490">
        <f t="shared" si="31"/>
        <v>0</v>
      </c>
      <c r="S135" s="799">
        <f t="shared" si="32"/>
        <v>0</v>
      </c>
    </row>
    <row r="136" spans="1:19">
      <c r="A136" s="956"/>
      <c r="B136" s="137"/>
      <c r="C136" s="53">
        <f t="shared" si="23"/>
        <v>1</v>
      </c>
      <c r="D136" s="954"/>
      <c r="E136" s="53">
        <f t="shared" si="24"/>
        <v>1</v>
      </c>
      <c r="F136" s="954"/>
      <c r="G136" s="53">
        <f t="shared" si="25"/>
        <v>1</v>
      </c>
      <c r="H136" s="954"/>
      <c r="I136" s="53">
        <f t="shared" si="26"/>
        <v>1</v>
      </c>
      <c r="J136" s="954"/>
      <c r="K136" s="53">
        <f t="shared" si="27"/>
        <v>1</v>
      </c>
      <c r="L136" s="954"/>
      <c r="M136" s="53">
        <f t="shared" si="28"/>
        <v>1</v>
      </c>
      <c r="N136" s="954"/>
      <c r="O136" s="53">
        <f t="shared" si="29"/>
        <v>1</v>
      </c>
      <c r="P136" s="954"/>
      <c r="Q136" s="53">
        <f t="shared" si="30"/>
        <v>1</v>
      </c>
      <c r="R136" s="490">
        <f t="shared" si="31"/>
        <v>0</v>
      </c>
      <c r="S136" s="799">
        <f t="shared" si="32"/>
        <v>0</v>
      </c>
    </row>
    <row r="137" spans="1:19">
      <c r="A137" s="956"/>
      <c r="B137" s="137"/>
      <c r="C137" s="53">
        <f t="shared" si="23"/>
        <v>1</v>
      </c>
      <c r="D137" s="954"/>
      <c r="E137" s="53">
        <f t="shared" si="24"/>
        <v>1</v>
      </c>
      <c r="F137" s="954"/>
      <c r="G137" s="53">
        <f t="shared" si="25"/>
        <v>1</v>
      </c>
      <c r="H137" s="954"/>
      <c r="I137" s="53">
        <f t="shared" si="26"/>
        <v>1</v>
      </c>
      <c r="J137" s="954"/>
      <c r="K137" s="53">
        <f t="shared" si="27"/>
        <v>1</v>
      </c>
      <c r="L137" s="954"/>
      <c r="M137" s="53">
        <f t="shared" si="28"/>
        <v>1</v>
      </c>
      <c r="N137" s="954"/>
      <c r="O137" s="53">
        <f t="shared" si="29"/>
        <v>1</v>
      </c>
      <c r="P137" s="954"/>
      <c r="Q137" s="53">
        <f t="shared" si="30"/>
        <v>1</v>
      </c>
      <c r="R137" s="490">
        <f t="shared" si="31"/>
        <v>0</v>
      </c>
      <c r="S137" s="799">
        <f t="shared" si="32"/>
        <v>0</v>
      </c>
    </row>
    <row r="138" spans="1:19">
      <c r="A138" s="956"/>
      <c r="B138" s="137"/>
      <c r="C138" s="53">
        <f t="shared" si="23"/>
        <v>1</v>
      </c>
      <c r="D138" s="954"/>
      <c r="E138" s="53">
        <f t="shared" si="24"/>
        <v>1</v>
      </c>
      <c r="F138" s="954"/>
      <c r="G138" s="53">
        <f t="shared" si="25"/>
        <v>1</v>
      </c>
      <c r="H138" s="954"/>
      <c r="I138" s="53">
        <f t="shared" si="26"/>
        <v>1</v>
      </c>
      <c r="J138" s="954"/>
      <c r="K138" s="53">
        <f t="shared" si="27"/>
        <v>1</v>
      </c>
      <c r="L138" s="954"/>
      <c r="M138" s="53">
        <f t="shared" si="28"/>
        <v>1</v>
      </c>
      <c r="N138" s="954"/>
      <c r="O138" s="53">
        <f t="shared" si="29"/>
        <v>1</v>
      </c>
      <c r="P138" s="954"/>
      <c r="Q138" s="53">
        <f t="shared" si="30"/>
        <v>1</v>
      </c>
      <c r="R138" s="490">
        <f t="shared" si="31"/>
        <v>0</v>
      </c>
      <c r="S138" s="799">
        <f t="shared" si="32"/>
        <v>0</v>
      </c>
    </row>
    <row r="139" spans="1:19">
      <c r="A139" s="956"/>
      <c r="B139" s="137"/>
      <c r="C139" s="53">
        <f t="shared" si="23"/>
        <v>1</v>
      </c>
      <c r="D139" s="954"/>
      <c r="E139" s="53">
        <f t="shared" si="24"/>
        <v>1</v>
      </c>
      <c r="F139" s="954"/>
      <c r="G139" s="53">
        <f t="shared" si="25"/>
        <v>1</v>
      </c>
      <c r="H139" s="954"/>
      <c r="I139" s="53">
        <f t="shared" si="26"/>
        <v>1</v>
      </c>
      <c r="J139" s="954"/>
      <c r="K139" s="53">
        <f t="shared" si="27"/>
        <v>1</v>
      </c>
      <c r="L139" s="954"/>
      <c r="M139" s="53">
        <f t="shared" si="28"/>
        <v>1</v>
      </c>
      <c r="N139" s="954"/>
      <c r="O139" s="53">
        <f t="shared" si="29"/>
        <v>1</v>
      </c>
      <c r="P139" s="954"/>
      <c r="Q139" s="53">
        <f t="shared" si="30"/>
        <v>1</v>
      </c>
      <c r="R139" s="490">
        <f t="shared" si="31"/>
        <v>0</v>
      </c>
      <c r="S139" s="799">
        <f t="shared" si="32"/>
        <v>0</v>
      </c>
    </row>
    <row r="140" spans="1:19">
      <c r="A140" s="956"/>
      <c r="B140" s="137"/>
      <c r="C140" s="53">
        <f t="shared" si="23"/>
        <v>1</v>
      </c>
      <c r="D140" s="954"/>
      <c r="E140" s="53">
        <f t="shared" si="24"/>
        <v>1</v>
      </c>
      <c r="F140" s="954"/>
      <c r="G140" s="53">
        <f t="shared" si="25"/>
        <v>1</v>
      </c>
      <c r="H140" s="954"/>
      <c r="I140" s="53">
        <f t="shared" si="26"/>
        <v>1</v>
      </c>
      <c r="J140" s="954"/>
      <c r="K140" s="53">
        <f t="shared" si="27"/>
        <v>1</v>
      </c>
      <c r="L140" s="954"/>
      <c r="M140" s="53">
        <f t="shared" si="28"/>
        <v>1</v>
      </c>
      <c r="N140" s="954"/>
      <c r="O140" s="53">
        <f t="shared" si="29"/>
        <v>1</v>
      </c>
      <c r="P140" s="954"/>
      <c r="Q140" s="53">
        <f t="shared" si="30"/>
        <v>1</v>
      </c>
      <c r="R140" s="490">
        <f t="shared" si="31"/>
        <v>0</v>
      </c>
      <c r="S140" s="799">
        <f t="shared" si="32"/>
        <v>0</v>
      </c>
    </row>
    <row r="141" spans="1:19">
      <c r="A141" s="956"/>
      <c r="B141" s="137"/>
      <c r="C141" s="53">
        <f t="shared" si="23"/>
        <v>1</v>
      </c>
      <c r="D141" s="954"/>
      <c r="E141" s="53">
        <f t="shared" si="24"/>
        <v>1</v>
      </c>
      <c r="F141" s="954"/>
      <c r="G141" s="53">
        <f t="shared" si="25"/>
        <v>1</v>
      </c>
      <c r="H141" s="954"/>
      <c r="I141" s="53">
        <f t="shared" si="26"/>
        <v>1</v>
      </c>
      <c r="J141" s="954"/>
      <c r="K141" s="53">
        <f t="shared" si="27"/>
        <v>1</v>
      </c>
      <c r="L141" s="954"/>
      <c r="M141" s="53">
        <f t="shared" si="28"/>
        <v>1</v>
      </c>
      <c r="N141" s="954"/>
      <c r="O141" s="53">
        <f t="shared" si="29"/>
        <v>1</v>
      </c>
      <c r="P141" s="954"/>
      <c r="Q141" s="53">
        <f t="shared" si="30"/>
        <v>1</v>
      </c>
      <c r="R141" s="490">
        <f t="shared" si="31"/>
        <v>0</v>
      </c>
      <c r="S141" s="799">
        <f t="shared" si="32"/>
        <v>0</v>
      </c>
    </row>
    <row r="142" spans="1:19">
      <c r="A142" s="956"/>
      <c r="B142" s="137"/>
      <c r="C142" s="53">
        <f t="shared" si="23"/>
        <v>1</v>
      </c>
      <c r="D142" s="954"/>
      <c r="E142" s="53">
        <f t="shared" si="24"/>
        <v>1</v>
      </c>
      <c r="F142" s="954"/>
      <c r="G142" s="53">
        <f t="shared" si="25"/>
        <v>1</v>
      </c>
      <c r="H142" s="954"/>
      <c r="I142" s="53">
        <f t="shared" si="26"/>
        <v>1</v>
      </c>
      <c r="J142" s="954"/>
      <c r="K142" s="53">
        <f t="shared" si="27"/>
        <v>1</v>
      </c>
      <c r="L142" s="954"/>
      <c r="M142" s="53">
        <f t="shared" si="28"/>
        <v>1</v>
      </c>
      <c r="N142" s="954"/>
      <c r="O142" s="53">
        <f t="shared" si="29"/>
        <v>1</v>
      </c>
      <c r="P142" s="954"/>
      <c r="Q142" s="53">
        <f t="shared" si="30"/>
        <v>1</v>
      </c>
      <c r="R142" s="490">
        <f t="shared" si="31"/>
        <v>0</v>
      </c>
      <c r="S142" s="799">
        <f t="shared" si="32"/>
        <v>0</v>
      </c>
    </row>
    <row r="143" spans="1:19">
      <c r="A143" s="956"/>
      <c r="B143" s="137"/>
      <c r="C143" s="53">
        <f t="shared" si="23"/>
        <v>1</v>
      </c>
      <c r="D143" s="954"/>
      <c r="E143" s="53">
        <f t="shared" si="24"/>
        <v>1</v>
      </c>
      <c r="F143" s="954"/>
      <c r="G143" s="53">
        <f t="shared" si="25"/>
        <v>1</v>
      </c>
      <c r="H143" s="954"/>
      <c r="I143" s="53">
        <f t="shared" si="26"/>
        <v>1</v>
      </c>
      <c r="J143" s="954"/>
      <c r="K143" s="53">
        <f t="shared" si="27"/>
        <v>1</v>
      </c>
      <c r="L143" s="954"/>
      <c r="M143" s="53">
        <f t="shared" si="28"/>
        <v>1</v>
      </c>
      <c r="N143" s="954"/>
      <c r="O143" s="53">
        <f t="shared" si="29"/>
        <v>1</v>
      </c>
      <c r="P143" s="954"/>
      <c r="Q143" s="53">
        <f t="shared" si="30"/>
        <v>1</v>
      </c>
      <c r="R143" s="490">
        <f t="shared" si="31"/>
        <v>0</v>
      </c>
      <c r="S143" s="799">
        <f t="shared" si="32"/>
        <v>0</v>
      </c>
    </row>
    <row r="144" spans="1:19">
      <c r="A144" s="956"/>
      <c r="B144" s="137"/>
      <c r="C144" s="53">
        <f t="shared" si="23"/>
        <v>1</v>
      </c>
      <c r="D144" s="954"/>
      <c r="E144" s="53">
        <f t="shared" si="24"/>
        <v>1</v>
      </c>
      <c r="F144" s="954"/>
      <c r="G144" s="53">
        <f t="shared" si="25"/>
        <v>1</v>
      </c>
      <c r="H144" s="954"/>
      <c r="I144" s="53">
        <f t="shared" si="26"/>
        <v>1</v>
      </c>
      <c r="J144" s="954"/>
      <c r="K144" s="53">
        <f t="shared" si="27"/>
        <v>1</v>
      </c>
      <c r="L144" s="954"/>
      <c r="M144" s="53">
        <f t="shared" si="28"/>
        <v>1</v>
      </c>
      <c r="N144" s="954"/>
      <c r="O144" s="53">
        <f t="shared" si="29"/>
        <v>1</v>
      </c>
      <c r="P144" s="954"/>
      <c r="Q144" s="53">
        <f t="shared" si="30"/>
        <v>1</v>
      </c>
      <c r="R144" s="490">
        <f t="shared" si="31"/>
        <v>0</v>
      </c>
      <c r="S144" s="799">
        <f t="shared" si="32"/>
        <v>0</v>
      </c>
    </row>
    <row r="145" spans="1:19">
      <c r="A145" s="956"/>
      <c r="B145" s="137"/>
      <c r="C145" s="53">
        <f t="shared" si="23"/>
        <v>1</v>
      </c>
      <c r="D145" s="954"/>
      <c r="E145" s="53">
        <f t="shared" si="24"/>
        <v>1</v>
      </c>
      <c r="F145" s="954"/>
      <c r="G145" s="53">
        <f t="shared" si="25"/>
        <v>1</v>
      </c>
      <c r="H145" s="954"/>
      <c r="I145" s="53">
        <f t="shared" si="26"/>
        <v>1</v>
      </c>
      <c r="J145" s="954"/>
      <c r="K145" s="53">
        <f t="shared" si="27"/>
        <v>1</v>
      </c>
      <c r="L145" s="954"/>
      <c r="M145" s="53">
        <f t="shared" si="28"/>
        <v>1</v>
      </c>
      <c r="N145" s="954"/>
      <c r="O145" s="53">
        <f t="shared" si="29"/>
        <v>1</v>
      </c>
      <c r="P145" s="954"/>
      <c r="Q145" s="53">
        <f t="shared" si="30"/>
        <v>1</v>
      </c>
      <c r="R145" s="490">
        <f t="shared" si="31"/>
        <v>0</v>
      </c>
      <c r="S145" s="799">
        <f t="shared" si="32"/>
        <v>0</v>
      </c>
    </row>
    <row r="146" spans="1:19">
      <c r="A146" s="956"/>
      <c r="B146" s="137"/>
      <c r="C146" s="53">
        <f t="shared" si="23"/>
        <v>1</v>
      </c>
      <c r="D146" s="954"/>
      <c r="E146" s="53">
        <f t="shared" si="24"/>
        <v>1</v>
      </c>
      <c r="F146" s="954"/>
      <c r="G146" s="53">
        <f t="shared" si="25"/>
        <v>1</v>
      </c>
      <c r="H146" s="954"/>
      <c r="I146" s="53">
        <f t="shared" si="26"/>
        <v>1</v>
      </c>
      <c r="J146" s="954"/>
      <c r="K146" s="53">
        <f t="shared" si="27"/>
        <v>1</v>
      </c>
      <c r="L146" s="954"/>
      <c r="M146" s="53">
        <f t="shared" si="28"/>
        <v>1</v>
      </c>
      <c r="N146" s="954"/>
      <c r="O146" s="53">
        <f t="shared" si="29"/>
        <v>1</v>
      </c>
      <c r="P146" s="954"/>
      <c r="Q146" s="53">
        <f t="shared" si="30"/>
        <v>1</v>
      </c>
      <c r="R146" s="490">
        <f t="shared" si="31"/>
        <v>0</v>
      </c>
      <c r="S146" s="799">
        <f t="shared" si="32"/>
        <v>0</v>
      </c>
    </row>
    <row r="147" spans="1:19">
      <c r="A147" s="956"/>
      <c r="B147" s="137"/>
      <c r="C147" s="53">
        <f t="shared" si="23"/>
        <v>1</v>
      </c>
      <c r="D147" s="954"/>
      <c r="E147" s="53">
        <f t="shared" si="24"/>
        <v>1</v>
      </c>
      <c r="F147" s="954"/>
      <c r="G147" s="53">
        <f t="shared" si="25"/>
        <v>1</v>
      </c>
      <c r="H147" s="954"/>
      <c r="I147" s="53">
        <f t="shared" si="26"/>
        <v>1</v>
      </c>
      <c r="J147" s="954"/>
      <c r="K147" s="53">
        <f t="shared" si="27"/>
        <v>1</v>
      </c>
      <c r="L147" s="954"/>
      <c r="M147" s="53">
        <f t="shared" si="28"/>
        <v>1</v>
      </c>
      <c r="N147" s="954"/>
      <c r="O147" s="53">
        <f t="shared" si="29"/>
        <v>1</v>
      </c>
      <c r="P147" s="954"/>
      <c r="Q147" s="53">
        <f t="shared" si="30"/>
        <v>1</v>
      </c>
      <c r="R147" s="490">
        <f t="shared" si="31"/>
        <v>0</v>
      </c>
      <c r="S147" s="799">
        <f t="shared" si="32"/>
        <v>0</v>
      </c>
    </row>
    <row r="148" spans="1:19">
      <c r="A148" s="956"/>
      <c r="B148" s="137"/>
      <c r="C148" s="53">
        <f t="shared" si="23"/>
        <v>1</v>
      </c>
      <c r="D148" s="954"/>
      <c r="E148" s="53">
        <f t="shared" si="24"/>
        <v>1</v>
      </c>
      <c r="F148" s="954"/>
      <c r="G148" s="53">
        <f t="shared" si="25"/>
        <v>1</v>
      </c>
      <c r="H148" s="954"/>
      <c r="I148" s="53">
        <f t="shared" si="26"/>
        <v>1</v>
      </c>
      <c r="J148" s="954"/>
      <c r="K148" s="53">
        <f t="shared" si="27"/>
        <v>1</v>
      </c>
      <c r="L148" s="954"/>
      <c r="M148" s="53">
        <f t="shared" si="28"/>
        <v>1</v>
      </c>
      <c r="N148" s="954"/>
      <c r="O148" s="53">
        <f t="shared" si="29"/>
        <v>1</v>
      </c>
      <c r="P148" s="954"/>
      <c r="Q148" s="53">
        <f t="shared" si="30"/>
        <v>1</v>
      </c>
      <c r="R148" s="490">
        <f t="shared" si="31"/>
        <v>0</v>
      </c>
      <c r="S148" s="799">
        <f t="shared" si="32"/>
        <v>0</v>
      </c>
    </row>
    <row r="149" spans="1:19">
      <c r="A149" s="956"/>
      <c r="B149" s="137"/>
      <c r="C149" s="53">
        <f t="shared" si="23"/>
        <v>1</v>
      </c>
      <c r="D149" s="954"/>
      <c r="E149" s="53">
        <f t="shared" si="24"/>
        <v>1</v>
      </c>
      <c r="F149" s="954"/>
      <c r="G149" s="53">
        <f t="shared" si="25"/>
        <v>1</v>
      </c>
      <c r="H149" s="954"/>
      <c r="I149" s="53">
        <f t="shared" si="26"/>
        <v>1</v>
      </c>
      <c r="J149" s="954"/>
      <c r="K149" s="53">
        <f t="shared" si="27"/>
        <v>1</v>
      </c>
      <c r="L149" s="954"/>
      <c r="M149" s="53">
        <f t="shared" si="28"/>
        <v>1</v>
      </c>
      <c r="N149" s="954"/>
      <c r="O149" s="53">
        <f t="shared" si="29"/>
        <v>1</v>
      </c>
      <c r="P149" s="954"/>
      <c r="Q149" s="53">
        <f t="shared" si="30"/>
        <v>1</v>
      </c>
      <c r="R149" s="490">
        <f t="shared" si="31"/>
        <v>0</v>
      </c>
      <c r="S149" s="799">
        <f t="shared" si="32"/>
        <v>0</v>
      </c>
    </row>
    <row r="150" spans="1:19">
      <c r="A150" s="956"/>
      <c r="B150" s="137"/>
      <c r="C150" s="53">
        <f t="shared" si="23"/>
        <v>1</v>
      </c>
      <c r="D150" s="954"/>
      <c r="E150" s="53">
        <f t="shared" si="24"/>
        <v>1</v>
      </c>
      <c r="F150" s="954"/>
      <c r="G150" s="53">
        <f t="shared" si="25"/>
        <v>1</v>
      </c>
      <c r="H150" s="954"/>
      <c r="I150" s="53">
        <f t="shared" si="26"/>
        <v>1</v>
      </c>
      <c r="J150" s="954"/>
      <c r="K150" s="53">
        <f t="shared" si="27"/>
        <v>1</v>
      </c>
      <c r="L150" s="954"/>
      <c r="M150" s="53">
        <f t="shared" si="28"/>
        <v>1</v>
      </c>
      <c r="N150" s="954"/>
      <c r="O150" s="53">
        <f t="shared" si="29"/>
        <v>1</v>
      </c>
      <c r="P150" s="954"/>
      <c r="Q150" s="53">
        <f t="shared" si="30"/>
        <v>1</v>
      </c>
      <c r="R150" s="490">
        <f t="shared" si="31"/>
        <v>0</v>
      </c>
      <c r="S150" s="799">
        <f t="shared" si="32"/>
        <v>0</v>
      </c>
    </row>
    <row r="151" spans="1:19">
      <c r="A151" s="956"/>
      <c r="B151" s="137"/>
      <c r="C151" s="53">
        <f t="shared" si="23"/>
        <v>1</v>
      </c>
      <c r="D151" s="954"/>
      <c r="E151" s="53">
        <f t="shared" si="24"/>
        <v>1</v>
      </c>
      <c r="F151" s="954"/>
      <c r="G151" s="53">
        <f t="shared" si="25"/>
        <v>1</v>
      </c>
      <c r="H151" s="954"/>
      <c r="I151" s="53">
        <f t="shared" si="26"/>
        <v>1</v>
      </c>
      <c r="J151" s="954"/>
      <c r="K151" s="53">
        <f t="shared" si="27"/>
        <v>1</v>
      </c>
      <c r="L151" s="954"/>
      <c r="M151" s="53">
        <f t="shared" si="28"/>
        <v>1</v>
      </c>
      <c r="N151" s="954"/>
      <c r="O151" s="53">
        <f t="shared" si="29"/>
        <v>1</v>
      </c>
      <c r="P151" s="954"/>
      <c r="Q151" s="53">
        <f t="shared" si="30"/>
        <v>1</v>
      </c>
      <c r="R151" s="490">
        <f t="shared" si="31"/>
        <v>0</v>
      </c>
      <c r="S151" s="799">
        <f t="shared" si="32"/>
        <v>0</v>
      </c>
    </row>
    <row r="152" spans="1:19">
      <c r="A152" s="956"/>
      <c r="B152" s="137"/>
      <c r="C152" s="53">
        <f t="shared" si="23"/>
        <v>1</v>
      </c>
      <c r="D152" s="954"/>
      <c r="E152" s="53">
        <f t="shared" si="24"/>
        <v>1</v>
      </c>
      <c r="F152" s="954"/>
      <c r="G152" s="53">
        <f t="shared" si="25"/>
        <v>1</v>
      </c>
      <c r="H152" s="954"/>
      <c r="I152" s="53">
        <f t="shared" si="26"/>
        <v>1</v>
      </c>
      <c r="J152" s="954"/>
      <c r="K152" s="53">
        <f t="shared" si="27"/>
        <v>1</v>
      </c>
      <c r="L152" s="954"/>
      <c r="M152" s="53">
        <f t="shared" si="28"/>
        <v>1</v>
      </c>
      <c r="N152" s="954"/>
      <c r="O152" s="53">
        <f t="shared" si="29"/>
        <v>1</v>
      </c>
      <c r="P152" s="954"/>
      <c r="Q152" s="53">
        <f t="shared" si="30"/>
        <v>1</v>
      </c>
      <c r="R152" s="490">
        <f t="shared" si="31"/>
        <v>0</v>
      </c>
      <c r="S152" s="799">
        <f t="shared" si="32"/>
        <v>0</v>
      </c>
    </row>
    <row r="153" spans="1:19">
      <c r="A153" s="956"/>
      <c r="B153" s="137"/>
      <c r="C153" s="53">
        <f t="shared" si="23"/>
        <v>1</v>
      </c>
      <c r="D153" s="954"/>
      <c r="E153" s="53">
        <f t="shared" si="24"/>
        <v>1</v>
      </c>
      <c r="F153" s="954"/>
      <c r="G153" s="53">
        <f t="shared" si="25"/>
        <v>1</v>
      </c>
      <c r="H153" s="954"/>
      <c r="I153" s="53">
        <f t="shared" si="26"/>
        <v>1</v>
      </c>
      <c r="J153" s="954"/>
      <c r="K153" s="53">
        <f t="shared" si="27"/>
        <v>1</v>
      </c>
      <c r="L153" s="954"/>
      <c r="M153" s="53">
        <f t="shared" si="28"/>
        <v>1</v>
      </c>
      <c r="N153" s="954"/>
      <c r="O153" s="53">
        <f t="shared" si="29"/>
        <v>1</v>
      </c>
      <c r="P153" s="954"/>
      <c r="Q153" s="53">
        <f t="shared" si="30"/>
        <v>1</v>
      </c>
      <c r="R153" s="490">
        <f t="shared" si="31"/>
        <v>0</v>
      </c>
      <c r="S153" s="799">
        <f t="shared" si="32"/>
        <v>0</v>
      </c>
    </row>
    <row r="154" spans="1:19">
      <c r="A154" s="956"/>
      <c r="B154" s="137"/>
      <c r="C154" s="53">
        <f t="shared" ref="C154:C217" si="33">IF(B154="",1,(LOOKUP(B154,$3:$3,$4:$4)-LOOKUP($B$24,$3:$3,$4:$4)+100)/100)</f>
        <v>1</v>
      </c>
      <c r="D154" s="954"/>
      <c r="E154" s="53">
        <f t="shared" ref="E154:E217" si="34">(SUMIF($5:$5,D154,$6:$6)-SUMIF($5:$5,$D$24,$6:$6)+100)/100</f>
        <v>1</v>
      </c>
      <c r="F154" s="954"/>
      <c r="G154" s="53">
        <f t="shared" ref="G154:G217" si="35">(SUMIF($7:$7,F154,$8:$8)-SUMIF($7:$7,$F$24,$8:$8)+100)/100</f>
        <v>1</v>
      </c>
      <c r="H154" s="954"/>
      <c r="I154" s="53">
        <f t="shared" ref="I154:I217" si="36">(SUMIF($9:$9,H154,$10:$10)-SUMIF($9:$9,$H$24,$10:$10)+100)/100</f>
        <v>1</v>
      </c>
      <c r="J154" s="954"/>
      <c r="K154" s="53">
        <f t="shared" ref="K154:K217" si="37">(SUMIF($11:$11,J154,$12:$12)-SUMIF($11:$11,$J$24,$12:$12)+100)/100</f>
        <v>1</v>
      </c>
      <c r="L154" s="954"/>
      <c r="M154" s="53">
        <f t="shared" ref="M154:M217" si="38">(SUMIF($13:$13,L154,$14:$14)-SUMIF($13:$13,$L$24,$14:$14)+100)/100</f>
        <v>1</v>
      </c>
      <c r="N154" s="954"/>
      <c r="O154" s="53">
        <f t="shared" ref="O154:O217" si="39">(SUMIF($15:$15,N154,$16:$16)-SUMIF($15:$15,$N$24,$16:$16)+100)/100</f>
        <v>1</v>
      </c>
      <c r="P154" s="954"/>
      <c r="Q154" s="53">
        <f t="shared" ref="Q154:Q217" si="40">(SUMIF($17:$17,P154,$18:$18)-SUMIF($17:$17,$P$24,$18:$18)+100)/100</f>
        <v>1</v>
      </c>
      <c r="R154" s="490">
        <f t="shared" ref="R154:R217" si="41">IF(B154="",0,ROUND($R$24*C154*E154*G154*I154*K154*M154*O154*Q154,0))</f>
        <v>0</v>
      </c>
      <c r="S154" s="799">
        <f t="shared" si="32"/>
        <v>0</v>
      </c>
    </row>
    <row r="155" spans="1:19">
      <c r="A155" s="956"/>
      <c r="B155" s="137"/>
      <c r="C155" s="53">
        <f t="shared" si="33"/>
        <v>1</v>
      </c>
      <c r="D155" s="954"/>
      <c r="E155" s="53">
        <f t="shared" si="34"/>
        <v>1</v>
      </c>
      <c r="F155" s="954"/>
      <c r="G155" s="53">
        <f t="shared" si="35"/>
        <v>1</v>
      </c>
      <c r="H155" s="954"/>
      <c r="I155" s="53">
        <f t="shared" si="36"/>
        <v>1</v>
      </c>
      <c r="J155" s="954"/>
      <c r="K155" s="53">
        <f t="shared" si="37"/>
        <v>1</v>
      </c>
      <c r="L155" s="954"/>
      <c r="M155" s="53">
        <f t="shared" si="38"/>
        <v>1</v>
      </c>
      <c r="N155" s="954"/>
      <c r="O155" s="53">
        <f t="shared" si="39"/>
        <v>1</v>
      </c>
      <c r="P155" s="954"/>
      <c r="Q155" s="53">
        <f t="shared" si="40"/>
        <v>1</v>
      </c>
      <c r="R155" s="490">
        <f t="shared" si="41"/>
        <v>0</v>
      </c>
      <c r="S155" s="799">
        <f t="shared" si="32"/>
        <v>0</v>
      </c>
    </row>
    <row r="156" spans="1:19">
      <c r="A156" s="956"/>
      <c r="B156" s="137"/>
      <c r="C156" s="53">
        <f t="shared" si="33"/>
        <v>1</v>
      </c>
      <c r="D156" s="954"/>
      <c r="E156" s="53">
        <f t="shared" si="34"/>
        <v>1</v>
      </c>
      <c r="F156" s="954"/>
      <c r="G156" s="53">
        <f t="shared" si="35"/>
        <v>1</v>
      </c>
      <c r="H156" s="954"/>
      <c r="I156" s="53">
        <f t="shared" si="36"/>
        <v>1</v>
      </c>
      <c r="J156" s="954"/>
      <c r="K156" s="53">
        <f t="shared" si="37"/>
        <v>1</v>
      </c>
      <c r="L156" s="954"/>
      <c r="M156" s="53">
        <f t="shared" si="38"/>
        <v>1</v>
      </c>
      <c r="N156" s="954"/>
      <c r="O156" s="53">
        <f t="shared" si="39"/>
        <v>1</v>
      </c>
      <c r="P156" s="954"/>
      <c r="Q156" s="53">
        <f t="shared" si="40"/>
        <v>1</v>
      </c>
      <c r="R156" s="490">
        <f t="shared" si="41"/>
        <v>0</v>
      </c>
      <c r="S156" s="799">
        <f t="shared" si="32"/>
        <v>0</v>
      </c>
    </row>
    <row r="157" spans="1:19">
      <c r="A157" s="956"/>
      <c r="B157" s="137"/>
      <c r="C157" s="53">
        <f t="shared" si="33"/>
        <v>1</v>
      </c>
      <c r="D157" s="954"/>
      <c r="E157" s="53">
        <f t="shared" si="34"/>
        <v>1</v>
      </c>
      <c r="F157" s="954"/>
      <c r="G157" s="53">
        <f t="shared" si="35"/>
        <v>1</v>
      </c>
      <c r="H157" s="954"/>
      <c r="I157" s="53">
        <f t="shared" si="36"/>
        <v>1</v>
      </c>
      <c r="J157" s="954"/>
      <c r="K157" s="53">
        <f t="shared" si="37"/>
        <v>1</v>
      </c>
      <c r="L157" s="954"/>
      <c r="M157" s="53">
        <f t="shared" si="38"/>
        <v>1</v>
      </c>
      <c r="N157" s="954"/>
      <c r="O157" s="53">
        <f t="shared" si="39"/>
        <v>1</v>
      </c>
      <c r="P157" s="954"/>
      <c r="Q157" s="53">
        <f t="shared" si="40"/>
        <v>1</v>
      </c>
      <c r="R157" s="490">
        <f t="shared" si="41"/>
        <v>0</v>
      </c>
      <c r="S157" s="799">
        <f t="shared" si="32"/>
        <v>0</v>
      </c>
    </row>
    <row r="158" spans="1:19">
      <c r="A158" s="956"/>
      <c r="B158" s="137"/>
      <c r="C158" s="53">
        <f t="shared" si="33"/>
        <v>1</v>
      </c>
      <c r="D158" s="954"/>
      <c r="E158" s="53">
        <f t="shared" si="34"/>
        <v>1</v>
      </c>
      <c r="F158" s="954"/>
      <c r="G158" s="53">
        <f t="shared" si="35"/>
        <v>1</v>
      </c>
      <c r="H158" s="954"/>
      <c r="I158" s="53">
        <f t="shared" si="36"/>
        <v>1</v>
      </c>
      <c r="J158" s="954"/>
      <c r="K158" s="53">
        <f t="shared" si="37"/>
        <v>1</v>
      </c>
      <c r="L158" s="954"/>
      <c r="M158" s="53">
        <f t="shared" si="38"/>
        <v>1</v>
      </c>
      <c r="N158" s="954"/>
      <c r="O158" s="53">
        <f t="shared" si="39"/>
        <v>1</v>
      </c>
      <c r="P158" s="954"/>
      <c r="Q158" s="53">
        <f t="shared" si="40"/>
        <v>1</v>
      </c>
      <c r="R158" s="490">
        <f t="shared" si="41"/>
        <v>0</v>
      </c>
      <c r="S158" s="799">
        <f t="shared" si="32"/>
        <v>0</v>
      </c>
    </row>
    <row r="159" spans="1:19">
      <c r="A159" s="956"/>
      <c r="B159" s="137"/>
      <c r="C159" s="53">
        <f t="shared" si="33"/>
        <v>1</v>
      </c>
      <c r="D159" s="954"/>
      <c r="E159" s="53">
        <f t="shared" si="34"/>
        <v>1</v>
      </c>
      <c r="F159" s="954"/>
      <c r="G159" s="53">
        <f t="shared" si="35"/>
        <v>1</v>
      </c>
      <c r="H159" s="954"/>
      <c r="I159" s="53">
        <f t="shared" si="36"/>
        <v>1</v>
      </c>
      <c r="J159" s="954"/>
      <c r="K159" s="53">
        <f t="shared" si="37"/>
        <v>1</v>
      </c>
      <c r="L159" s="954"/>
      <c r="M159" s="53">
        <f t="shared" si="38"/>
        <v>1</v>
      </c>
      <c r="N159" s="954"/>
      <c r="O159" s="53">
        <f t="shared" si="39"/>
        <v>1</v>
      </c>
      <c r="P159" s="954"/>
      <c r="Q159" s="53">
        <f t="shared" si="40"/>
        <v>1</v>
      </c>
      <c r="R159" s="490">
        <f t="shared" si="41"/>
        <v>0</v>
      </c>
      <c r="S159" s="799">
        <f t="shared" si="32"/>
        <v>0</v>
      </c>
    </row>
    <row r="160" spans="1:19">
      <c r="A160" s="956"/>
      <c r="B160" s="137"/>
      <c r="C160" s="53">
        <f t="shared" si="33"/>
        <v>1</v>
      </c>
      <c r="D160" s="954"/>
      <c r="E160" s="53">
        <f t="shared" si="34"/>
        <v>1</v>
      </c>
      <c r="F160" s="954"/>
      <c r="G160" s="53">
        <f t="shared" si="35"/>
        <v>1</v>
      </c>
      <c r="H160" s="954"/>
      <c r="I160" s="53">
        <f t="shared" si="36"/>
        <v>1</v>
      </c>
      <c r="J160" s="954"/>
      <c r="K160" s="53">
        <f t="shared" si="37"/>
        <v>1</v>
      </c>
      <c r="L160" s="954"/>
      <c r="M160" s="53">
        <f t="shared" si="38"/>
        <v>1</v>
      </c>
      <c r="N160" s="954"/>
      <c r="O160" s="53">
        <f t="shared" si="39"/>
        <v>1</v>
      </c>
      <c r="P160" s="954"/>
      <c r="Q160" s="53">
        <f t="shared" si="40"/>
        <v>1</v>
      </c>
      <c r="R160" s="490">
        <f t="shared" si="41"/>
        <v>0</v>
      </c>
      <c r="S160" s="799">
        <f t="shared" si="32"/>
        <v>0</v>
      </c>
    </row>
    <row r="161" spans="1:19">
      <c r="A161" s="956"/>
      <c r="B161" s="137"/>
      <c r="C161" s="53">
        <f t="shared" si="33"/>
        <v>1</v>
      </c>
      <c r="D161" s="954"/>
      <c r="E161" s="53">
        <f t="shared" si="34"/>
        <v>1</v>
      </c>
      <c r="F161" s="954"/>
      <c r="G161" s="53">
        <f t="shared" si="35"/>
        <v>1</v>
      </c>
      <c r="H161" s="954"/>
      <c r="I161" s="53">
        <f t="shared" si="36"/>
        <v>1</v>
      </c>
      <c r="J161" s="954"/>
      <c r="K161" s="53">
        <f t="shared" si="37"/>
        <v>1</v>
      </c>
      <c r="L161" s="954"/>
      <c r="M161" s="53">
        <f t="shared" si="38"/>
        <v>1</v>
      </c>
      <c r="N161" s="954"/>
      <c r="O161" s="53">
        <f t="shared" si="39"/>
        <v>1</v>
      </c>
      <c r="P161" s="954"/>
      <c r="Q161" s="53">
        <f t="shared" si="40"/>
        <v>1</v>
      </c>
      <c r="R161" s="490">
        <f t="shared" si="41"/>
        <v>0</v>
      </c>
      <c r="S161" s="799">
        <f t="shared" si="32"/>
        <v>0</v>
      </c>
    </row>
    <row r="162" spans="1:19">
      <c r="A162" s="956"/>
      <c r="B162" s="137"/>
      <c r="C162" s="53">
        <f t="shared" si="33"/>
        <v>1</v>
      </c>
      <c r="D162" s="954"/>
      <c r="E162" s="53">
        <f t="shared" si="34"/>
        <v>1</v>
      </c>
      <c r="F162" s="954"/>
      <c r="G162" s="53">
        <f t="shared" si="35"/>
        <v>1</v>
      </c>
      <c r="H162" s="954"/>
      <c r="I162" s="53">
        <f t="shared" si="36"/>
        <v>1</v>
      </c>
      <c r="J162" s="954"/>
      <c r="K162" s="53">
        <f t="shared" si="37"/>
        <v>1</v>
      </c>
      <c r="L162" s="954"/>
      <c r="M162" s="53">
        <f t="shared" si="38"/>
        <v>1</v>
      </c>
      <c r="N162" s="954"/>
      <c r="O162" s="53">
        <f t="shared" si="39"/>
        <v>1</v>
      </c>
      <c r="P162" s="954"/>
      <c r="Q162" s="53">
        <f t="shared" si="40"/>
        <v>1</v>
      </c>
      <c r="R162" s="490">
        <f t="shared" si="41"/>
        <v>0</v>
      </c>
      <c r="S162" s="799">
        <f t="shared" si="32"/>
        <v>0</v>
      </c>
    </row>
    <row r="163" spans="1:19">
      <c r="A163" s="956"/>
      <c r="B163" s="137"/>
      <c r="C163" s="53">
        <f t="shared" si="33"/>
        <v>1</v>
      </c>
      <c r="D163" s="954"/>
      <c r="E163" s="53">
        <f t="shared" si="34"/>
        <v>1</v>
      </c>
      <c r="F163" s="954"/>
      <c r="G163" s="53">
        <f t="shared" si="35"/>
        <v>1</v>
      </c>
      <c r="H163" s="954"/>
      <c r="I163" s="53">
        <f t="shared" si="36"/>
        <v>1</v>
      </c>
      <c r="J163" s="954"/>
      <c r="K163" s="53">
        <f t="shared" si="37"/>
        <v>1</v>
      </c>
      <c r="L163" s="954"/>
      <c r="M163" s="53">
        <f t="shared" si="38"/>
        <v>1</v>
      </c>
      <c r="N163" s="954"/>
      <c r="O163" s="53">
        <f t="shared" si="39"/>
        <v>1</v>
      </c>
      <c r="P163" s="954"/>
      <c r="Q163" s="53">
        <f t="shared" si="40"/>
        <v>1</v>
      </c>
      <c r="R163" s="490">
        <f t="shared" si="41"/>
        <v>0</v>
      </c>
      <c r="S163" s="799">
        <f t="shared" si="32"/>
        <v>0</v>
      </c>
    </row>
    <row r="164" spans="1:19">
      <c r="A164" s="956"/>
      <c r="B164" s="137"/>
      <c r="C164" s="53">
        <f t="shared" si="33"/>
        <v>1</v>
      </c>
      <c r="D164" s="954"/>
      <c r="E164" s="53">
        <f t="shared" si="34"/>
        <v>1</v>
      </c>
      <c r="F164" s="954"/>
      <c r="G164" s="53">
        <f t="shared" si="35"/>
        <v>1</v>
      </c>
      <c r="H164" s="954"/>
      <c r="I164" s="53">
        <f t="shared" si="36"/>
        <v>1</v>
      </c>
      <c r="J164" s="954"/>
      <c r="K164" s="53">
        <f t="shared" si="37"/>
        <v>1</v>
      </c>
      <c r="L164" s="954"/>
      <c r="M164" s="53">
        <f t="shared" si="38"/>
        <v>1</v>
      </c>
      <c r="N164" s="954"/>
      <c r="O164" s="53">
        <f t="shared" si="39"/>
        <v>1</v>
      </c>
      <c r="P164" s="954"/>
      <c r="Q164" s="53">
        <f t="shared" si="40"/>
        <v>1</v>
      </c>
      <c r="R164" s="490">
        <f t="shared" si="41"/>
        <v>0</v>
      </c>
      <c r="S164" s="799">
        <f t="shared" si="32"/>
        <v>0</v>
      </c>
    </row>
    <row r="165" spans="1:19">
      <c r="A165" s="956"/>
      <c r="B165" s="137"/>
      <c r="C165" s="53">
        <f t="shared" si="33"/>
        <v>1</v>
      </c>
      <c r="D165" s="954"/>
      <c r="E165" s="53">
        <f t="shared" si="34"/>
        <v>1</v>
      </c>
      <c r="F165" s="954"/>
      <c r="G165" s="53">
        <f t="shared" si="35"/>
        <v>1</v>
      </c>
      <c r="H165" s="954"/>
      <c r="I165" s="53">
        <f t="shared" si="36"/>
        <v>1</v>
      </c>
      <c r="J165" s="954"/>
      <c r="K165" s="53">
        <f t="shared" si="37"/>
        <v>1</v>
      </c>
      <c r="L165" s="954"/>
      <c r="M165" s="53">
        <f t="shared" si="38"/>
        <v>1</v>
      </c>
      <c r="N165" s="954"/>
      <c r="O165" s="53">
        <f t="shared" si="39"/>
        <v>1</v>
      </c>
      <c r="P165" s="954"/>
      <c r="Q165" s="53">
        <f t="shared" si="40"/>
        <v>1</v>
      </c>
      <c r="R165" s="490">
        <f t="shared" si="41"/>
        <v>0</v>
      </c>
      <c r="S165" s="799">
        <f t="shared" si="32"/>
        <v>0</v>
      </c>
    </row>
    <row r="166" spans="1:19">
      <c r="A166" s="956"/>
      <c r="B166" s="137"/>
      <c r="C166" s="53">
        <f t="shared" si="33"/>
        <v>1</v>
      </c>
      <c r="D166" s="954"/>
      <c r="E166" s="53">
        <f t="shared" si="34"/>
        <v>1</v>
      </c>
      <c r="F166" s="954"/>
      <c r="G166" s="53">
        <f t="shared" si="35"/>
        <v>1</v>
      </c>
      <c r="H166" s="954"/>
      <c r="I166" s="53">
        <f t="shared" si="36"/>
        <v>1</v>
      </c>
      <c r="J166" s="954"/>
      <c r="K166" s="53">
        <f t="shared" si="37"/>
        <v>1</v>
      </c>
      <c r="L166" s="954"/>
      <c r="M166" s="53">
        <f t="shared" si="38"/>
        <v>1</v>
      </c>
      <c r="N166" s="954"/>
      <c r="O166" s="53">
        <f t="shared" si="39"/>
        <v>1</v>
      </c>
      <c r="P166" s="954"/>
      <c r="Q166" s="53">
        <f t="shared" si="40"/>
        <v>1</v>
      </c>
      <c r="R166" s="490">
        <f t="shared" si="41"/>
        <v>0</v>
      </c>
      <c r="S166" s="799">
        <f t="shared" si="32"/>
        <v>0</v>
      </c>
    </row>
    <row r="167" spans="1:19">
      <c r="A167" s="956"/>
      <c r="B167" s="137"/>
      <c r="C167" s="53">
        <f t="shared" si="33"/>
        <v>1</v>
      </c>
      <c r="D167" s="954"/>
      <c r="E167" s="53">
        <f t="shared" si="34"/>
        <v>1</v>
      </c>
      <c r="F167" s="954"/>
      <c r="G167" s="53">
        <f t="shared" si="35"/>
        <v>1</v>
      </c>
      <c r="H167" s="954"/>
      <c r="I167" s="53">
        <f t="shared" si="36"/>
        <v>1</v>
      </c>
      <c r="J167" s="954"/>
      <c r="K167" s="53">
        <f t="shared" si="37"/>
        <v>1</v>
      </c>
      <c r="L167" s="954"/>
      <c r="M167" s="53">
        <f t="shared" si="38"/>
        <v>1</v>
      </c>
      <c r="N167" s="954"/>
      <c r="O167" s="53">
        <f t="shared" si="39"/>
        <v>1</v>
      </c>
      <c r="P167" s="954"/>
      <c r="Q167" s="53">
        <f t="shared" si="40"/>
        <v>1</v>
      </c>
      <c r="R167" s="490">
        <f t="shared" si="41"/>
        <v>0</v>
      </c>
      <c r="S167" s="799">
        <f t="shared" si="32"/>
        <v>0</v>
      </c>
    </row>
    <row r="168" spans="1:19">
      <c r="A168" s="956"/>
      <c r="B168" s="137"/>
      <c r="C168" s="53">
        <f t="shared" si="33"/>
        <v>1</v>
      </c>
      <c r="D168" s="954"/>
      <c r="E168" s="53">
        <f t="shared" si="34"/>
        <v>1</v>
      </c>
      <c r="F168" s="954"/>
      <c r="G168" s="53">
        <f t="shared" si="35"/>
        <v>1</v>
      </c>
      <c r="H168" s="954"/>
      <c r="I168" s="53">
        <f t="shared" si="36"/>
        <v>1</v>
      </c>
      <c r="J168" s="954"/>
      <c r="K168" s="53">
        <f t="shared" si="37"/>
        <v>1</v>
      </c>
      <c r="L168" s="954"/>
      <c r="M168" s="53">
        <f t="shared" si="38"/>
        <v>1</v>
      </c>
      <c r="N168" s="954"/>
      <c r="O168" s="53">
        <f t="shared" si="39"/>
        <v>1</v>
      </c>
      <c r="P168" s="954"/>
      <c r="Q168" s="53">
        <f t="shared" si="40"/>
        <v>1</v>
      </c>
      <c r="R168" s="490">
        <f t="shared" si="41"/>
        <v>0</v>
      </c>
      <c r="S168" s="799">
        <f t="shared" si="32"/>
        <v>0</v>
      </c>
    </row>
    <row r="169" spans="1:19">
      <c r="A169" s="956"/>
      <c r="B169" s="137"/>
      <c r="C169" s="53">
        <f t="shared" si="33"/>
        <v>1</v>
      </c>
      <c r="D169" s="954"/>
      <c r="E169" s="53">
        <f t="shared" si="34"/>
        <v>1</v>
      </c>
      <c r="F169" s="954"/>
      <c r="G169" s="53">
        <f t="shared" si="35"/>
        <v>1</v>
      </c>
      <c r="H169" s="954"/>
      <c r="I169" s="53">
        <f t="shared" si="36"/>
        <v>1</v>
      </c>
      <c r="J169" s="954"/>
      <c r="K169" s="53">
        <f t="shared" si="37"/>
        <v>1</v>
      </c>
      <c r="L169" s="954"/>
      <c r="M169" s="53">
        <f t="shared" si="38"/>
        <v>1</v>
      </c>
      <c r="N169" s="954"/>
      <c r="O169" s="53">
        <f t="shared" si="39"/>
        <v>1</v>
      </c>
      <c r="P169" s="954"/>
      <c r="Q169" s="53">
        <f t="shared" si="40"/>
        <v>1</v>
      </c>
      <c r="R169" s="490">
        <f t="shared" si="41"/>
        <v>0</v>
      </c>
      <c r="S169" s="799">
        <f t="shared" si="32"/>
        <v>0</v>
      </c>
    </row>
    <row r="170" spans="1:19">
      <c r="A170" s="956"/>
      <c r="B170" s="137"/>
      <c r="C170" s="53">
        <f t="shared" si="33"/>
        <v>1</v>
      </c>
      <c r="D170" s="954"/>
      <c r="E170" s="53">
        <f t="shared" si="34"/>
        <v>1</v>
      </c>
      <c r="F170" s="954"/>
      <c r="G170" s="53">
        <f t="shared" si="35"/>
        <v>1</v>
      </c>
      <c r="H170" s="954"/>
      <c r="I170" s="53">
        <f t="shared" si="36"/>
        <v>1</v>
      </c>
      <c r="J170" s="954"/>
      <c r="K170" s="53">
        <f t="shared" si="37"/>
        <v>1</v>
      </c>
      <c r="L170" s="954"/>
      <c r="M170" s="53">
        <f t="shared" si="38"/>
        <v>1</v>
      </c>
      <c r="N170" s="954"/>
      <c r="O170" s="53">
        <f t="shared" si="39"/>
        <v>1</v>
      </c>
      <c r="P170" s="954"/>
      <c r="Q170" s="53">
        <f t="shared" si="40"/>
        <v>1</v>
      </c>
      <c r="R170" s="490">
        <f t="shared" si="41"/>
        <v>0</v>
      </c>
      <c r="S170" s="799">
        <f t="shared" si="32"/>
        <v>0</v>
      </c>
    </row>
    <row r="171" spans="1:19">
      <c r="A171" s="956"/>
      <c r="B171" s="137"/>
      <c r="C171" s="53">
        <f t="shared" si="33"/>
        <v>1</v>
      </c>
      <c r="D171" s="954"/>
      <c r="E171" s="53">
        <f t="shared" si="34"/>
        <v>1</v>
      </c>
      <c r="F171" s="954"/>
      <c r="G171" s="53">
        <f t="shared" si="35"/>
        <v>1</v>
      </c>
      <c r="H171" s="954"/>
      <c r="I171" s="53">
        <f t="shared" si="36"/>
        <v>1</v>
      </c>
      <c r="J171" s="954"/>
      <c r="K171" s="53">
        <f t="shared" si="37"/>
        <v>1</v>
      </c>
      <c r="L171" s="954"/>
      <c r="M171" s="53">
        <f t="shared" si="38"/>
        <v>1</v>
      </c>
      <c r="N171" s="954"/>
      <c r="O171" s="53">
        <f t="shared" si="39"/>
        <v>1</v>
      </c>
      <c r="P171" s="954"/>
      <c r="Q171" s="53">
        <f t="shared" si="40"/>
        <v>1</v>
      </c>
      <c r="R171" s="490">
        <f t="shared" si="41"/>
        <v>0</v>
      </c>
      <c r="S171" s="799">
        <f t="shared" si="32"/>
        <v>0</v>
      </c>
    </row>
    <row r="172" spans="1:19">
      <c r="A172" s="956"/>
      <c r="B172" s="137"/>
      <c r="C172" s="53">
        <f t="shared" si="33"/>
        <v>1</v>
      </c>
      <c r="D172" s="954"/>
      <c r="E172" s="53">
        <f t="shared" si="34"/>
        <v>1</v>
      </c>
      <c r="F172" s="954"/>
      <c r="G172" s="53">
        <f t="shared" si="35"/>
        <v>1</v>
      </c>
      <c r="H172" s="954"/>
      <c r="I172" s="53">
        <f t="shared" si="36"/>
        <v>1</v>
      </c>
      <c r="J172" s="954"/>
      <c r="K172" s="53">
        <f t="shared" si="37"/>
        <v>1</v>
      </c>
      <c r="L172" s="954"/>
      <c r="M172" s="53">
        <f t="shared" si="38"/>
        <v>1</v>
      </c>
      <c r="N172" s="954"/>
      <c r="O172" s="53">
        <f t="shared" si="39"/>
        <v>1</v>
      </c>
      <c r="P172" s="954"/>
      <c r="Q172" s="53">
        <f t="shared" si="40"/>
        <v>1</v>
      </c>
      <c r="R172" s="490">
        <f t="shared" si="41"/>
        <v>0</v>
      </c>
      <c r="S172" s="799">
        <f t="shared" si="32"/>
        <v>0</v>
      </c>
    </row>
    <row r="173" spans="1:19">
      <c r="A173" s="956"/>
      <c r="B173" s="137"/>
      <c r="C173" s="53">
        <f t="shared" si="33"/>
        <v>1</v>
      </c>
      <c r="D173" s="954"/>
      <c r="E173" s="53">
        <f t="shared" si="34"/>
        <v>1</v>
      </c>
      <c r="F173" s="954"/>
      <c r="G173" s="53">
        <f t="shared" si="35"/>
        <v>1</v>
      </c>
      <c r="H173" s="954"/>
      <c r="I173" s="53">
        <f t="shared" si="36"/>
        <v>1</v>
      </c>
      <c r="J173" s="954"/>
      <c r="K173" s="53">
        <f t="shared" si="37"/>
        <v>1</v>
      </c>
      <c r="L173" s="954"/>
      <c r="M173" s="53">
        <f t="shared" si="38"/>
        <v>1</v>
      </c>
      <c r="N173" s="954"/>
      <c r="O173" s="53">
        <f t="shared" si="39"/>
        <v>1</v>
      </c>
      <c r="P173" s="954"/>
      <c r="Q173" s="53">
        <f t="shared" si="40"/>
        <v>1</v>
      </c>
      <c r="R173" s="490">
        <f t="shared" si="41"/>
        <v>0</v>
      </c>
      <c r="S173" s="799">
        <f t="shared" si="32"/>
        <v>0</v>
      </c>
    </row>
    <row r="174" spans="1:19">
      <c r="A174" s="956"/>
      <c r="B174" s="137"/>
      <c r="C174" s="53">
        <f t="shared" si="33"/>
        <v>1</v>
      </c>
      <c r="D174" s="954"/>
      <c r="E174" s="53">
        <f t="shared" si="34"/>
        <v>1</v>
      </c>
      <c r="F174" s="954"/>
      <c r="G174" s="53">
        <f t="shared" si="35"/>
        <v>1</v>
      </c>
      <c r="H174" s="954"/>
      <c r="I174" s="53">
        <f t="shared" si="36"/>
        <v>1</v>
      </c>
      <c r="J174" s="954"/>
      <c r="K174" s="53">
        <f t="shared" si="37"/>
        <v>1</v>
      </c>
      <c r="L174" s="954"/>
      <c r="M174" s="53">
        <f t="shared" si="38"/>
        <v>1</v>
      </c>
      <c r="N174" s="954"/>
      <c r="O174" s="53">
        <f t="shared" si="39"/>
        <v>1</v>
      </c>
      <c r="P174" s="954"/>
      <c r="Q174" s="53">
        <f t="shared" si="40"/>
        <v>1</v>
      </c>
      <c r="R174" s="490">
        <f t="shared" si="41"/>
        <v>0</v>
      </c>
      <c r="S174" s="799">
        <f t="shared" si="32"/>
        <v>0</v>
      </c>
    </row>
    <row r="175" spans="1:19">
      <c r="A175" s="956"/>
      <c r="B175" s="137"/>
      <c r="C175" s="53">
        <f t="shared" si="33"/>
        <v>1</v>
      </c>
      <c r="D175" s="954"/>
      <c r="E175" s="53">
        <f t="shared" si="34"/>
        <v>1</v>
      </c>
      <c r="F175" s="954"/>
      <c r="G175" s="53">
        <f t="shared" si="35"/>
        <v>1</v>
      </c>
      <c r="H175" s="954"/>
      <c r="I175" s="53">
        <f t="shared" si="36"/>
        <v>1</v>
      </c>
      <c r="J175" s="954"/>
      <c r="K175" s="53">
        <f t="shared" si="37"/>
        <v>1</v>
      </c>
      <c r="L175" s="954"/>
      <c r="M175" s="53">
        <f t="shared" si="38"/>
        <v>1</v>
      </c>
      <c r="N175" s="954"/>
      <c r="O175" s="53">
        <f t="shared" si="39"/>
        <v>1</v>
      </c>
      <c r="P175" s="954"/>
      <c r="Q175" s="53">
        <f t="shared" si="40"/>
        <v>1</v>
      </c>
      <c r="R175" s="490">
        <f t="shared" si="41"/>
        <v>0</v>
      </c>
      <c r="S175" s="799">
        <f t="shared" si="32"/>
        <v>0</v>
      </c>
    </row>
    <row r="176" spans="1:19">
      <c r="A176" s="956"/>
      <c r="B176" s="137"/>
      <c r="C176" s="53">
        <f t="shared" si="33"/>
        <v>1</v>
      </c>
      <c r="D176" s="954"/>
      <c r="E176" s="53">
        <f t="shared" si="34"/>
        <v>1</v>
      </c>
      <c r="F176" s="954"/>
      <c r="G176" s="53">
        <f t="shared" si="35"/>
        <v>1</v>
      </c>
      <c r="H176" s="954"/>
      <c r="I176" s="53">
        <f t="shared" si="36"/>
        <v>1</v>
      </c>
      <c r="J176" s="954"/>
      <c r="K176" s="53">
        <f t="shared" si="37"/>
        <v>1</v>
      </c>
      <c r="L176" s="954"/>
      <c r="M176" s="53">
        <f t="shared" si="38"/>
        <v>1</v>
      </c>
      <c r="N176" s="954"/>
      <c r="O176" s="53">
        <f t="shared" si="39"/>
        <v>1</v>
      </c>
      <c r="P176" s="954"/>
      <c r="Q176" s="53">
        <f t="shared" si="40"/>
        <v>1</v>
      </c>
      <c r="R176" s="490">
        <f t="shared" si="41"/>
        <v>0</v>
      </c>
      <c r="S176" s="799">
        <f t="shared" si="32"/>
        <v>0</v>
      </c>
    </row>
    <row r="177" spans="1:19">
      <c r="A177" s="956"/>
      <c r="B177" s="137"/>
      <c r="C177" s="53">
        <f t="shared" si="33"/>
        <v>1</v>
      </c>
      <c r="D177" s="954"/>
      <c r="E177" s="53">
        <f t="shared" si="34"/>
        <v>1</v>
      </c>
      <c r="F177" s="954"/>
      <c r="G177" s="53">
        <f t="shared" si="35"/>
        <v>1</v>
      </c>
      <c r="H177" s="954"/>
      <c r="I177" s="53">
        <f t="shared" si="36"/>
        <v>1</v>
      </c>
      <c r="J177" s="954"/>
      <c r="K177" s="53">
        <f t="shared" si="37"/>
        <v>1</v>
      </c>
      <c r="L177" s="954"/>
      <c r="M177" s="53">
        <f t="shared" si="38"/>
        <v>1</v>
      </c>
      <c r="N177" s="954"/>
      <c r="O177" s="53">
        <f t="shared" si="39"/>
        <v>1</v>
      </c>
      <c r="P177" s="954"/>
      <c r="Q177" s="53">
        <f t="shared" si="40"/>
        <v>1</v>
      </c>
      <c r="R177" s="490">
        <f t="shared" si="41"/>
        <v>0</v>
      </c>
      <c r="S177" s="799">
        <f t="shared" si="32"/>
        <v>0</v>
      </c>
    </row>
    <row r="178" spans="1:19">
      <c r="A178" s="956"/>
      <c r="B178" s="137"/>
      <c r="C178" s="53">
        <f t="shared" si="33"/>
        <v>1</v>
      </c>
      <c r="D178" s="954"/>
      <c r="E178" s="53">
        <f t="shared" si="34"/>
        <v>1</v>
      </c>
      <c r="F178" s="954"/>
      <c r="G178" s="53">
        <f t="shared" si="35"/>
        <v>1</v>
      </c>
      <c r="H178" s="954"/>
      <c r="I178" s="53">
        <f t="shared" si="36"/>
        <v>1</v>
      </c>
      <c r="J178" s="954"/>
      <c r="K178" s="53">
        <f t="shared" si="37"/>
        <v>1</v>
      </c>
      <c r="L178" s="954"/>
      <c r="M178" s="53">
        <f t="shared" si="38"/>
        <v>1</v>
      </c>
      <c r="N178" s="954"/>
      <c r="O178" s="53">
        <f t="shared" si="39"/>
        <v>1</v>
      </c>
      <c r="P178" s="954"/>
      <c r="Q178" s="53">
        <f t="shared" si="40"/>
        <v>1</v>
      </c>
      <c r="R178" s="490">
        <f t="shared" si="41"/>
        <v>0</v>
      </c>
      <c r="S178" s="799">
        <f t="shared" si="32"/>
        <v>0</v>
      </c>
    </row>
    <row r="179" spans="1:19">
      <c r="A179" s="956"/>
      <c r="B179" s="137"/>
      <c r="C179" s="53">
        <f t="shared" si="33"/>
        <v>1</v>
      </c>
      <c r="D179" s="954"/>
      <c r="E179" s="53">
        <f t="shared" si="34"/>
        <v>1</v>
      </c>
      <c r="F179" s="954"/>
      <c r="G179" s="53">
        <f t="shared" si="35"/>
        <v>1</v>
      </c>
      <c r="H179" s="954"/>
      <c r="I179" s="53">
        <f t="shared" si="36"/>
        <v>1</v>
      </c>
      <c r="J179" s="954"/>
      <c r="K179" s="53">
        <f t="shared" si="37"/>
        <v>1</v>
      </c>
      <c r="L179" s="954"/>
      <c r="M179" s="53">
        <f t="shared" si="38"/>
        <v>1</v>
      </c>
      <c r="N179" s="954"/>
      <c r="O179" s="53">
        <f t="shared" si="39"/>
        <v>1</v>
      </c>
      <c r="P179" s="954"/>
      <c r="Q179" s="53">
        <f t="shared" si="40"/>
        <v>1</v>
      </c>
      <c r="R179" s="490">
        <f t="shared" si="41"/>
        <v>0</v>
      </c>
      <c r="S179" s="799">
        <f t="shared" si="32"/>
        <v>0</v>
      </c>
    </row>
    <row r="180" spans="1:19">
      <c r="A180" s="956"/>
      <c r="B180" s="137"/>
      <c r="C180" s="53">
        <f t="shared" si="33"/>
        <v>1</v>
      </c>
      <c r="D180" s="954"/>
      <c r="E180" s="53">
        <f t="shared" si="34"/>
        <v>1</v>
      </c>
      <c r="F180" s="954"/>
      <c r="G180" s="53">
        <f t="shared" si="35"/>
        <v>1</v>
      </c>
      <c r="H180" s="954"/>
      <c r="I180" s="53">
        <f t="shared" si="36"/>
        <v>1</v>
      </c>
      <c r="J180" s="954"/>
      <c r="K180" s="53">
        <f t="shared" si="37"/>
        <v>1</v>
      </c>
      <c r="L180" s="954"/>
      <c r="M180" s="53">
        <f t="shared" si="38"/>
        <v>1</v>
      </c>
      <c r="N180" s="954"/>
      <c r="O180" s="53">
        <f t="shared" si="39"/>
        <v>1</v>
      </c>
      <c r="P180" s="954"/>
      <c r="Q180" s="53">
        <f t="shared" si="40"/>
        <v>1</v>
      </c>
      <c r="R180" s="490">
        <f t="shared" si="41"/>
        <v>0</v>
      </c>
      <c r="S180" s="799">
        <f t="shared" si="32"/>
        <v>0</v>
      </c>
    </row>
    <row r="181" spans="1:19">
      <c r="A181" s="956"/>
      <c r="B181" s="137"/>
      <c r="C181" s="53">
        <f t="shared" si="33"/>
        <v>1</v>
      </c>
      <c r="D181" s="954"/>
      <c r="E181" s="53">
        <f t="shared" si="34"/>
        <v>1</v>
      </c>
      <c r="F181" s="954"/>
      <c r="G181" s="53">
        <f t="shared" si="35"/>
        <v>1</v>
      </c>
      <c r="H181" s="954"/>
      <c r="I181" s="53">
        <f t="shared" si="36"/>
        <v>1</v>
      </c>
      <c r="J181" s="954"/>
      <c r="K181" s="53">
        <f t="shared" si="37"/>
        <v>1</v>
      </c>
      <c r="L181" s="954"/>
      <c r="M181" s="53">
        <f t="shared" si="38"/>
        <v>1</v>
      </c>
      <c r="N181" s="954"/>
      <c r="O181" s="53">
        <f t="shared" si="39"/>
        <v>1</v>
      </c>
      <c r="P181" s="954"/>
      <c r="Q181" s="53">
        <f t="shared" si="40"/>
        <v>1</v>
      </c>
      <c r="R181" s="490">
        <f t="shared" si="41"/>
        <v>0</v>
      </c>
      <c r="S181" s="799">
        <f t="shared" si="32"/>
        <v>0</v>
      </c>
    </row>
    <row r="182" spans="1:19">
      <c r="A182" s="956"/>
      <c r="B182" s="137"/>
      <c r="C182" s="53">
        <f t="shared" si="33"/>
        <v>1</v>
      </c>
      <c r="D182" s="954"/>
      <c r="E182" s="53">
        <f t="shared" si="34"/>
        <v>1</v>
      </c>
      <c r="F182" s="954"/>
      <c r="G182" s="53">
        <f t="shared" si="35"/>
        <v>1</v>
      </c>
      <c r="H182" s="954"/>
      <c r="I182" s="53">
        <f t="shared" si="36"/>
        <v>1</v>
      </c>
      <c r="J182" s="954"/>
      <c r="K182" s="53">
        <f t="shared" si="37"/>
        <v>1</v>
      </c>
      <c r="L182" s="954"/>
      <c r="M182" s="53">
        <f t="shared" si="38"/>
        <v>1</v>
      </c>
      <c r="N182" s="954"/>
      <c r="O182" s="53">
        <f t="shared" si="39"/>
        <v>1</v>
      </c>
      <c r="P182" s="954"/>
      <c r="Q182" s="53">
        <f t="shared" si="40"/>
        <v>1</v>
      </c>
      <c r="R182" s="490">
        <f t="shared" si="41"/>
        <v>0</v>
      </c>
      <c r="S182" s="799">
        <f t="shared" si="32"/>
        <v>0</v>
      </c>
    </row>
    <row r="183" spans="1:19">
      <c r="A183" s="956"/>
      <c r="B183" s="137"/>
      <c r="C183" s="53">
        <f t="shared" si="33"/>
        <v>1</v>
      </c>
      <c r="D183" s="954"/>
      <c r="E183" s="53">
        <f t="shared" si="34"/>
        <v>1</v>
      </c>
      <c r="F183" s="954"/>
      <c r="G183" s="53">
        <f t="shared" si="35"/>
        <v>1</v>
      </c>
      <c r="H183" s="954"/>
      <c r="I183" s="53">
        <f t="shared" si="36"/>
        <v>1</v>
      </c>
      <c r="J183" s="954"/>
      <c r="K183" s="53">
        <f t="shared" si="37"/>
        <v>1</v>
      </c>
      <c r="L183" s="954"/>
      <c r="M183" s="53">
        <f t="shared" si="38"/>
        <v>1</v>
      </c>
      <c r="N183" s="954"/>
      <c r="O183" s="53">
        <f t="shared" si="39"/>
        <v>1</v>
      </c>
      <c r="P183" s="954"/>
      <c r="Q183" s="53">
        <f t="shared" si="40"/>
        <v>1</v>
      </c>
      <c r="R183" s="490">
        <f t="shared" si="41"/>
        <v>0</v>
      </c>
      <c r="S183" s="799">
        <f t="shared" si="32"/>
        <v>0</v>
      </c>
    </row>
    <row r="184" spans="1:19">
      <c r="A184" s="956"/>
      <c r="B184" s="137"/>
      <c r="C184" s="53">
        <f t="shared" si="33"/>
        <v>1</v>
      </c>
      <c r="D184" s="954"/>
      <c r="E184" s="53">
        <f t="shared" si="34"/>
        <v>1</v>
      </c>
      <c r="F184" s="954"/>
      <c r="G184" s="53">
        <f t="shared" si="35"/>
        <v>1</v>
      </c>
      <c r="H184" s="954"/>
      <c r="I184" s="53">
        <f t="shared" si="36"/>
        <v>1</v>
      </c>
      <c r="J184" s="954"/>
      <c r="K184" s="53">
        <f t="shared" si="37"/>
        <v>1</v>
      </c>
      <c r="L184" s="954"/>
      <c r="M184" s="53">
        <f t="shared" si="38"/>
        <v>1</v>
      </c>
      <c r="N184" s="954"/>
      <c r="O184" s="53">
        <f t="shared" si="39"/>
        <v>1</v>
      </c>
      <c r="P184" s="954"/>
      <c r="Q184" s="53">
        <f t="shared" si="40"/>
        <v>1</v>
      </c>
      <c r="R184" s="490">
        <f t="shared" si="41"/>
        <v>0</v>
      </c>
      <c r="S184" s="799">
        <f t="shared" si="32"/>
        <v>0</v>
      </c>
    </row>
    <row r="185" spans="1:19">
      <c r="A185" s="956"/>
      <c r="B185" s="137"/>
      <c r="C185" s="53">
        <f t="shared" si="33"/>
        <v>1</v>
      </c>
      <c r="D185" s="954"/>
      <c r="E185" s="53">
        <f t="shared" si="34"/>
        <v>1</v>
      </c>
      <c r="F185" s="954"/>
      <c r="G185" s="53">
        <f t="shared" si="35"/>
        <v>1</v>
      </c>
      <c r="H185" s="954"/>
      <c r="I185" s="53">
        <f t="shared" si="36"/>
        <v>1</v>
      </c>
      <c r="J185" s="954"/>
      <c r="K185" s="53">
        <f t="shared" si="37"/>
        <v>1</v>
      </c>
      <c r="L185" s="954"/>
      <c r="M185" s="53">
        <f t="shared" si="38"/>
        <v>1</v>
      </c>
      <c r="N185" s="954"/>
      <c r="O185" s="53">
        <f t="shared" si="39"/>
        <v>1</v>
      </c>
      <c r="P185" s="954"/>
      <c r="Q185" s="53">
        <f t="shared" si="40"/>
        <v>1</v>
      </c>
      <c r="R185" s="490">
        <f t="shared" si="41"/>
        <v>0</v>
      </c>
      <c r="S185" s="799">
        <f t="shared" si="32"/>
        <v>0</v>
      </c>
    </row>
    <row r="186" spans="1:19">
      <c r="A186" s="956"/>
      <c r="B186" s="137"/>
      <c r="C186" s="53">
        <f t="shared" si="33"/>
        <v>1</v>
      </c>
      <c r="D186" s="954"/>
      <c r="E186" s="53">
        <f t="shared" si="34"/>
        <v>1</v>
      </c>
      <c r="F186" s="954"/>
      <c r="G186" s="53">
        <f t="shared" si="35"/>
        <v>1</v>
      </c>
      <c r="H186" s="954"/>
      <c r="I186" s="53">
        <f t="shared" si="36"/>
        <v>1</v>
      </c>
      <c r="J186" s="954"/>
      <c r="K186" s="53">
        <f t="shared" si="37"/>
        <v>1</v>
      </c>
      <c r="L186" s="954"/>
      <c r="M186" s="53">
        <f t="shared" si="38"/>
        <v>1</v>
      </c>
      <c r="N186" s="954"/>
      <c r="O186" s="53">
        <f t="shared" si="39"/>
        <v>1</v>
      </c>
      <c r="P186" s="954"/>
      <c r="Q186" s="53">
        <f t="shared" si="40"/>
        <v>1</v>
      </c>
      <c r="R186" s="490">
        <f t="shared" si="41"/>
        <v>0</v>
      </c>
      <c r="S186" s="799">
        <f t="shared" si="32"/>
        <v>0</v>
      </c>
    </row>
    <row r="187" spans="1:19">
      <c r="A187" s="956"/>
      <c r="B187" s="137"/>
      <c r="C187" s="53">
        <f t="shared" si="33"/>
        <v>1</v>
      </c>
      <c r="D187" s="954"/>
      <c r="E187" s="53">
        <f t="shared" si="34"/>
        <v>1</v>
      </c>
      <c r="F187" s="954"/>
      <c r="G187" s="53">
        <f t="shared" si="35"/>
        <v>1</v>
      </c>
      <c r="H187" s="954"/>
      <c r="I187" s="53">
        <f t="shared" si="36"/>
        <v>1</v>
      </c>
      <c r="J187" s="954"/>
      <c r="K187" s="53">
        <f t="shared" si="37"/>
        <v>1</v>
      </c>
      <c r="L187" s="954"/>
      <c r="M187" s="53">
        <f t="shared" si="38"/>
        <v>1</v>
      </c>
      <c r="N187" s="954"/>
      <c r="O187" s="53">
        <f t="shared" si="39"/>
        <v>1</v>
      </c>
      <c r="P187" s="954"/>
      <c r="Q187" s="53">
        <f t="shared" si="40"/>
        <v>1</v>
      </c>
      <c r="R187" s="490">
        <f t="shared" si="41"/>
        <v>0</v>
      </c>
      <c r="S187" s="799">
        <f t="shared" ref="S187:S222" si="42">ROUND(R187*B187/10000,0)</f>
        <v>0</v>
      </c>
    </row>
    <row r="188" spans="1:19">
      <c r="A188" s="956"/>
      <c r="B188" s="137"/>
      <c r="C188" s="53">
        <f t="shared" si="33"/>
        <v>1</v>
      </c>
      <c r="D188" s="954"/>
      <c r="E188" s="53">
        <f t="shared" si="34"/>
        <v>1</v>
      </c>
      <c r="F188" s="954"/>
      <c r="G188" s="53">
        <f t="shared" si="35"/>
        <v>1</v>
      </c>
      <c r="H188" s="954"/>
      <c r="I188" s="53">
        <f t="shared" si="36"/>
        <v>1</v>
      </c>
      <c r="J188" s="954"/>
      <c r="K188" s="53">
        <f t="shared" si="37"/>
        <v>1</v>
      </c>
      <c r="L188" s="954"/>
      <c r="M188" s="53">
        <f t="shared" si="38"/>
        <v>1</v>
      </c>
      <c r="N188" s="954"/>
      <c r="O188" s="53">
        <f t="shared" si="39"/>
        <v>1</v>
      </c>
      <c r="P188" s="954"/>
      <c r="Q188" s="53">
        <f t="shared" si="40"/>
        <v>1</v>
      </c>
      <c r="R188" s="490">
        <f t="shared" si="41"/>
        <v>0</v>
      </c>
      <c r="S188" s="799">
        <f t="shared" si="42"/>
        <v>0</v>
      </c>
    </row>
    <row r="189" spans="1:19">
      <c r="A189" s="956"/>
      <c r="B189" s="137"/>
      <c r="C189" s="53">
        <f t="shared" si="33"/>
        <v>1</v>
      </c>
      <c r="D189" s="954"/>
      <c r="E189" s="53">
        <f t="shared" si="34"/>
        <v>1</v>
      </c>
      <c r="F189" s="954"/>
      <c r="G189" s="53">
        <f t="shared" si="35"/>
        <v>1</v>
      </c>
      <c r="H189" s="954"/>
      <c r="I189" s="53">
        <f t="shared" si="36"/>
        <v>1</v>
      </c>
      <c r="J189" s="954"/>
      <c r="K189" s="53">
        <f t="shared" si="37"/>
        <v>1</v>
      </c>
      <c r="L189" s="954"/>
      <c r="M189" s="53">
        <f t="shared" si="38"/>
        <v>1</v>
      </c>
      <c r="N189" s="954"/>
      <c r="O189" s="53">
        <f t="shared" si="39"/>
        <v>1</v>
      </c>
      <c r="P189" s="954"/>
      <c r="Q189" s="53">
        <f t="shared" si="40"/>
        <v>1</v>
      </c>
      <c r="R189" s="490">
        <f t="shared" si="41"/>
        <v>0</v>
      </c>
      <c r="S189" s="799">
        <f t="shared" si="42"/>
        <v>0</v>
      </c>
    </row>
    <row r="190" spans="1:19">
      <c r="A190" s="956"/>
      <c r="B190" s="137"/>
      <c r="C190" s="53">
        <f t="shared" si="33"/>
        <v>1</v>
      </c>
      <c r="D190" s="954"/>
      <c r="E190" s="53">
        <f t="shared" si="34"/>
        <v>1</v>
      </c>
      <c r="F190" s="954"/>
      <c r="G190" s="53">
        <f t="shared" si="35"/>
        <v>1</v>
      </c>
      <c r="H190" s="954"/>
      <c r="I190" s="53">
        <f t="shared" si="36"/>
        <v>1</v>
      </c>
      <c r="J190" s="954"/>
      <c r="K190" s="53">
        <f t="shared" si="37"/>
        <v>1</v>
      </c>
      <c r="L190" s="954"/>
      <c r="M190" s="53">
        <f t="shared" si="38"/>
        <v>1</v>
      </c>
      <c r="N190" s="954"/>
      <c r="O190" s="53">
        <f t="shared" si="39"/>
        <v>1</v>
      </c>
      <c r="P190" s="954"/>
      <c r="Q190" s="53">
        <f t="shared" si="40"/>
        <v>1</v>
      </c>
      <c r="R190" s="490">
        <f t="shared" si="41"/>
        <v>0</v>
      </c>
      <c r="S190" s="799">
        <f t="shared" si="42"/>
        <v>0</v>
      </c>
    </row>
    <row r="191" spans="1:19">
      <c r="A191" s="956"/>
      <c r="B191" s="137"/>
      <c r="C191" s="53">
        <f t="shared" si="33"/>
        <v>1</v>
      </c>
      <c r="D191" s="954"/>
      <c r="E191" s="53">
        <f t="shared" si="34"/>
        <v>1</v>
      </c>
      <c r="F191" s="954"/>
      <c r="G191" s="53">
        <f t="shared" si="35"/>
        <v>1</v>
      </c>
      <c r="H191" s="954"/>
      <c r="I191" s="53">
        <f t="shared" si="36"/>
        <v>1</v>
      </c>
      <c r="J191" s="954"/>
      <c r="K191" s="53">
        <f t="shared" si="37"/>
        <v>1</v>
      </c>
      <c r="L191" s="954"/>
      <c r="M191" s="53">
        <f t="shared" si="38"/>
        <v>1</v>
      </c>
      <c r="N191" s="954"/>
      <c r="O191" s="53">
        <f t="shared" si="39"/>
        <v>1</v>
      </c>
      <c r="P191" s="954"/>
      <c r="Q191" s="53">
        <f t="shared" si="40"/>
        <v>1</v>
      </c>
      <c r="R191" s="490">
        <f t="shared" si="41"/>
        <v>0</v>
      </c>
      <c r="S191" s="799">
        <f t="shared" si="42"/>
        <v>0</v>
      </c>
    </row>
    <row r="192" spans="1:19">
      <c r="A192" s="956"/>
      <c r="B192" s="137"/>
      <c r="C192" s="53">
        <f t="shared" si="33"/>
        <v>1</v>
      </c>
      <c r="D192" s="954"/>
      <c r="E192" s="53">
        <f t="shared" si="34"/>
        <v>1</v>
      </c>
      <c r="F192" s="954"/>
      <c r="G192" s="53">
        <f t="shared" si="35"/>
        <v>1</v>
      </c>
      <c r="H192" s="954"/>
      <c r="I192" s="53">
        <f t="shared" si="36"/>
        <v>1</v>
      </c>
      <c r="J192" s="954"/>
      <c r="K192" s="53">
        <f t="shared" si="37"/>
        <v>1</v>
      </c>
      <c r="L192" s="954"/>
      <c r="M192" s="53">
        <f t="shared" si="38"/>
        <v>1</v>
      </c>
      <c r="N192" s="954"/>
      <c r="O192" s="53">
        <f t="shared" si="39"/>
        <v>1</v>
      </c>
      <c r="P192" s="954"/>
      <c r="Q192" s="53">
        <f t="shared" si="40"/>
        <v>1</v>
      </c>
      <c r="R192" s="490">
        <f t="shared" si="41"/>
        <v>0</v>
      </c>
      <c r="S192" s="799">
        <f t="shared" si="42"/>
        <v>0</v>
      </c>
    </row>
    <row r="193" spans="1:19">
      <c r="A193" s="956"/>
      <c r="B193" s="137"/>
      <c r="C193" s="53">
        <f t="shared" si="33"/>
        <v>1</v>
      </c>
      <c r="D193" s="954"/>
      <c r="E193" s="53">
        <f t="shared" si="34"/>
        <v>1</v>
      </c>
      <c r="F193" s="954"/>
      <c r="G193" s="53">
        <f t="shared" si="35"/>
        <v>1</v>
      </c>
      <c r="H193" s="954"/>
      <c r="I193" s="53">
        <f t="shared" si="36"/>
        <v>1</v>
      </c>
      <c r="J193" s="954"/>
      <c r="K193" s="53">
        <f t="shared" si="37"/>
        <v>1</v>
      </c>
      <c r="L193" s="954"/>
      <c r="M193" s="53">
        <f t="shared" si="38"/>
        <v>1</v>
      </c>
      <c r="N193" s="954"/>
      <c r="O193" s="53">
        <f t="shared" si="39"/>
        <v>1</v>
      </c>
      <c r="P193" s="954"/>
      <c r="Q193" s="53">
        <f t="shared" si="40"/>
        <v>1</v>
      </c>
      <c r="R193" s="490">
        <f t="shared" si="41"/>
        <v>0</v>
      </c>
      <c r="S193" s="799">
        <f t="shared" si="42"/>
        <v>0</v>
      </c>
    </row>
    <row r="194" spans="1:19">
      <c r="A194" s="956"/>
      <c r="B194" s="137"/>
      <c r="C194" s="53">
        <f t="shared" si="33"/>
        <v>1</v>
      </c>
      <c r="D194" s="954"/>
      <c r="E194" s="53">
        <f t="shared" si="34"/>
        <v>1</v>
      </c>
      <c r="F194" s="954"/>
      <c r="G194" s="53">
        <f t="shared" si="35"/>
        <v>1</v>
      </c>
      <c r="H194" s="954"/>
      <c r="I194" s="53">
        <f t="shared" si="36"/>
        <v>1</v>
      </c>
      <c r="J194" s="954"/>
      <c r="K194" s="53">
        <f t="shared" si="37"/>
        <v>1</v>
      </c>
      <c r="L194" s="954"/>
      <c r="M194" s="53">
        <f t="shared" si="38"/>
        <v>1</v>
      </c>
      <c r="N194" s="954"/>
      <c r="O194" s="53">
        <f t="shared" si="39"/>
        <v>1</v>
      </c>
      <c r="P194" s="954"/>
      <c r="Q194" s="53">
        <f t="shared" si="40"/>
        <v>1</v>
      </c>
      <c r="R194" s="490">
        <f t="shared" si="41"/>
        <v>0</v>
      </c>
      <c r="S194" s="799">
        <f t="shared" si="42"/>
        <v>0</v>
      </c>
    </row>
    <row r="195" spans="1:19">
      <c r="A195" s="956"/>
      <c r="B195" s="137"/>
      <c r="C195" s="53">
        <f t="shared" si="33"/>
        <v>1</v>
      </c>
      <c r="D195" s="954"/>
      <c r="E195" s="53">
        <f t="shared" si="34"/>
        <v>1</v>
      </c>
      <c r="F195" s="954"/>
      <c r="G195" s="53">
        <f t="shared" si="35"/>
        <v>1</v>
      </c>
      <c r="H195" s="954"/>
      <c r="I195" s="53">
        <f t="shared" si="36"/>
        <v>1</v>
      </c>
      <c r="J195" s="954"/>
      <c r="K195" s="53">
        <f t="shared" si="37"/>
        <v>1</v>
      </c>
      <c r="L195" s="954"/>
      <c r="M195" s="53">
        <f t="shared" si="38"/>
        <v>1</v>
      </c>
      <c r="N195" s="954"/>
      <c r="O195" s="53">
        <f t="shared" si="39"/>
        <v>1</v>
      </c>
      <c r="P195" s="954"/>
      <c r="Q195" s="53">
        <f t="shared" si="40"/>
        <v>1</v>
      </c>
      <c r="R195" s="490">
        <f t="shared" si="41"/>
        <v>0</v>
      </c>
      <c r="S195" s="799">
        <f t="shared" si="42"/>
        <v>0</v>
      </c>
    </row>
    <row r="196" spans="1:19">
      <c r="A196" s="956"/>
      <c r="B196" s="137"/>
      <c r="C196" s="53">
        <f t="shared" si="33"/>
        <v>1</v>
      </c>
      <c r="D196" s="954"/>
      <c r="E196" s="53">
        <f t="shared" si="34"/>
        <v>1</v>
      </c>
      <c r="F196" s="954"/>
      <c r="G196" s="53">
        <f t="shared" si="35"/>
        <v>1</v>
      </c>
      <c r="H196" s="954"/>
      <c r="I196" s="53">
        <f t="shared" si="36"/>
        <v>1</v>
      </c>
      <c r="J196" s="954"/>
      <c r="K196" s="53">
        <f t="shared" si="37"/>
        <v>1</v>
      </c>
      <c r="L196" s="954"/>
      <c r="M196" s="53">
        <f t="shared" si="38"/>
        <v>1</v>
      </c>
      <c r="N196" s="954"/>
      <c r="O196" s="53">
        <f t="shared" si="39"/>
        <v>1</v>
      </c>
      <c r="P196" s="954"/>
      <c r="Q196" s="53">
        <f t="shared" si="40"/>
        <v>1</v>
      </c>
      <c r="R196" s="490">
        <f t="shared" si="41"/>
        <v>0</v>
      </c>
      <c r="S196" s="799">
        <f t="shared" si="42"/>
        <v>0</v>
      </c>
    </row>
    <row r="197" spans="1:19">
      <c r="A197" s="956"/>
      <c r="B197" s="137"/>
      <c r="C197" s="53">
        <f t="shared" si="33"/>
        <v>1</v>
      </c>
      <c r="D197" s="954"/>
      <c r="E197" s="53">
        <f t="shared" si="34"/>
        <v>1</v>
      </c>
      <c r="F197" s="954"/>
      <c r="G197" s="53">
        <f t="shared" si="35"/>
        <v>1</v>
      </c>
      <c r="H197" s="954"/>
      <c r="I197" s="53">
        <f t="shared" si="36"/>
        <v>1</v>
      </c>
      <c r="J197" s="954"/>
      <c r="K197" s="53">
        <f t="shared" si="37"/>
        <v>1</v>
      </c>
      <c r="L197" s="954"/>
      <c r="M197" s="53">
        <f t="shared" si="38"/>
        <v>1</v>
      </c>
      <c r="N197" s="954"/>
      <c r="O197" s="53">
        <f t="shared" si="39"/>
        <v>1</v>
      </c>
      <c r="P197" s="954"/>
      <c r="Q197" s="53">
        <f t="shared" si="40"/>
        <v>1</v>
      </c>
      <c r="R197" s="490">
        <f t="shared" si="41"/>
        <v>0</v>
      </c>
      <c r="S197" s="799">
        <f t="shared" si="42"/>
        <v>0</v>
      </c>
    </row>
    <row r="198" spans="1:19">
      <c r="A198" s="956"/>
      <c r="B198" s="137"/>
      <c r="C198" s="53">
        <f t="shared" si="33"/>
        <v>1</v>
      </c>
      <c r="D198" s="954"/>
      <c r="E198" s="53">
        <f t="shared" si="34"/>
        <v>1</v>
      </c>
      <c r="F198" s="954"/>
      <c r="G198" s="53">
        <f t="shared" si="35"/>
        <v>1</v>
      </c>
      <c r="H198" s="954"/>
      <c r="I198" s="53">
        <f t="shared" si="36"/>
        <v>1</v>
      </c>
      <c r="J198" s="954"/>
      <c r="K198" s="53">
        <f t="shared" si="37"/>
        <v>1</v>
      </c>
      <c r="L198" s="954"/>
      <c r="M198" s="53">
        <f t="shared" si="38"/>
        <v>1</v>
      </c>
      <c r="N198" s="954"/>
      <c r="O198" s="53">
        <f t="shared" si="39"/>
        <v>1</v>
      </c>
      <c r="P198" s="954"/>
      <c r="Q198" s="53">
        <f t="shared" si="40"/>
        <v>1</v>
      </c>
      <c r="R198" s="490">
        <f t="shared" si="41"/>
        <v>0</v>
      </c>
      <c r="S198" s="799">
        <f t="shared" si="42"/>
        <v>0</v>
      </c>
    </row>
    <row r="199" spans="1:19">
      <c r="A199" s="956"/>
      <c r="B199" s="137"/>
      <c r="C199" s="53">
        <f t="shared" si="33"/>
        <v>1</v>
      </c>
      <c r="D199" s="954"/>
      <c r="E199" s="53">
        <f t="shared" si="34"/>
        <v>1</v>
      </c>
      <c r="F199" s="954"/>
      <c r="G199" s="53">
        <f t="shared" si="35"/>
        <v>1</v>
      </c>
      <c r="H199" s="954"/>
      <c r="I199" s="53">
        <f t="shared" si="36"/>
        <v>1</v>
      </c>
      <c r="J199" s="954"/>
      <c r="K199" s="53">
        <f t="shared" si="37"/>
        <v>1</v>
      </c>
      <c r="L199" s="954"/>
      <c r="M199" s="53">
        <f t="shared" si="38"/>
        <v>1</v>
      </c>
      <c r="N199" s="954"/>
      <c r="O199" s="53">
        <f t="shared" si="39"/>
        <v>1</v>
      </c>
      <c r="P199" s="954"/>
      <c r="Q199" s="53">
        <f t="shared" si="40"/>
        <v>1</v>
      </c>
      <c r="R199" s="490">
        <f t="shared" si="41"/>
        <v>0</v>
      </c>
      <c r="S199" s="799">
        <f t="shared" si="42"/>
        <v>0</v>
      </c>
    </row>
    <row r="200" spans="1:19">
      <c r="A200" s="956"/>
      <c r="B200" s="137"/>
      <c r="C200" s="53">
        <f t="shared" si="33"/>
        <v>1</v>
      </c>
      <c r="D200" s="954"/>
      <c r="E200" s="53">
        <f t="shared" si="34"/>
        <v>1</v>
      </c>
      <c r="F200" s="954"/>
      <c r="G200" s="53">
        <f t="shared" si="35"/>
        <v>1</v>
      </c>
      <c r="H200" s="954"/>
      <c r="I200" s="53">
        <f t="shared" si="36"/>
        <v>1</v>
      </c>
      <c r="J200" s="954"/>
      <c r="K200" s="53">
        <f t="shared" si="37"/>
        <v>1</v>
      </c>
      <c r="L200" s="954"/>
      <c r="M200" s="53">
        <f t="shared" si="38"/>
        <v>1</v>
      </c>
      <c r="N200" s="954"/>
      <c r="O200" s="53">
        <f t="shared" si="39"/>
        <v>1</v>
      </c>
      <c r="P200" s="954"/>
      <c r="Q200" s="53">
        <f t="shared" si="40"/>
        <v>1</v>
      </c>
      <c r="R200" s="490">
        <f t="shared" si="41"/>
        <v>0</v>
      </c>
      <c r="S200" s="799">
        <f t="shared" si="42"/>
        <v>0</v>
      </c>
    </row>
    <row r="201" spans="1:19">
      <c r="A201" s="956"/>
      <c r="B201" s="137"/>
      <c r="C201" s="53">
        <f t="shared" si="33"/>
        <v>1</v>
      </c>
      <c r="D201" s="954"/>
      <c r="E201" s="53">
        <f t="shared" si="34"/>
        <v>1</v>
      </c>
      <c r="F201" s="954"/>
      <c r="G201" s="53">
        <f t="shared" si="35"/>
        <v>1</v>
      </c>
      <c r="H201" s="954"/>
      <c r="I201" s="53">
        <f t="shared" si="36"/>
        <v>1</v>
      </c>
      <c r="J201" s="954"/>
      <c r="K201" s="53">
        <f t="shared" si="37"/>
        <v>1</v>
      </c>
      <c r="L201" s="954"/>
      <c r="M201" s="53">
        <f t="shared" si="38"/>
        <v>1</v>
      </c>
      <c r="N201" s="954"/>
      <c r="O201" s="53">
        <f t="shared" si="39"/>
        <v>1</v>
      </c>
      <c r="P201" s="954"/>
      <c r="Q201" s="53">
        <f t="shared" si="40"/>
        <v>1</v>
      </c>
      <c r="R201" s="490">
        <f t="shared" si="41"/>
        <v>0</v>
      </c>
      <c r="S201" s="799">
        <f t="shared" si="42"/>
        <v>0</v>
      </c>
    </row>
    <row r="202" spans="1:19">
      <c r="A202" s="956"/>
      <c r="B202" s="137"/>
      <c r="C202" s="53">
        <f t="shared" si="33"/>
        <v>1</v>
      </c>
      <c r="D202" s="954"/>
      <c r="E202" s="53">
        <f t="shared" si="34"/>
        <v>1</v>
      </c>
      <c r="F202" s="954"/>
      <c r="G202" s="53">
        <f t="shared" si="35"/>
        <v>1</v>
      </c>
      <c r="H202" s="954"/>
      <c r="I202" s="53">
        <f t="shared" si="36"/>
        <v>1</v>
      </c>
      <c r="J202" s="954"/>
      <c r="K202" s="53">
        <f t="shared" si="37"/>
        <v>1</v>
      </c>
      <c r="L202" s="954"/>
      <c r="M202" s="53">
        <f t="shared" si="38"/>
        <v>1</v>
      </c>
      <c r="N202" s="954"/>
      <c r="O202" s="53">
        <f t="shared" si="39"/>
        <v>1</v>
      </c>
      <c r="P202" s="954"/>
      <c r="Q202" s="53">
        <f t="shared" si="40"/>
        <v>1</v>
      </c>
      <c r="R202" s="490">
        <f t="shared" si="41"/>
        <v>0</v>
      </c>
      <c r="S202" s="799">
        <f t="shared" si="42"/>
        <v>0</v>
      </c>
    </row>
    <row r="203" spans="1:19">
      <c r="A203" s="956"/>
      <c r="B203" s="137"/>
      <c r="C203" s="53">
        <f t="shared" si="33"/>
        <v>1</v>
      </c>
      <c r="D203" s="954"/>
      <c r="E203" s="53">
        <f t="shared" si="34"/>
        <v>1</v>
      </c>
      <c r="F203" s="954"/>
      <c r="G203" s="53">
        <f t="shared" si="35"/>
        <v>1</v>
      </c>
      <c r="H203" s="954"/>
      <c r="I203" s="53">
        <f t="shared" si="36"/>
        <v>1</v>
      </c>
      <c r="J203" s="954"/>
      <c r="K203" s="53">
        <f t="shared" si="37"/>
        <v>1</v>
      </c>
      <c r="L203" s="954"/>
      <c r="M203" s="53">
        <f t="shared" si="38"/>
        <v>1</v>
      </c>
      <c r="N203" s="954"/>
      <c r="O203" s="53">
        <f t="shared" si="39"/>
        <v>1</v>
      </c>
      <c r="P203" s="954"/>
      <c r="Q203" s="53">
        <f t="shared" si="40"/>
        <v>1</v>
      </c>
      <c r="R203" s="490">
        <f t="shared" si="41"/>
        <v>0</v>
      </c>
      <c r="S203" s="799">
        <f t="shared" si="42"/>
        <v>0</v>
      </c>
    </row>
    <row r="204" spans="1:19">
      <c r="A204" s="956"/>
      <c r="B204" s="137"/>
      <c r="C204" s="53">
        <f t="shared" si="33"/>
        <v>1</v>
      </c>
      <c r="D204" s="954"/>
      <c r="E204" s="53">
        <f t="shared" si="34"/>
        <v>1</v>
      </c>
      <c r="F204" s="954"/>
      <c r="G204" s="53">
        <f t="shared" si="35"/>
        <v>1</v>
      </c>
      <c r="H204" s="954"/>
      <c r="I204" s="53">
        <f t="shared" si="36"/>
        <v>1</v>
      </c>
      <c r="J204" s="954"/>
      <c r="K204" s="53">
        <f t="shared" si="37"/>
        <v>1</v>
      </c>
      <c r="L204" s="954"/>
      <c r="M204" s="53">
        <f t="shared" si="38"/>
        <v>1</v>
      </c>
      <c r="N204" s="954"/>
      <c r="O204" s="53">
        <f t="shared" si="39"/>
        <v>1</v>
      </c>
      <c r="P204" s="954"/>
      <c r="Q204" s="53">
        <f t="shared" si="40"/>
        <v>1</v>
      </c>
      <c r="R204" s="490">
        <f t="shared" si="41"/>
        <v>0</v>
      </c>
      <c r="S204" s="799">
        <f t="shared" si="42"/>
        <v>0</v>
      </c>
    </row>
    <row r="205" spans="1:19">
      <c r="A205" s="956"/>
      <c r="B205" s="137"/>
      <c r="C205" s="53">
        <f t="shared" si="33"/>
        <v>1</v>
      </c>
      <c r="D205" s="954"/>
      <c r="E205" s="53">
        <f t="shared" si="34"/>
        <v>1</v>
      </c>
      <c r="F205" s="954"/>
      <c r="G205" s="53">
        <f t="shared" si="35"/>
        <v>1</v>
      </c>
      <c r="H205" s="954"/>
      <c r="I205" s="53">
        <f t="shared" si="36"/>
        <v>1</v>
      </c>
      <c r="J205" s="954"/>
      <c r="K205" s="53">
        <f t="shared" si="37"/>
        <v>1</v>
      </c>
      <c r="L205" s="954"/>
      <c r="M205" s="53">
        <f t="shared" si="38"/>
        <v>1</v>
      </c>
      <c r="N205" s="954"/>
      <c r="O205" s="53">
        <f t="shared" si="39"/>
        <v>1</v>
      </c>
      <c r="P205" s="954"/>
      <c r="Q205" s="53">
        <f t="shared" si="40"/>
        <v>1</v>
      </c>
      <c r="R205" s="490">
        <f t="shared" si="41"/>
        <v>0</v>
      </c>
      <c r="S205" s="799">
        <f t="shared" si="42"/>
        <v>0</v>
      </c>
    </row>
    <row r="206" spans="1:19">
      <c r="A206" s="956"/>
      <c r="B206" s="137"/>
      <c r="C206" s="53">
        <f t="shared" si="33"/>
        <v>1</v>
      </c>
      <c r="D206" s="954"/>
      <c r="E206" s="53">
        <f t="shared" si="34"/>
        <v>1</v>
      </c>
      <c r="F206" s="954"/>
      <c r="G206" s="53">
        <f t="shared" si="35"/>
        <v>1</v>
      </c>
      <c r="H206" s="954"/>
      <c r="I206" s="53">
        <f t="shared" si="36"/>
        <v>1</v>
      </c>
      <c r="J206" s="954"/>
      <c r="K206" s="53">
        <f t="shared" si="37"/>
        <v>1</v>
      </c>
      <c r="L206" s="954"/>
      <c r="M206" s="53">
        <f t="shared" si="38"/>
        <v>1</v>
      </c>
      <c r="N206" s="954"/>
      <c r="O206" s="53">
        <f t="shared" si="39"/>
        <v>1</v>
      </c>
      <c r="P206" s="954"/>
      <c r="Q206" s="53">
        <f t="shared" si="40"/>
        <v>1</v>
      </c>
      <c r="R206" s="490">
        <f t="shared" si="41"/>
        <v>0</v>
      </c>
      <c r="S206" s="799">
        <f t="shared" si="42"/>
        <v>0</v>
      </c>
    </row>
    <row r="207" spans="1:19">
      <c r="A207" s="956"/>
      <c r="B207" s="137"/>
      <c r="C207" s="53">
        <f t="shared" si="33"/>
        <v>1</v>
      </c>
      <c r="D207" s="954"/>
      <c r="E207" s="53">
        <f t="shared" si="34"/>
        <v>1</v>
      </c>
      <c r="F207" s="954"/>
      <c r="G207" s="53">
        <f t="shared" si="35"/>
        <v>1</v>
      </c>
      <c r="H207" s="954"/>
      <c r="I207" s="53">
        <f t="shared" si="36"/>
        <v>1</v>
      </c>
      <c r="J207" s="954"/>
      <c r="K207" s="53">
        <f t="shared" si="37"/>
        <v>1</v>
      </c>
      <c r="L207" s="954"/>
      <c r="M207" s="53">
        <f t="shared" si="38"/>
        <v>1</v>
      </c>
      <c r="N207" s="954"/>
      <c r="O207" s="53">
        <f t="shared" si="39"/>
        <v>1</v>
      </c>
      <c r="P207" s="954"/>
      <c r="Q207" s="53">
        <f t="shared" si="40"/>
        <v>1</v>
      </c>
      <c r="R207" s="490">
        <f t="shared" si="41"/>
        <v>0</v>
      </c>
      <c r="S207" s="799">
        <f t="shared" si="42"/>
        <v>0</v>
      </c>
    </row>
    <row r="208" spans="1:19">
      <c r="A208" s="956"/>
      <c r="B208" s="137"/>
      <c r="C208" s="53">
        <f t="shared" si="33"/>
        <v>1</v>
      </c>
      <c r="D208" s="954"/>
      <c r="E208" s="53">
        <f t="shared" si="34"/>
        <v>1</v>
      </c>
      <c r="F208" s="954"/>
      <c r="G208" s="53">
        <f t="shared" si="35"/>
        <v>1</v>
      </c>
      <c r="H208" s="954"/>
      <c r="I208" s="53">
        <f t="shared" si="36"/>
        <v>1</v>
      </c>
      <c r="J208" s="954"/>
      <c r="K208" s="53">
        <f t="shared" si="37"/>
        <v>1</v>
      </c>
      <c r="L208" s="954"/>
      <c r="M208" s="53">
        <f t="shared" si="38"/>
        <v>1</v>
      </c>
      <c r="N208" s="954"/>
      <c r="O208" s="53">
        <f t="shared" si="39"/>
        <v>1</v>
      </c>
      <c r="P208" s="954"/>
      <c r="Q208" s="53">
        <f t="shared" si="40"/>
        <v>1</v>
      </c>
      <c r="R208" s="490">
        <f t="shared" si="41"/>
        <v>0</v>
      </c>
      <c r="S208" s="799">
        <f t="shared" si="42"/>
        <v>0</v>
      </c>
    </row>
    <row r="209" spans="1:19">
      <c r="A209" s="956"/>
      <c r="B209" s="137"/>
      <c r="C209" s="53">
        <f t="shared" si="33"/>
        <v>1</v>
      </c>
      <c r="D209" s="954"/>
      <c r="E209" s="53">
        <f t="shared" si="34"/>
        <v>1</v>
      </c>
      <c r="F209" s="954"/>
      <c r="G209" s="53">
        <f t="shared" si="35"/>
        <v>1</v>
      </c>
      <c r="H209" s="954"/>
      <c r="I209" s="53">
        <f t="shared" si="36"/>
        <v>1</v>
      </c>
      <c r="J209" s="954"/>
      <c r="K209" s="53">
        <f t="shared" si="37"/>
        <v>1</v>
      </c>
      <c r="L209" s="954"/>
      <c r="M209" s="53">
        <f t="shared" si="38"/>
        <v>1</v>
      </c>
      <c r="N209" s="954"/>
      <c r="O209" s="53">
        <f t="shared" si="39"/>
        <v>1</v>
      </c>
      <c r="P209" s="954"/>
      <c r="Q209" s="53">
        <f t="shared" si="40"/>
        <v>1</v>
      </c>
      <c r="R209" s="490">
        <f t="shared" si="41"/>
        <v>0</v>
      </c>
      <c r="S209" s="799">
        <f t="shared" si="42"/>
        <v>0</v>
      </c>
    </row>
    <row r="210" spans="1:19">
      <c r="A210" s="956"/>
      <c r="B210" s="137"/>
      <c r="C210" s="53">
        <f t="shared" si="33"/>
        <v>1</v>
      </c>
      <c r="D210" s="954"/>
      <c r="E210" s="53">
        <f t="shared" si="34"/>
        <v>1</v>
      </c>
      <c r="F210" s="954"/>
      <c r="G210" s="53">
        <f t="shared" si="35"/>
        <v>1</v>
      </c>
      <c r="H210" s="954"/>
      <c r="I210" s="53">
        <f t="shared" si="36"/>
        <v>1</v>
      </c>
      <c r="J210" s="954"/>
      <c r="K210" s="53">
        <f t="shared" si="37"/>
        <v>1</v>
      </c>
      <c r="L210" s="954"/>
      <c r="M210" s="53">
        <f t="shared" si="38"/>
        <v>1</v>
      </c>
      <c r="N210" s="954"/>
      <c r="O210" s="53">
        <f t="shared" si="39"/>
        <v>1</v>
      </c>
      <c r="P210" s="954"/>
      <c r="Q210" s="53">
        <f t="shared" si="40"/>
        <v>1</v>
      </c>
      <c r="R210" s="490">
        <f t="shared" si="41"/>
        <v>0</v>
      </c>
      <c r="S210" s="799">
        <f t="shared" si="42"/>
        <v>0</v>
      </c>
    </row>
    <row r="211" spans="1:19">
      <c r="A211" s="956"/>
      <c r="B211" s="137"/>
      <c r="C211" s="53">
        <f t="shared" si="33"/>
        <v>1</v>
      </c>
      <c r="D211" s="954"/>
      <c r="E211" s="53">
        <f t="shared" si="34"/>
        <v>1</v>
      </c>
      <c r="F211" s="954"/>
      <c r="G211" s="53">
        <f t="shared" si="35"/>
        <v>1</v>
      </c>
      <c r="H211" s="954"/>
      <c r="I211" s="53">
        <f t="shared" si="36"/>
        <v>1</v>
      </c>
      <c r="J211" s="954"/>
      <c r="K211" s="53">
        <f t="shared" si="37"/>
        <v>1</v>
      </c>
      <c r="L211" s="954"/>
      <c r="M211" s="53">
        <f t="shared" si="38"/>
        <v>1</v>
      </c>
      <c r="N211" s="954"/>
      <c r="O211" s="53">
        <f t="shared" si="39"/>
        <v>1</v>
      </c>
      <c r="P211" s="954"/>
      <c r="Q211" s="53">
        <f t="shared" si="40"/>
        <v>1</v>
      </c>
      <c r="R211" s="490">
        <f t="shared" si="41"/>
        <v>0</v>
      </c>
      <c r="S211" s="799">
        <f t="shared" si="42"/>
        <v>0</v>
      </c>
    </row>
    <row r="212" spans="1:19">
      <c r="A212" s="956"/>
      <c r="B212" s="137"/>
      <c r="C212" s="53">
        <f t="shared" si="33"/>
        <v>1</v>
      </c>
      <c r="D212" s="954"/>
      <c r="E212" s="53">
        <f t="shared" si="34"/>
        <v>1</v>
      </c>
      <c r="F212" s="954"/>
      <c r="G212" s="53">
        <f t="shared" si="35"/>
        <v>1</v>
      </c>
      <c r="H212" s="954"/>
      <c r="I212" s="53">
        <f t="shared" si="36"/>
        <v>1</v>
      </c>
      <c r="J212" s="954"/>
      <c r="K212" s="53">
        <f t="shared" si="37"/>
        <v>1</v>
      </c>
      <c r="L212" s="954"/>
      <c r="M212" s="53">
        <f t="shared" si="38"/>
        <v>1</v>
      </c>
      <c r="N212" s="954"/>
      <c r="O212" s="53">
        <f t="shared" si="39"/>
        <v>1</v>
      </c>
      <c r="P212" s="954"/>
      <c r="Q212" s="53">
        <f t="shared" si="40"/>
        <v>1</v>
      </c>
      <c r="R212" s="490">
        <f t="shared" si="41"/>
        <v>0</v>
      </c>
      <c r="S212" s="799">
        <f t="shared" si="42"/>
        <v>0</v>
      </c>
    </row>
    <row r="213" spans="1:19">
      <c r="A213" s="956"/>
      <c r="B213" s="137"/>
      <c r="C213" s="53">
        <f t="shared" si="33"/>
        <v>1</v>
      </c>
      <c r="D213" s="954"/>
      <c r="E213" s="53">
        <f t="shared" si="34"/>
        <v>1</v>
      </c>
      <c r="F213" s="954"/>
      <c r="G213" s="53">
        <f t="shared" si="35"/>
        <v>1</v>
      </c>
      <c r="H213" s="954"/>
      <c r="I213" s="53">
        <f t="shared" si="36"/>
        <v>1</v>
      </c>
      <c r="J213" s="954"/>
      <c r="K213" s="53">
        <f t="shared" si="37"/>
        <v>1</v>
      </c>
      <c r="L213" s="954"/>
      <c r="M213" s="53">
        <f t="shared" si="38"/>
        <v>1</v>
      </c>
      <c r="N213" s="954"/>
      <c r="O213" s="53">
        <f t="shared" si="39"/>
        <v>1</v>
      </c>
      <c r="P213" s="954"/>
      <c r="Q213" s="53">
        <f t="shared" si="40"/>
        <v>1</v>
      </c>
      <c r="R213" s="490">
        <f t="shared" si="41"/>
        <v>0</v>
      </c>
      <c r="S213" s="799">
        <f t="shared" si="42"/>
        <v>0</v>
      </c>
    </row>
    <row r="214" spans="1:19">
      <c r="A214" s="956"/>
      <c r="B214" s="137"/>
      <c r="C214" s="53">
        <f t="shared" si="33"/>
        <v>1</v>
      </c>
      <c r="D214" s="954"/>
      <c r="E214" s="53">
        <f t="shared" si="34"/>
        <v>1</v>
      </c>
      <c r="F214" s="954"/>
      <c r="G214" s="53">
        <f t="shared" si="35"/>
        <v>1</v>
      </c>
      <c r="H214" s="954"/>
      <c r="I214" s="53">
        <f t="shared" si="36"/>
        <v>1</v>
      </c>
      <c r="J214" s="954"/>
      <c r="K214" s="53">
        <f t="shared" si="37"/>
        <v>1</v>
      </c>
      <c r="L214" s="954"/>
      <c r="M214" s="53">
        <f t="shared" si="38"/>
        <v>1</v>
      </c>
      <c r="N214" s="954"/>
      <c r="O214" s="53">
        <f t="shared" si="39"/>
        <v>1</v>
      </c>
      <c r="P214" s="954"/>
      <c r="Q214" s="53">
        <f t="shared" si="40"/>
        <v>1</v>
      </c>
      <c r="R214" s="490">
        <f t="shared" si="41"/>
        <v>0</v>
      </c>
      <c r="S214" s="799">
        <f t="shared" si="42"/>
        <v>0</v>
      </c>
    </row>
    <row r="215" spans="1:19">
      <c r="A215" s="956"/>
      <c r="B215" s="137"/>
      <c r="C215" s="53">
        <f t="shared" si="33"/>
        <v>1</v>
      </c>
      <c r="D215" s="954"/>
      <c r="E215" s="53">
        <f t="shared" si="34"/>
        <v>1</v>
      </c>
      <c r="F215" s="954"/>
      <c r="G215" s="53">
        <f t="shared" si="35"/>
        <v>1</v>
      </c>
      <c r="H215" s="954"/>
      <c r="I215" s="53">
        <f t="shared" si="36"/>
        <v>1</v>
      </c>
      <c r="J215" s="954"/>
      <c r="K215" s="53">
        <f t="shared" si="37"/>
        <v>1</v>
      </c>
      <c r="L215" s="954"/>
      <c r="M215" s="53">
        <f t="shared" si="38"/>
        <v>1</v>
      </c>
      <c r="N215" s="954"/>
      <c r="O215" s="53">
        <f t="shared" si="39"/>
        <v>1</v>
      </c>
      <c r="P215" s="954"/>
      <c r="Q215" s="53">
        <f t="shared" si="40"/>
        <v>1</v>
      </c>
      <c r="R215" s="490">
        <f t="shared" si="41"/>
        <v>0</v>
      </c>
      <c r="S215" s="799">
        <f t="shared" si="42"/>
        <v>0</v>
      </c>
    </row>
    <row r="216" spans="1:19">
      <c r="A216" s="956"/>
      <c r="B216" s="137"/>
      <c r="C216" s="53">
        <f t="shared" si="33"/>
        <v>1</v>
      </c>
      <c r="D216" s="954"/>
      <c r="E216" s="53">
        <f t="shared" si="34"/>
        <v>1</v>
      </c>
      <c r="F216" s="954"/>
      <c r="G216" s="53">
        <f t="shared" si="35"/>
        <v>1</v>
      </c>
      <c r="H216" s="954"/>
      <c r="I216" s="53">
        <f t="shared" si="36"/>
        <v>1</v>
      </c>
      <c r="J216" s="954"/>
      <c r="K216" s="53">
        <f t="shared" si="37"/>
        <v>1</v>
      </c>
      <c r="L216" s="954"/>
      <c r="M216" s="53">
        <f t="shared" si="38"/>
        <v>1</v>
      </c>
      <c r="N216" s="954"/>
      <c r="O216" s="53">
        <f t="shared" si="39"/>
        <v>1</v>
      </c>
      <c r="P216" s="954"/>
      <c r="Q216" s="53">
        <f t="shared" si="40"/>
        <v>1</v>
      </c>
      <c r="R216" s="490">
        <f t="shared" si="41"/>
        <v>0</v>
      </c>
      <c r="S216" s="799">
        <f t="shared" si="42"/>
        <v>0</v>
      </c>
    </row>
    <row r="217" spans="1:19">
      <c r="A217" s="956"/>
      <c r="B217" s="137"/>
      <c r="C217" s="53">
        <f t="shared" si="33"/>
        <v>1</v>
      </c>
      <c r="D217" s="954"/>
      <c r="E217" s="53">
        <f t="shared" si="34"/>
        <v>1</v>
      </c>
      <c r="F217" s="954"/>
      <c r="G217" s="53">
        <f t="shared" si="35"/>
        <v>1</v>
      </c>
      <c r="H217" s="954"/>
      <c r="I217" s="53">
        <f t="shared" si="36"/>
        <v>1</v>
      </c>
      <c r="J217" s="954"/>
      <c r="K217" s="53">
        <f t="shared" si="37"/>
        <v>1</v>
      </c>
      <c r="L217" s="954"/>
      <c r="M217" s="53">
        <f t="shared" si="38"/>
        <v>1</v>
      </c>
      <c r="N217" s="954"/>
      <c r="O217" s="53">
        <f t="shared" si="39"/>
        <v>1</v>
      </c>
      <c r="P217" s="954"/>
      <c r="Q217" s="53">
        <f t="shared" si="40"/>
        <v>1</v>
      </c>
      <c r="R217" s="490">
        <f t="shared" si="41"/>
        <v>0</v>
      </c>
      <c r="S217" s="799">
        <f t="shared" si="42"/>
        <v>0</v>
      </c>
    </row>
    <row r="218" spans="1:19">
      <c r="A218" s="956"/>
      <c r="B218" s="137"/>
      <c r="C218" s="53">
        <f t="shared" ref="C218:C281" si="43">IF(B218="",1,(LOOKUP(B218,$3:$3,$4:$4)-LOOKUP($B$24,$3:$3,$4:$4)+100)/100)</f>
        <v>1</v>
      </c>
      <c r="D218" s="954"/>
      <c r="E218" s="53">
        <f t="shared" ref="E218:E281" si="44">(SUMIF($5:$5,D218,$6:$6)-SUMIF($5:$5,$D$24,$6:$6)+100)/100</f>
        <v>1</v>
      </c>
      <c r="F218" s="954"/>
      <c r="G218" s="53">
        <f t="shared" ref="G218:G281" si="45">(SUMIF($7:$7,F218,$8:$8)-SUMIF($7:$7,$F$24,$8:$8)+100)/100</f>
        <v>1</v>
      </c>
      <c r="H218" s="954"/>
      <c r="I218" s="53">
        <f t="shared" ref="I218:I281" si="46">(SUMIF($9:$9,H218,$10:$10)-SUMIF($9:$9,$H$24,$10:$10)+100)/100</f>
        <v>1</v>
      </c>
      <c r="J218" s="954"/>
      <c r="K218" s="53">
        <f t="shared" ref="K218:K281" si="47">(SUMIF($11:$11,J218,$12:$12)-SUMIF($11:$11,$J$24,$12:$12)+100)/100</f>
        <v>1</v>
      </c>
      <c r="L218" s="954"/>
      <c r="M218" s="53">
        <f t="shared" ref="M218:M281" si="48">(SUMIF($13:$13,L218,$14:$14)-SUMIF($13:$13,$L$24,$14:$14)+100)/100</f>
        <v>1</v>
      </c>
      <c r="N218" s="954"/>
      <c r="O218" s="53">
        <f t="shared" ref="O218:O281" si="49">(SUMIF($15:$15,N218,$16:$16)-SUMIF($15:$15,$N$24,$16:$16)+100)/100</f>
        <v>1</v>
      </c>
      <c r="P218" s="954"/>
      <c r="Q218" s="53">
        <f t="shared" ref="Q218:Q281" si="50">(SUMIF($17:$17,P218,$18:$18)-SUMIF($17:$17,$P$24,$18:$18)+100)/100</f>
        <v>1</v>
      </c>
      <c r="R218" s="490">
        <f t="shared" ref="R218:R281" si="51">IF(B218="",0,ROUND($R$24*C218*E218*G218*I218*K218*M218*O218*Q218,0))</f>
        <v>0</v>
      </c>
      <c r="S218" s="799">
        <f t="shared" si="42"/>
        <v>0</v>
      </c>
    </row>
    <row r="219" spans="1:19">
      <c r="A219" s="956"/>
      <c r="B219" s="137"/>
      <c r="C219" s="53">
        <f t="shared" si="43"/>
        <v>1</v>
      </c>
      <c r="D219" s="954"/>
      <c r="E219" s="53">
        <f t="shared" si="44"/>
        <v>1</v>
      </c>
      <c r="F219" s="954"/>
      <c r="G219" s="53">
        <f t="shared" si="45"/>
        <v>1</v>
      </c>
      <c r="H219" s="954"/>
      <c r="I219" s="53">
        <f t="shared" si="46"/>
        <v>1</v>
      </c>
      <c r="J219" s="954"/>
      <c r="K219" s="53">
        <f t="shared" si="47"/>
        <v>1</v>
      </c>
      <c r="L219" s="954"/>
      <c r="M219" s="53">
        <f t="shared" si="48"/>
        <v>1</v>
      </c>
      <c r="N219" s="954"/>
      <c r="O219" s="53">
        <f t="shared" si="49"/>
        <v>1</v>
      </c>
      <c r="P219" s="954"/>
      <c r="Q219" s="53">
        <f t="shared" si="50"/>
        <v>1</v>
      </c>
      <c r="R219" s="490">
        <f t="shared" si="51"/>
        <v>0</v>
      </c>
      <c r="S219" s="799">
        <f t="shared" si="42"/>
        <v>0</v>
      </c>
    </row>
    <row r="220" spans="1:19">
      <c r="A220" s="956"/>
      <c r="B220" s="137"/>
      <c r="C220" s="53">
        <f t="shared" si="43"/>
        <v>1</v>
      </c>
      <c r="D220" s="954"/>
      <c r="E220" s="53">
        <f t="shared" si="44"/>
        <v>1</v>
      </c>
      <c r="F220" s="954"/>
      <c r="G220" s="53">
        <f t="shared" si="45"/>
        <v>1</v>
      </c>
      <c r="H220" s="954"/>
      <c r="I220" s="53">
        <f t="shared" si="46"/>
        <v>1</v>
      </c>
      <c r="J220" s="954"/>
      <c r="K220" s="53">
        <f t="shared" si="47"/>
        <v>1</v>
      </c>
      <c r="L220" s="954"/>
      <c r="M220" s="53">
        <f t="shared" si="48"/>
        <v>1</v>
      </c>
      <c r="N220" s="954"/>
      <c r="O220" s="53">
        <f t="shared" si="49"/>
        <v>1</v>
      </c>
      <c r="P220" s="954"/>
      <c r="Q220" s="53">
        <f t="shared" si="50"/>
        <v>1</v>
      </c>
      <c r="R220" s="490">
        <f t="shared" si="51"/>
        <v>0</v>
      </c>
      <c r="S220" s="799">
        <f t="shared" si="42"/>
        <v>0</v>
      </c>
    </row>
    <row r="221" spans="1:19">
      <c r="A221" s="956"/>
      <c r="B221" s="137"/>
      <c r="C221" s="53">
        <f t="shared" si="43"/>
        <v>1</v>
      </c>
      <c r="D221" s="954"/>
      <c r="E221" s="53">
        <f t="shared" si="44"/>
        <v>1</v>
      </c>
      <c r="F221" s="954"/>
      <c r="G221" s="53">
        <f t="shared" si="45"/>
        <v>1</v>
      </c>
      <c r="H221" s="954"/>
      <c r="I221" s="53">
        <f t="shared" si="46"/>
        <v>1</v>
      </c>
      <c r="J221" s="954"/>
      <c r="K221" s="53">
        <f t="shared" si="47"/>
        <v>1</v>
      </c>
      <c r="L221" s="954"/>
      <c r="M221" s="53">
        <f t="shared" si="48"/>
        <v>1</v>
      </c>
      <c r="N221" s="954"/>
      <c r="O221" s="53">
        <f t="shared" si="49"/>
        <v>1</v>
      </c>
      <c r="P221" s="954"/>
      <c r="Q221" s="53">
        <f t="shared" si="50"/>
        <v>1</v>
      </c>
      <c r="R221" s="490">
        <f t="shared" si="51"/>
        <v>0</v>
      </c>
      <c r="S221" s="799">
        <f t="shared" si="42"/>
        <v>0</v>
      </c>
    </row>
    <row r="222" spans="1:19">
      <c r="A222" s="956"/>
      <c r="B222" s="137"/>
      <c r="C222" s="53">
        <f t="shared" si="43"/>
        <v>1</v>
      </c>
      <c r="D222" s="954"/>
      <c r="E222" s="53">
        <f t="shared" si="44"/>
        <v>1</v>
      </c>
      <c r="F222" s="954"/>
      <c r="G222" s="53">
        <f t="shared" si="45"/>
        <v>1</v>
      </c>
      <c r="H222" s="954"/>
      <c r="I222" s="53">
        <f t="shared" si="46"/>
        <v>1</v>
      </c>
      <c r="J222" s="954"/>
      <c r="K222" s="53">
        <f t="shared" si="47"/>
        <v>1</v>
      </c>
      <c r="L222" s="954"/>
      <c r="M222" s="53">
        <f t="shared" si="48"/>
        <v>1</v>
      </c>
      <c r="N222" s="954"/>
      <c r="O222" s="53">
        <f t="shared" si="49"/>
        <v>1</v>
      </c>
      <c r="P222" s="954"/>
      <c r="Q222" s="53">
        <f t="shared" si="50"/>
        <v>1</v>
      </c>
      <c r="R222" s="490">
        <f t="shared" si="51"/>
        <v>0</v>
      </c>
      <c r="S222" s="799">
        <f t="shared" si="42"/>
        <v>0</v>
      </c>
    </row>
    <row r="223" spans="1:19">
      <c r="A223" s="956"/>
      <c r="B223" s="137"/>
      <c r="C223" s="53">
        <f t="shared" si="43"/>
        <v>1</v>
      </c>
      <c r="D223" s="954"/>
      <c r="E223" s="53">
        <f t="shared" si="44"/>
        <v>1</v>
      </c>
      <c r="F223" s="954"/>
      <c r="G223" s="53">
        <f t="shared" si="45"/>
        <v>1</v>
      </c>
      <c r="H223" s="954"/>
      <c r="I223" s="53">
        <f t="shared" si="46"/>
        <v>1</v>
      </c>
      <c r="J223" s="954"/>
      <c r="K223" s="53">
        <f t="shared" si="47"/>
        <v>1</v>
      </c>
      <c r="L223" s="954"/>
      <c r="M223" s="53">
        <f t="shared" si="48"/>
        <v>1</v>
      </c>
      <c r="N223" s="954"/>
      <c r="O223" s="53">
        <f t="shared" si="49"/>
        <v>1</v>
      </c>
      <c r="P223" s="954"/>
      <c r="Q223" s="53">
        <f t="shared" si="50"/>
        <v>1</v>
      </c>
      <c r="R223" s="490">
        <f t="shared" si="51"/>
        <v>0</v>
      </c>
      <c r="S223" s="799">
        <f t="shared" ref="S223:S286" si="52">ROUND(R223*B223/10000,0)</f>
        <v>0</v>
      </c>
    </row>
    <row r="224" spans="1:19">
      <c r="A224" s="956"/>
      <c r="B224" s="137"/>
      <c r="C224" s="53">
        <f t="shared" si="43"/>
        <v>1</v>
      </c>
      <c r="D224" s="954"/>
      <c r="E224" s="53">
        <f t="shared" si="44"/>
        <v>1</v>
      </c>
      <c r="F224" s="954"/>
      <c r="G224" s="53">
        <f t="shared" si="45"/>
        <v>1</v>
      </c>
      <c r="H224" s="954"/>
      <c r="I224" s="53">
        <f t="shared" si="46"/>
        <v>1</v>
      </c>
      <c r="J224" s="954"/>
      <c r="K224" s="53">
        <f t="shared" si="47"/>
        <v>1</v>
      </c>
      <c r="L224" s="954"/>
      <c r="M224" s="53">
        <f t="shared" si="48"/>
        <v>1</v>
      </c>
      <c r="N224" s="954"/>
      <c r="O224" s="53">
        <f t="shared" si="49"/>
        <v>1</v>
      </c>
      <c r="P224" s="954"/>
      <c r="Q224" s="53">
        <f t="shared" si="50"/>
        <v>1</v>
      </c>
      <c r="R224" s="490">
        <f t="shared" si="51"/>
        <v>0</v>
      </c>
      <c r="S224" s="799">
        <f t="shared" si="52"/>
        <v>0</v>
      </c>
    </row>
    <row r="225" spans="1:19">
      <c r="A225" s="956"/>
      <c r="B225" s="137"/>
      <c r="C225" s="53">
        <f t="shared" si="43"/>
        <v>1</v>
      </c>
      <c r="D225" s="954"/>
      <c r="E225" s="53">
        <f t="shared" si="44"/>
        <v>1</v>
      </c>
      <c r="F225" s="954"/>
      <c r="G225" s="53">
        <f t="shared" si="45"/>
        <v>1</v>
      </c>
      <c r="H225" s="954"/>
      <c r="I225" s="53">
        <f t="shared" si="46"/>
        <v>1</v>
      </c>
      <c r="J225" s="954"/>
      <c r="K225" s="53">
        <f t="shared" si="47"/>
        <v>1</v>
      </c>
      <c r="L225" s="954"/>
      <c r="M225" s="53">
        <f t="shared" si="48"/>
        <v>1</v>
      </c>
      <c r="N225" s="954"/>
      <c r="O225" s="53">
        <f t="shared" si="49"/>
        <v>1</v>
      </c>
      <c r="P225" s="954"/>
      <c r="Q225" s="53">
        <f t="shared" si="50"/>
        <v>1</v>
      </c>
      <c r="R225" s="490">
        <f t="shared" si="51"/>
        <v>0</v>
      </c>
      <c r="S225" s="799">
        <f t="shared" si="52"/>
        <v>0</v>
      </c>
    </row>
    <row r="226" spans="1:19">
      <c r="A226" s="956"/>
      <c r="B226" s="137"/>
      <c r="C226" s="53">
        <f t="shared" si="43"/>
        <v>1</v>
      </c>
      <c r="D226" s="954"/>
      <c r="E226" s="53">
        <f t="shared" si="44"/>
        <v>1</v>
      </c>
      <c r="F226" s="954"/>
      <c r="G226" s="53">
        <f t="shared" si="45"/>
        <v>1</v>
      </c>
      <c r="H226" s="954"/>
      <c r="I226" s="53">
        <f t="shared" si="46"/>
        <v>1</v>
      </c>
      <c r="J226" s="954"/>
      <c r="K226" s="53">
        <f t="shared" si="47"/>
        <v>1</v>
      </c>
      <c r="L226" s="954"/>
      <c r="M226" s="53">
        <f t="shared" si="48"/>
        <v>1</v>
      </c>
      <c r="N226" s="954"/>
      <c r="O226" s="53">
        <f t="shared" si="49"/>
        <v>1</v>
      </c>
      <c r="P226" s="954"/>
      <c r="Q226" s="53">
        <f t="shared" si="50"/>
        <v>1</v>
      </c>
      <c r="R226" s="490">
        <f t="shared" si="51"/>
        <v>0</v>
      </c>
      <c r="S226" s="799">
        <f t="shared" si="52"/>
        <v>0</v>
      </c>
    </row>
    <row r="227" spans="1:19">
      <c r="A227" s="956"/>
      <c r="B227" s="137"/>
      <c r="C227" s="53">
        <f t="shared" si="43"/>
        <v>1</v>
      </c>
      <c r="D227" s="954"/>
      <c r="E227" s="53">
        <f t="shared" si="44"/>
        <v>1</v>
      </c>
      <c r="F227" s="954"/>
      <c r="G227" s="53">
        <f t="shared" si="45"/>
        <v>1</v>
      </c>
      <c r="H227" s="954"/>
      <c r="I227" s="53">
        <f t="shared" si="46"/>
        <v>1</v>
      </c>
      <c r="J227" s="954"/>
      <c r="K227" s="53">
        <f t="shared" si="47"/>
        <v>1</v>
      </c>
      <c r="L227" s="954"/>
      <c r="M227" s="53">
        <f t="shared" si="48"/>
        <v>1</v>
      </c>
      <c r="N227" s="954"/>
      <c r="O227" s="53">
        <f t="shared" si="49"/>
        <v>1</v>
      </c>
      <c r="P227" s="954"/>
      <c r="Q227" s="53">
        <f t="shared" si="50"/>
        <v>1</v>
      </c>
      <c r="R227" s="490">
        <f t="shared" si="51"/>
        <v>0</v>
      </c>
      <c r="S227" s="799">
        <f t="shared" si="52"/>
        <v>0</v>
      </c>
    </row>
    <row r="228" spans="1:19">
      <c r="A228" s="956"/>
      <c r="B228" s="137"/>
      <c r="C228" s="53">
        <f t="shared" si="43"/>
        <v>1</v>
      </c>
      <c r="D228" s="954"/>
      <c r="E228" s="53">
        <f t="shared" si="44"/>
        <v>1</v>
      </c>
      <c r="F228" s="954"/>
      <c r="G228" s="53">
        <f t="shared" si="45"/>
        <v>1</v>
      </c>
      <c r="H228" s="954"/>
      <c r="I228" s="53">
        <f t="shared" si="46"/>
        <v>1</v>
      </c>
      <c r="J228" s="954"/>
      <c r="K228" s="53">
        <f t="shared" si="47"/>
        <v>1</v>
      </c>
      <c r="L228" s="954"/>
      <c r="M228" s="53">
        <f t="shared" si="48"/>
        <v>1</v>
      </c>
      <c r="N228" s="954"/>
      <c r="O228" s="53">
        <f t="shared" si="49"/>
        <v>1</v>
      </c>
      <c r="P228" s="954"/>
      <c r="Q228" s="53">
        <f t="shared" si="50"/>
        <v>1</v>
      </c>
      <c r="R228" s="490">
        <f t="shared" si="51"/>
        <v>0</v>
      </c>
      <c r="S228" s="799">
        <f t="shared" si="52"/>
        <v>0</v>
      </c>
    </row>
    <row r="229" spans="1:19">
      <c r="A229" s="956"/>
      <c r="B229" s="137"/>
      <c r="C229" s="53">
        <f t="shared" si="43"/>
        <v>1</v>
      </c>
      <c r="D229" s="954"/>
      <c r="E229" s="53">
        <f t="shared" si="44"/>
        <v>1</v>
      </c>
      <c r="F229" s="954"/>
      <c r="G229" s="53">
        <f t="shared" si="45"/>
        <v>1</v>
      </c>
      <c r="H229" s="954"/>
      <c r="I229" s="53">
        <f t="shared" si="46"/>
        <v>1</v>
      </c>
      <c r="J229" s="954"/>
      <c r="K229" s="53">
        <f t="shared" si="47"/>
        <v>1</v>
      </c>
      <c r="L229" s="954"/>
      <c r="M229" s="53">
        <f t="shared" si="48"/>
        <v>1</v>
      </c>
      <c r="N229" s="954"/>
      <c r="O229" s="53">
        <f t="shared" si="49"/>
        <v>1</v>
      </c>
      <c r="P229" s="954"/>
      <c r="Q229" s="53">
        <f t="shared" si="50"/>
        <v>1</v>
      </c>
      <c r="R229" s="490">
        <f t="shared" si="51"/>
        <v>0</v>
      </c>
      <c r="S229" s="799">
        <f t="shared" si="52"/>
        <v>0</v>
      </c>
    </row>
    <row r="230" spans="1:19">
      <c r="A230" s="956"/>
      <c r="B230" s="137"/>
      <c r="C230" s="53">
        <f t="shared" si="43"/>
        <v>1</v>
      </c>
      <c r="D230" s="954"/>
      <c r="E230" s="53">
        <f t="shared" si="44"/>
        <v>1</v>
      </c>
      <c r="F230" s="954"/>
      <c r="G230" s="53">
        <f t="shared" si="45"/>
        <v>1</v>
      </c>
      <c r="H230" s="954"/>
      <c r="I230" s="53">
        <f t="shared" si="46"/>
        <v>1</v>
      </c>
      <c r="J230" s="954"/>
      <c r="K230" s="53">
        <f t="shared" si="47"/>
        <v>1</v>
      </c>
      <c r="L230" s="954"/>
      <c r="M230" s="53">
        <f t="shared" si="48"/>
        <v>1</v>
      </c>
      <c r="N230" s="954"/>
      <c r="O230" s="53">
        <f t="shared" si="49"/>
        <v>1</v>
      </c>
      <c r="P230" s="954"/>
      <c r="Q230" s="53">
        <f t="shared" si="50"/>
        <v>1</v>
      </c>
      <c r="R230" s="490">
        <f t="shared" si="51"/>
        <v>0</v>
      </c>
      <c r="S230" s="799">
        <f t="shared" si="52"/>
        <v>0</v>
      </c>
    </row>
    <row r="231" spans="1:19">
      <c r="A231" s="956"/>
      <c r="B231" s="137"/>
      <c r="C231" s="53">
        <f t="shared" si="43"/>
        <v>1</v>
      </c>
      <c r="D231" s="954"/>
      <c r="E231" s="53">
        <f t="shared" si="44"/>
        <v>1</v>
      </c>
      <c r="F231" s="954"/>
      <c r="G231" s="53">
        <f t="shared" si="45"/>
        <v>1</v>
      </c>
      <c r="H231" s="954"/>
      <c r="I231" s="53">
        <f t="shared" si="46"/>
        <v>1</v>
      </c>
      <c r="J231" s="954"/>
      <c r="K231" s="53">
        <f t="shared" si="47"/>
        <v>1</v>
      </c>
      <c r="L231" s="954"/>
      <c r="M231" s="53">
        <f t="shared" si="48"/>
        <v>1</v>
      </c>
      <c r="N231" s="954"/>
      <c r="O231" s="53">
        <f t="shared" si="49"/>
        <v>1</v>
      </c>
      <c r="P231" s="954"/>
      <c r="Q231" s="53">
        <f t="shared" si="50"/>
        <v>1</v>
      </c>
      <c r="R231" s="490">
        <f t="shared" si="51"/>
        <v>0</v>
      </c>
      <c r="S231" s="799">
        <f t="shared" si="52"/>
        <v>0</v>
      </c>
    </row>
    <row r="232" spans="1:19">
      <c r="A232" s="956"/>
      <c r="B232" s="137"/>
      <c r="C232" s="53">
        <f t="shared" si="43"/>
        <v>1</v>
      </c>
      <c r="D232" s="954"/>
      <c r="E232" s="53">
        <f t="shared" si="44"/>
        <v>1</v>
      </c>
      <c r="F232" s="954"/>
      <c r="G232" s="53">
        <f t="shared" si="45"/>
        <v>1</v>
      </c>
      <c r="H232" s="954"/>
      <c r="I232" s="53">
        <f t="shared" si="46"/>
        <v>1</v>
      </c>
      <c r="J232" s="954"/>
      <c r="K232" s="53">
        <f t="shared" si="47"/>
        <v>1</v>
      </c>
      <c r="L232" s="954"/>
      <c r="M232" s="53">
        <f t="shared" si="48"/>
        <v>1</v>
      </c>
      <c r="N232" s="954"/>
      <c r="O232" s="53">
        <f t="shared" si="49"/>
        <v>1</v>
      </c>
      <c r="P232" s="954"/>
      <c r="Q232" s="53">
        <f t="shared" si="50"/>
        <v>1</v>
      </c>
      <c r="R232" s="490">
        <f t="shared" si="51"/>
        <v>0</v>
      </c>
      <c r="S232" s="799">
        <f t="shared" si="52"/>
        <v>0</v>
      </c>
    </row>
    <row r="233" spans="1:19">
      <c r="A233" s="956"/>
      <c r="B233" s="137"/>
      <c r="C233" s="53">
        <f t="shared" si="43"/>
        <v>1</v>
      </c>
      <c r="D233" s="954"/>
      <c r="E233" s="53">
        <f t="shared" si="44"/>
        <v>1</v>
      </c>
      <c r="F233" s="954"/>
      <c r="G233" s="53">
        <f t="shared" si="45"/>
        <v>1</v>
      </c>
      <c r="H233" s="954"/>
      <c r="I233" s="53">
        <f t="shared" si="46"/>
        <v>1</v>
      </c>
      <c r="J233" s="954"/>
      <c r="K233" s="53">
        <f t="shared" si="47"/>
        <v>1</v>
      </c>
      <c r="L233" s="954"/>
      <c r="M233" s="53">
        <f t="shared" si="48"/>
        <v>1</v>
      </c>
      <c r="N233" s="954"/>
      <c r="O233" s="53">
        <f t="shared" si="49"/>
        <v>1</v>
      </c>
      <c r="P233" s="954"/>
      <c r="Q233" s="53">
        <f t="shared" si="50"/>
        <v>1</v>
      </c>
      <c r="R233" s="490">
        <f t="shared" si="51"/>
        <v>0</v>
      </c>
      <c r="S233" s="799">
        <f t="shared" si="52"/>
        <v>0</v>
      </c>
    </row>
    <row r="234" spans="1:19">
      <c r="A234" s="956"/>
      <c r="B234" s="137"/>
      <c r="C234" s="53">
        <f t="shared" si="43"/>
        <v>1</v>
      </c>
      <c r="D234" s="954"/>
      <c r="E234" s="53">
        <f t="shared" si="44"/>
        <v>1</v>
      </c>
      <c r="F234" s="954"/>
      <c r="G234" s="53">
        <f t="shared" si="45"/>
        <v>1</v>
      </c>
      <c r="H234" s="954"/>
      <c r="I234" s="53">
        <f t="shared" si="46"/>
        <v>1</v>
      </c>
      <c r="J234" s="954"/>
      <c r="K234" s="53">
        <f t="shared" si="47"/>
        <v>1</v>
      </c>
      <c r="L234" s="954"/>
      <c r="M234" s="53">
        <f t="shared" si="48"/>
        <v>1</v>
      </c>
      <c r="N234" s="954"/>
      <c r="O234" s="53">
        <f t="shared" si="49"/>
        <v>1</v>
      </c>
      <c r="P234" s="954"/>
      <c r="Q234" s="53">
        <f t="shared" si="50"/>
        <v>1</v>
      </c>
      <c r="R234" s="490">
        <f t="shared" si="51"/>
        <v>0</v>
      </c>
      <c r="S234" s="799">
        <f t="shared" si="52"/>
        <v>0</v>
      </c>
    </row>
    <row r="235" spans="1:19">
      <c r="A235" s="956"/>
      <c r="B235" s="137"/>
      <c r="C235" s="53">
        <f t="shared" si="43"/>
        <v>1</v>
      </c>
      <c r="D235" s="954"/>
      <c r="E235" s="53">
        <f t="shared" si="44"/>
        <v>1</v>
      </c>
      <c r="F235" s="954"/>
      <c r="G235" s="53">
        <f t="shared" si="45"/>
        <v>1</v>
      </c>
      <c r="H235" s="954"/>
      <c r="I235" s="53">
        <f t="shared" si="46"/>
        <v>1</v>
      </c>
      <c r="J235" s="954"/>
      <c r="K235" s="53">
        <f t="shared" si="47"/>
        <v>1</v>
      </c>
      <c r="L235" s="954"/>
      <c r="M235" s="53">
        <f t="shared" si="48"/>
        <v>1</v>
      </c>
      <c r="N235" s="954"/>
      <c r="O235" s="53">
        <f t="shared" si="49"/>
        <v>1</v>
      </c>
      <c r="P235" s="954"/>
      <c r="Q235" s="53">
        <f t="shared" si="50"/>
        <v>1</v>
      </c>
      <c r="R235" s="490">
        <f t="shared" si="51"/>
        <v>0</v>
      </c>
      <c r="S235" s="799">
        <f t="shared" si="52"/>
        <v>0</v>
      </c>
    </row>
    <row r="236" spans="1:19">
      <c r="A236" s="956"/>
      <c r="B236" s="137"/>
      <c r="C236" s="53">
        <f t="shared" si="43"/>
        <v>1</v>
      </c>
      <c r="D236" s="954"/>
      <c r="E236" s="53">
        <f t="shared" si="44"/>
        <v>1</v>
      </c>
      <c r="F236" s="954"/>
      <c r="G236" s="53">
        <f t="shared" si="45"/>
        <v>1</v>
      </c>
      <c r="H236" s="954"/>
      <c r="I236" s="53">
        <f t="shared" si="46"/>
        <v>1</v>
      </c>
      <c r="J236" s="954"/>
      <c r="K236" s="53">
        <f t="shared" si="47"/>
        <v>1</v>
      </c>
      <c r="L236" s="954"/>
      <c r="M236" s="53">
        <f t="shared" si="48"/>
        <v>1</v>
      </c>
      <c r="N236" s="954"/>
      <c r="O236" s="53">
        <f t="shared" si="49"/>
        <v>1</v>
      </c>
      <c r="P236" s="954"/>
      <c r="Q236" s="53">
        <f t="shared" si="50"/>
        <v>1</v>
      </c>
      <c r="R236" s="490">
        <f t="shared" si="51"/>
        <v>0</v>
      </c>
      <c r="S236" s="799">
        <f t="shared" si="52"/>
        <v>0</v>
      </c>
    </row>
    <row r="237" spans="1:19">
      <c r="A237" s="956"/>
      <c r="B237" s="137"/>
      <c r="C237" s="53">
        <f t="shared" si="43"/>
        <v>1</v>
      </c>
      <c r="D237" s="954"/>
      <c r="E237" s="53">
        <f t="shared" si="44"/>
        <v>1</v>
      </c>
      <c r="F237" s="954"/>
      <c r="G237" s="53">
        <f t="shared" si="45"/>
        <v>1</v>
      </c>
      <c r="H237" s="954"/>
      <c r="I237" s="53">
        <f t="shared" si="46"/>
        <v>1</v>
      </c>
      <c r="J237" s="954"/>
      <c r="K237" s="53">
        <f t="shared" si="47"/>
        <v>1</v>
      </c>
      <c r="L237" s="954"/>
      <c r="M237" s="53">
        <f t="shared" si="48"/>
        <v>1</v>
      </c>
      <c r="N237" s="954"/>
      <c r="O237" s="53">
        <f t="shared" si="49"/>
        <v>1</v>
      </c>
      <c r="P237" s="954"/>
      <c r="Q237" s="53">
        <f t="shared" si="50"/>
        <v>1</v>
      </c>
      <c r="R237" s="490">
        <f t="shared" si="51"/>
        <v>0</v>
      </c>
      <c r="S237" s="799">
        <f t="shared" si="52"/>
        <v>0</v>
      </c>
    </row>
    <row r="238" spans="1:19">
      <c r="A238" s="956"/>
      <c r="B238" s="137"/>
      <c r="C238" s="53">
        <f t="shared" si="43"/>
        <v>1</v>
      </c>
      <c r="D238" s="954"/>
      <c r="E238" s="53">
        <f t="shared" si="44"/>
        <v>1</v>
      </c>
      <c r="F238" s="954"/>
      <c r="G238" s="53">
        <f t="shared" si="45"/>
        <v>1</v>
      </c>
      <c r="H238" s="954"/>
      <c r="I238" s="53">
        <f t="shared" si="46"/>
        <v>1</v>
      </c>
      <c r="J238" s="954"/>
      <c r="K238" s="53">
        <f t="shared" si="47"/>
        <v>1</v>
      </c>
      <c r="L238" s="954"/>
      <c r="M238" s="53">
        <f t="shared" si="48"/>
        <v>1</v>
      </c>
      <c r="N238" s="954"/>
      <c r="O238" s="53">
        <f t="shared" si="49"/>
        <v>1</v>
      </c>
      <c r="P238" s="954"/>
      <c r="Q238" s="53">
        <f t="shared" si="50"/>
        <v>1</v>
      </c>
      <c r="R238" s="490">
        <f t="shared" si="51"/>
        <v>0</v>
      </c>
      <c r="S238" s="799">
        <f t="shared" si="52"/>
        <v>0</v>
      </c>
    </row>
    <row r="239" spans="1:19">
      <c r="A239" s="956"/>
      <c r="B239" s="137"/>
      <c r="C239" s="53">
        <f t="shared" si="43"/>
        <v>1</v>
      </c>
      <c r="D239" s="954"/>
      <c r="E239" s="53">
        <f t="shared" si="44"/>
        <v>1</v>
      </c>
      <c r="F239" s="954"/>
      <c r="G239" s="53">
        <f t="shared" si="45"/>
        <v>1</v>
      </c>
      <c r="H239" s="954"/>
      <c r="I239" s="53">
        <f t="shared" si="46"/>
        <v>1</v>
      </c>
      <c r="J239" s="954"/>
      <c r="K239" s="53">
        <f t="shared" si="47"/>
        <v>1</v>
      </c>
      <c r="L239" s="954"/>
      <c r="M239" s="53">
        <f t="shared" si="48"/>
        <v>1</v>
      </c>
      <c r="N239" s="954"/>
      <c r="O239" s="53">
        <f t="shared" si="49"/>
        <v>1</v>
      </c>
      <c r="P239" s="954"/>
      <c r="Q239" s="53">
        <f t="shared" si="50"/>
        <v>1</v>
      </c>
      <c r="R239" s="490">
        <f t="shared" si="51"/>
        <v>0</v>
      </c>
      <c r="S239" s="799">
        <f t="shared" si="52"/>
        <v>0</v>
      </c>
    </row>
    <row r="240" spans="1:19">
      <c r="A240" s="956"/>
      <c r="B240" s="137"/>
      <c r="C240" s="53">
        <f t="shared" si="43"/>
        <v>1</v>
      </c>
      <c r="D240" s="954"/>
      <c r="E240" s="53">
        <f t="shared" si="44"/>
        <v>1</v>
      </c>
      <c r="F240" s="954"/>
      <c r="G240" s="53">
        <f t="shared" si="45"/>
        <v>1</v>
      </c>
      <c r="H240" s="954"/>
      <c r="I240" s="53">
        <f t="shared" si="46"/>
        <v>1</v>
      </c>
      <c r="J240" s="954"/>
      <c r="K240" s="53">
        <f t="shared" si="47"/>
        <v>1</v>
      </c>
      <c r="L240" s="954"/>
      <c r="M240" s="53">
        <f t="shared" si="48"/>
        <v>1</v>
      </c>
      <c r="N240" s="954"/>
      <c r="O240" s="53">
        <f t="shared" si="49"/>
        <v>1</v>
      </c>
      <c r="P240" s="954"/>
      <c r="Q240" s="53">
        <f t="shared" si="50"/>
        <v>1</v>
      </c>
      <c r="R240" s="490">
        <f t="shared" si="51"/>
        <v>0</v>
      </c>
      <c r="S240" s="799">
        <f t="shared" si="52"/>
        <v>0</v>
      </c>
    </row>
    <row r="241" spans="1:19">
      <c r="A241" s="956"/>
      <c r="B241" s="137"/>
      <c r="C241" s="53">
        <f t="shared" si="43"/>
        <v>1</v>
      </c>
      <c r="D241" s="954"/>
      <c r="E241" s="53">
        <f t="shared" si="44"/>
        <v>1</v>
      </c>
      <c r="F241" s="954"/>
      <c r="G241" s="53">
        <f t="shared" si="45"/>
        <v>1</v>
      </c>
      <c r="H241" s="954"/>
      <c r="I241" s="53">
        <f t="shared" si="46"/>
        <v>1</v>
      </c>
      <c r="J241" s="954"/>
      <c r="K241" s="53">
        <f t="shared" si="47"/>
        <v>1</v>
      </c>
      <c r="L241" s="954"/>
      <c r="M241" s="53">
        <f t="shared" si="48"/>
        <v>1</v>
      </c>
      <c r="N241" s="954"/>
      <c r="O241" s="53">
        <f t="shared" si="49"/>
        <v>1</v>
      </c>
      <c r="P241" s="954"/>
      <c r="Q241" s="53">
        <f t="shared" si="50"/>
        <v>1</v>
      </c>
      <c r="R241" s="490">
        <f t="shared" si="51"/>
        <v>0</v>
      </c>
      <c r="S241" s="799">
        <f t="shared" si="52"/>
        <v>0</v>
      </c>
    </row>
    <row r="242" spans="1:19">
      <c r="A242" s="956"/>
      <c r="B242" s="137"/>
      <c r="C242" s="53">
        <f t="shared" si="43"/>
        <v>1</v>
      </c>
      <c r="D242" s="954"/>
      <c r="E242" s="53">
        <f t="shared" si="44"/>
        <v>1</v>
      </c>
      <c r="F242" s="954"/>
      <c r="G242" s="53">
        <f t="shared" si="45"/>
        <v>1</v>
      </c>
      <c r="H242" s="954"/>
      <c r="I242" s="53">
        <f t="shared" si="46"/>
        <v>1</v>
      </c>
      <c r="J242" s="954"/>
      <c r="K242" s="53">
        <f t="shared" si="47"/>
        <v>1</v>
      </c>
      <c r="L242" s="954"/>
      <c r="M242" s="53">
        <f t="shared" si="48"/>
        <v>1</v>
      </c>
      <c r="N242" s="954"/>
      <c r="O242" s="53">
        <f t="shared" si="49"/>
        <v>1</v>
      </c>
      <c r="P242" s="954"/>
      <c r="Q242" s="53">
        <f t="shared" si="50"/>
        <v>1</v>
      </c>
      <c r="R242" s="490">
        <f t="shared" si="51"/>
        <v>0</v>
      </c>
      <c r="S242" s="799">
        <f t="shared" si="52"/>
        <v>0</v>
      </c>
    </row>
    <row r="243" spans="1:19">
      <c r="A243" s="956"/>
      <c r="B243" s="137"/>
      <c r="C243" s="53">
        <f t="shared" si="43"/>
        <v>1</v>
      </c>
      <c r="D243" s="954"/>
      <c r="E243" s="53">
        <f t="shared" si="44"/>
        <v>1</v>
      </c>
      <c r="F243" s="954"/>
      <c r="G243" s="53">
        <f t="shared" si="45"/>
        <v>1</v>
      </c>
      <c r="H243" s="954"/>
      <c r="I243" s="53">
        <f t="shared" si="46"/>
        <v>1</v>
      </c>
      <c r="J243" s="954"/>
      <c r="K243" s="53">
        <f t="shared" si="47"/>
        <v>1</v>
      </c>
      <c r="L243" s="954"/>
      <c r="M243" s="53">
        <f t="shared" si="48"/>
        <v>1</v>
      </c>
      <c r="N243" s="954"/>
      <c r="O243" s="53">
        <f t="shared" si="49"/>
        <v>1</v>
      </c>
      <c r="P243" s="954"/>
      <c r="Q243" s="53">
        <f t="shared" si="50"/>
        <v>1</v>
      </c>
      <c r="R243" s="490">
        <f t="shared" si="51"/>
        <v>0</v>
      </c>
      <c r="S243" s="799">
        <f t="shared" si="52"/>
        <v>0</v>
      </c>
    </row>
    <row r="244" spans="1:19">
      <c r="A244" s="956"/>
      <c r="B244" s="137"/>
      <c r="C244" s="53">
        <f t="shared" si="43"/>
        <v>1</v>
      </c>
      <c r="D244" s="954"/>
      <c r="E244" s="53">
        <f t="shared" si="44"/>
        <v>1</v>
      </c>
      <c r="F244" s="954"/>
      <c r="G244" s="53">
        <f t="shared" si="45"/>
        <v>1</v>
      </c>
      <c r="H244" s="954"/>
      <c r="I244" s="53">
        <f t="shared" si="46"/>
        <v>1</v>
      </c>
      <c r="J244" s="954"/>
      <c r="K244" s="53">
        <f t="shared" si="47"/>
        <v>1</v>
      </c>
      <c r="L244" s="954"/>
      <c r="M244" s="53">
        <f t="shared" si="48"/>
        <v>1</v>
      </c>
      <c r="N244" s="954"/>
      <c r="O244" s="53">
        <f t="shared" si="49"/>
        <v>1</v>
      </c>
      <c r="P244" s="954"/>
      <c r="Q244" s="53">
        <f t="shared" si="50"/>
        <v>1</v>
      </c>
      <c r="R244" s="490">
        <f t="shared" si="51"/>
        <v>0</v>
      </c>
      <c r="S244" s="799">
        <f t="shared" si="52"/>
        <v>0</v>
      </c>
    </row>
    <row r="245" spans="1:19">
      <c r="A245" s="956"/>
      <c r="B245" s="137"/>
      <c r="C245" s="53">
        <f t="shared" si="43"/>
        <v>1</v>
      </c>
      <c r="D245" s="954"/>
      <c r="E245" s="53">
        <f t="shared" si="44"/>
        <v>1</v>
      </c>
      <c r="F245" s="954"/>
      <c r="G245" s="53">
        <f t="shared" si="45"/>
        <v>1</v>
      </c>
      <c r="H245" s="954"/>
      <c r="I245" s="53">
        <f t="shared" si="46"/>
        <v>1</v>
      </c>
      <c r="J245" s="954"/>
      <c r="K245" s="53">
        <f t="shared" si="47"/>
        <v>1</v>
      </c>
      <c r="L245" s="954"/>
      <c r="M245" s="53">
        <f t="shared" si="48"/>
        <v>1</v>
      </c>
      <c r="N245" s="954"/>
      <c r="O245" s="53">
        <f t="shared" si="49"/>
        <v>1</v>
      </c>
      <c r="P245" s="954"/>
      <c r="Q245" s="53">
        <f t="shared" si="50"/>
        <v>1</v>
      </c>
      <c r="R245" s="490">
        <f t="shared" si="51"/>
        <v>0</v>
      </c>
      <c r="S245" s="799">
        <f t="shared" si="52"/>
        <v>0</v>
      </c>
    </row>
    <row r="246" spans="1:19">
      <c r="A246" s="956"/>
      <c r="B246" s="137"/>
      <c r="C246" s="53">
        <f t="shared" si="43"/>
        <v>1</v>
      </c>
      <c r="D246" s="954"/>
      <c r="E246" s="53">
        <f t="shared" si="44"/>
        <v>1</v>
      </c>
      <c r="F246" s="954"/>
      <c r="G246" s="53">
        <f t="shared" si="45"/>
        <v>1</v>
      </c>
      <c r="H246" s="954"/>
      <c r="I246" s="53">
        <f t="shared" si="46"/>
        <v>1</v>
      </c>
      <c r="J246" s="954"/>
      <c r="K246" s="53">
        <f t="shared" si="47"/>
        <v>1</v>
      </c>
      <c r="L246" s="954"/>
      <c r="M246" s="53">
        <f t="shared" si="48"/>
        <v>1</v>
      </c>
      <c r="N246" s="954"/>
      <c r="O246" s="53">
        <f t="shared" si="49"/>
        <v>1</v>
      </c>
      <c r="P246" s="954"/>
      <c r="Q246" s="53">
        <f t="shared" si="50"/>
        <v>1</v>
      </c>
      <c r="R246" s="490">
        <f t="shared" si="51"/>
        <v>0</v>
      </c>
      <c r="S246" s="799">
        <f t="shared" si="52"/>
        <v>0</v>
      </c>
    </row>
    <row r="247" spans="1:19">
      <c r="A247" s="956"/>
      <c r="B247" s="137"/>
      <c r="C247" s="53">
        <f t="shared" si="43"/>
        <v>1</v>
      </c>
      <c r="D247" s="954"/>
      <c r="E247" s="53">
        <f t="shared" si="44"/>
        <v>1</v>
      </c>
      <c r="F247" s="954"/>
      <c r="G247" s="53">
        <f t="shared" si="45"/>
        <v>1</v>
      </c>
      <c r="H247" s="954"/>
      <c r="I247" s="53">
        <f t="shared" si="46"/>
        <v>1</v>
      </c>
      <c r="J247" s="954"/>
      <c r="K247" s="53">
        <f t="shared" si="47"/>
        <v>1</v>
      </c>
      <c r="L247" s="954"/>
      <c r="M247" s="53">
        <f t="shared" si="48"/>
        <v>1</v>
      </c>
      <c r="N247" s="954"/>
      <c r="O247" s="53">
        <f t="shared" si="49"/>
        <v>1</v>
      </c>
      <c r="P247" s="954"/>
      <c r="Q247" s="53">
        <f t="shared" si="50"/>
        <v>1</v>
      </c>
      <c r="R247" s="490">
        <f t="shared" si="51"/>
        <v>0</v>
      </c>
      <c r="S247" s="799">
        <f t="shared" si="52"/>
        <v>0</v>
      </c>
    </row>
    <row r="248" spans="1:19">
      <c r="A248" s="956"/>
      <c r="B248" s="137"/>
      <c r="C248" s="53">
        <f t="shared" si="43"/>
        <v>1</v>
      </c>
      <c r="D248" s="954"/>
      <c r="E248" s="53">
        <f t="shared" si="44"/>
        <v>1</v>
      </c>
      <c r="F248" s="954"/>
      <c r="G248" s="53">
        <f t="shared" si="45"/>
        <v>1</v>
      </c>
      <c r="H248" s="954"/>
      <c r="I248" s="53">
        <f t="shared" si="46"/>
        <v>1</v>
      </c>
      <c r="J248" s="954"/>
      <c r="K248" s="53">
        <f t="shared" si="47"/>
        <v>1</v>
      </c>
      <c r="L248" s="954"/>
      <c r="M248" s="53">
        <f t="shared" si="48"/>
        <v>1</v>
      </c>
      <c r="N248" s="954"/>
      <c r="O248" s="53">
        <f t="shared" si="49"/>
        <v>1</v>
      </c>
      <c r="P248" s="954"/>
      <c r="Q248" s="53">
        <f t="shared" si="50"/>
        <v>1</v>
      </c>
      <c r="R248" s="490">
        <f t="shared" si="51"/>
        <v>0</v>
      </c>
      <c r="S248" s="799">
        <f t="shared" si="52"/>
        <v>0</v>
      </c>
    </row>
    <row r="249" spans="1:19">
      <c r="A249" s="956"/>
      <c r="B249" s="137"/>
      <c r="C249" s="53">
        <f t="shared" si="43"/>
        <v>1</v>
      </c>
      <c r="D249" s="954"/>
      <c r="E249" s="53">
        <f t="shared" si="44"/>
        <v>1</v>
      </c>
      <c r="F249" s="954"/>
      <c r="G249" s="53">
        <f t="shared" si="45"/>
        <v>1</v>
      </c>
      <c r="H249" s="954"/>
      <c r="I249" s="53">
        <f t="shared" si="46"/>
        <v>1</v>
      </c>
      <c r="J249" s="954"/>
      <c r="K249" s="53">
        <f t="shared" si="47"/>
        <v>1</v>
      </c>
      <c r="L249" s="954"/>
      <c r="M249" s="53">
        <f t="shared" si="48"/>
        <v>1</v>
      </c>
      <c r="N249" s="954"/>
      <c r="O249" s="53">
        <f t="shared" si="49"/>
        <v>1</v>
      </c>
      <c r="P249" s="954"/>
      <c r="Q249" s="53">
        <f t="shared" si="50"/>
        <v>1</v>
      </c>
      <c r="R249" s="490">
        <f t="shared" si="51"/>
        <v>0</v>
      </c>
      <c r="S249" s="799">
        <f t="shared" si="52"/>
        <v>0</v>
      </c>
    </row>
    <row r="250" spans="1:19">
      <c r="A250" s="956"/>
      <c r="B250" s="137"/>
      <c r="C250" s="53">
        <f t="shared" si="43"/>
        <v>1</v>
      </c>
      <c r="D250" s="954"/>
      <c r="E250" s="53">
        <f t="shared" si="44"/>
        <v>1</v>
      </c>
      <c r="F250" s="954"/>
      <c r="G250" s="53">
        <f t="shared" si="45"/>
        <v>1</v>
      </c>
      <c r="H250" s="954"/>
      <c r="I250" s="53">
        <f t="shared" si="46"/>
        <v>1</v>
      </c>
      <c r="J250" s="954"/>
      <c r="K250" s="53">
        <f t="shared" si="47"/>
        <v>1</v>
      </c>
      <c r="L250" s="954"/>
      <c r="M250" s="53">
        <f t="shared" si="48"/>
        <v>1</v>
      </c>
      <c r="N250" s="954"/>
      <c r="O250" s="53">
        <f t="shared" si="49"/>
        <v>1</v>
      </c>
      <c r="P250" s="954"/>
      <c r="Q250" s="53">
        <f t="shared" si="50"/>
        <v>1</v>
      </c>
      <c r="R250" s="490">
        <f t="shared" si="51"/>
        <v>0</v>
      </c>
      <c r="S250" s="799">
        <f t="shared" si="52"/>
        <v>0</v>
      </c>
    </row>
    <row r="251" spans="1:19">
      <c r="A251" s="956"/>
      <c r="B251" s="137"/>
      <c r="C251" s="53">
        <f t="shared" si="43"/>
        <v>1</v>
      </c>
      <c r="D251" s="954"/>
      <c r="E251" s="53">
        <f t="shared" si="44"/>
        <v>1</v>
      </c>
      <c r="F251" s="954"/>
      <c r="G251" s="53">
        <f t="shared" si="45"/>
        <v>1</v>
      </c>
      <c r="H251" s="954"/>
      <c r="I251" s="53">
        <f t="shared" si="46"/>
        <v>1</v>
      </c>
      <c r="J251" s="954"/>
      <c r="K251" s="53">
        <f t="shared" si="47"/>
        <v>1</v>
      </c>
      <c r="L251" s="954"/>
      <c r="M251" s="53">
        <f t="shared" si="48"/>
        <v>1</v>
      </c>
      <c r="N251" s="954"/>
      <c r="O251" s="53">
        <f t="shared" si="49"/>
        <v>1</v>
      </c>
      <c r="P251" s="954"/>
      <c r="Q251" s="53">
        <f t="shared" si="50"/>
        <v>1</v>
      </c>
      <c r="R251" s="490">
        <f t="shared" si="51"/>
        <v>0</v>
      </c>
      <c r="S251" s="799">
        <f t="shared" si="52"/>
        <v>0</v>
      </c>
    </row>
    <row r="252" spans="1:19">
      <c r="A252" s="956"/>
      <c r="B252" s="137"/>
      <c r="C252" s="53">
        <f t="shared" si="43"/>
        <v>1</v>
      </c>
      <c r="D252" s="954"/>
      <c r="E252" s="53">
        <f t="shared" si="44"/>
        <v>1</v>
      </c>
      <c r="F252" s="954"/>
      <c r="G252" s="53">
        <f t="shared" si="45"/>
        <v>1</v>
      </c>
      <c r="H252" s="954"/>
      <c r="I252" s="53">
        <f t="shared" si="46"/>
        <v>1</v>
      </c>
      <c r="J252" s="954"/>
      <c r="K252" s="53">
        <f t="shared" si="47"/>
        <v>1</v>
      </c>
      <c r="L252" s="954"/>
      <c r="M252" s="53">
        <f t="shared" si="48"/>
        <v>1</v>
      </c>
      <c r="N252" s="954"/>
      <c r="O252" s="53">
        <f t="shared" si="49"/>
        <v>1</v>
      </c>
      <c r="P252" s="954"/>
      <c r="Q252" s="53">
        <f t="shared" si="50"/>
        <v>1</v>
      </c>
      <c r="R252" s="490">
        <f t="shared" si="51"/>
        <v>0</v>
      </c>
      <c r="S252" s="799">
        <f t="shared" si="52"/>
        <v>0</v>
      </c>
    </row>
    <row r="253" spans="1:19">
      <c r="A253" s="956"/>
      <c r="B253" s="137"/>
      <c r="C253" s="53">
        <f t="shared" si="43"/>
        <v>1</v>
      </c>
      <c r="D253" s="954"/>
      <c r="E253" s="53">
        <f t="shared" si="44"/>
        <v>1</v>
      </c>
      <c r="F253" s="954"/>
      <c r="G253" s="53">
        <f t="shared" si="45"/>
        <v>1</v>
      </c>
      <c r="H253" s="954"/>
      <c r="I253" s="53">
        <f t="shared" si="46"/>
        <v>1</v>
      </c>
      <c r="J253" s="954"/>
      <c r="K253" s="53">
        <f t="shared" si="47"/>
        <v>1</v>
      </c>
      <c r="L253" s="954"/>
      <c r="M253" s="53">
        <f t="shared" si="48"/>
        <v>1</v>
      </c>
      <c r="N253" s="954"/>
      <c r="O253" s="53">
        <f t="shared" si="49"/>
        <v>1</v>
      </c>
      <c r="P253" s="954"/>
      <c r="Q253" s="53">
        <f t="shared" si="50"/>
        <v>1</v>
      </c>
      <c r="R253" s="490">
        <f t="shared" si="51"/>
        <v>0</v>
      </c>
      <c r="S253" s="799">
        <f t="shared" si="52"/>
        <v>0</v>
      </c>
    </row>
    <row r="254" spans="1:19">
      <c r="A254" s="956"/>
      <c r="B254" s="137"/>
      <c r="C254" s="53">
        <f t="shared" si="43"/>
        <v>1</v>
      </c>
      <c r="D254" s="954"/>
      <c r="E254" s="53">
        <f t="shared" si="44"/>
        <v>1</v>
      </c>
      <c r="F254" s="954"/>
      <c r="G254" s="53">
        <f t="shared" si="45"/>
        <v>1</v>
      </c>
      <c r="H254" s="954"/>
      <c r="I254" s="53">
        <f t="shared" si="46"/>
        <v>1</v>
      </c>
      <c r="J254" s="954"/>
      <c r="K254" s="53">
        <f t="shared" si="47"/>
        <v>1</v>
      </c>
      <c r="L254" s="954"/>
      <c r="M254" s="53">
        <f t="shared" si="48"/>
        <v>1</v>
      </c>
      <c r="N254" s="954"/>
      <c r="O254" s="53">
        <f t="shared" si="49"/>
        <v>1</v>
      </c>
      <c r="P254" s="954"/>
      <c r="Q254" s="53">
        <f t="shared" si="50"/>
        <v>1</v>
      </c>
      <c r="R254" s="490">
        <f t="shared" si="51"/>
        <v>0</v>
      </c>
      <c r="S254" s="799">
        <f t="shared" si="52"/>
        <v>0</v>
      </c>
    </row>
    <row r="255" spans="1:19">
      <c r="A255" s="956"/>
      <c r="B255" s="137"/>
      <c r="C255" s="53">
        <f t="shared" si="43"/>
        <v>1</v>
      </c>
      <c r="D255" s="954"/>
      <c r="E255" s="53">
        <f t="shared" si="44"/>
        <v>1</v>
      </c>
      <c r="F255" s="954"/>
      <c r="G255" s="53">
        <f t="shared" si="45"/>
        <v>1</v>
      </c>
      <c r="H255" s="954"/>
      <c r="I255" s="53">
        <f t="shared" si="46"/>
        <v>1</v>
      </c>
      <c r="J255" s="954"/>
      <c r="K255" s="53">
        <f t="shared" si="47"/>
        <v>1</v>
      </c>
      <c r="L255" s="954"/>
      <c r="M255" s="53">
        <f t="shared" si="48"/>
        <v>1</v>
      </c>
      <c r="N255" s="954"/>
      <c r="O255" s="53">
        <f t="shared" si="49"/>
        <v>1</v>
      </c>
      <c r="P255" s="954"/>
      <c r="Q255" s="53">
        <f t="shared" si="50"/>
        <v>1</v>
      </c>
      <c r="R255" s="490">
        <f t="shared" si="51"/>
        <v>0</v>
      </c>
      <c r="S255" s="799">
        <f t="shared" si="52"/>
        <v>0</v>
      </c>
    </row>
    <row r="256" spans="1:19">
      <c r="A256" s="956"/>
      <c r="B256" s="137"/>
      <c r="C256" s="53">
        <f t="shared" si="43"/>
        <v>1</v>
      </c>
      <c r="D256" s="954"/>
      <c r="E256" s="53">
        <f t="shared" si="44"/>
        <v>1</v>
      </c>
      <c r="F256" s="954"/>
      <c r="G256" s="53">
        <f t="shared" si="45"/>
        <v>1</v>
      </c>
      <c r="H256" s="954"/>
      <c r="I256" s="53">
        <f t="shared" si="46"/>
        <v>1</v>
      </c>
      <c r="J256" s="954"/>
      <c r="K256" s="53">
        <f t="shared" si="47"/>
        <v>1</v>
      </c>
      <c r="L256" s="954"/>
      <c r="M256" s="53">
        <f t="shared" si="48"/>
        <v>1</v>
      </c>
      <c r="N256" s="954"/>
      <c r="O256" s="53">
        <f t="shared" si="49"/>
        <v>1</v>
      </c>
      <c r="P256" s="954"/>
      <c r="Q256" s="53">
        <f t="shared" si="50"/>
        <v>1</v>
      </c>
      <c r="R256" s="490">
        <f t="shared" si="51"/>
        <v>0</v>
      </c>
      <c r="S256" s="799">
        <f t="shared" si="52"/>
        <v>0</v>
      </c>
    </row>
    <row r="257" spans="1:19">
      <c r="A257" s="956"/>
      <c r="B257" s="137"/>
      <c r="C257" s="53">
        <f t="shared" si="43"/>
        <v>1</v>
      </c>
      <c r="D257" s="954"/>
      <c r="E257" s="53">
        <f t="shared" si="44"/>
        <v>1</v>
      </c>
      <c r="F257" s="954"/>
      <c r="G257" s="53">
        <f t="shared" si="45"/>
        <v>1</v>
      </c>
      <c r="H257" s="954"/>
      <c r="I257" s="53">
        <f t="shared" si="46"/>
        <v>1</v>
      </c>
      <c r="J257" s="954"/>
      <c r="K257" s="53">
        <f t="shared" si="47"/>
        <v>1</v>
      </c>
      <c r="L257" s="954"/>
      <c r="M257" s="53">
        <f t="shared" si="48"/>
        <v>1</v>
      </c>
      <c r="N257" s="954"/>
      <c r="O257" s="53">
        <f t="shared" si="49"/>
        <v>1</v>
      </c>
      <c r="P257" s="954"/>
      <c r="Q257" s="53">
        <f t="shared" si="50"/>
        <v>1</v>
      </c>
      <c r="R257" s="490">
        <f t="shared" si="51"/>
        <v>0</v>
      </c>
      <c r="S257" s="799">
        <f t="shared" si="52"/>
        <v>0</v>
      </c>
    </row>
    <row r="258" spans="1:19">
      <c r="A258" s="956"/>
      <c r="B258" s="137"/>
      <c r="C258" s="53">
        <f t="shared" si="43"/>
        <v>1</v>
      </c>
      <c r="D258" s="954"/>
      <c r="E258" s="53">
        <f t="shared" si="44"/>
        <v>1</v>
      </c>
      <c r="F258" s="954"/>
      <c r="G258" s="53">
        <f t="shared" si="45"/>
        <v>1</v>
      </c>
      <c r="H258" s="954"/>
      <c r="I258" s="53">
        <f t="shared" si="46"/>
        <v>1</v>
      </c>
      <c r="J258" s="954"/>
      <c r="K258" s="53">
        <f t="shared" si="47"/>
        <v>1</v>
      </c>
      <c r="L258" s="954"/>
      <c r="M258" s="53">
        <f t="shared" si="48"/>
        <v>1</v>
      </c>
      <c r="N258" s="954"/>
      <c r="O258" s="53">
        <f t="shared" si="49"/>
        <v>1</v>
      </c>
      <c r="P258" s="954"/>
      <c r="Q258" s="53">
        <f t="shared" si="50"/>
        <v>1</v>
      </c>
      <c r="R258" s="490">
        <f t="shared" si="51"/>
        <v>0</v>
      </c>
      <c r="S258" s="799">
        <f t="shared" si="52"/>
        <v>0</v>
      </c>
    </row>
    <row r="259" spans="1:19">
      <c r="A259" s="956"/>
      <c r="B259" s="137"/>
      <c r="C259" s="53">
        <f t="shared" si="43"/>
        <v>1</v>
      </c>
      <c r="D259" s="954"/>
      <c r="E259" s="53">
        <f t="shared" si="44"/>
        <v>1</v>
      </c>
      <c r="F259" s="954"/>
      <c r="G259" s="53">
        <f t="shared" si="45"/>
        <v>1</v>
      </c>
      <c r="H259" s="954"/>
      <c r="I259" s="53">
        <f t="shared" si="46"/>
        <v>1</v>
      </c>
      <c r="J259" s="954"/>
      <c r="K259" s="53">
        <f t="shared" si="47"/>
        <v>1</v>
      </c>
      <c r="L259" s="954"/>
      <c r="M259" s="53">
        <f t="shared" si="48"/>
        <v>1</v>
      </c>
      <c r="N259" s="954"/>
      <c r="O259" s="53">
        <f t="shared" si="49"/>
        <v>1</v>
      </c>
      <c r="P259" s="954"/>
      <c r="Q259" s="53">
        <f t="shared" si="50"/>
        <v>1</v>
      </c>
      <c r="R259" s="490">
        <f t="shared" si="51"/>
        <v>0</v>
      </c>
      <c r="S259" s="799">
        <f t="shared" si="52"/>
        <v>0</v>
      </c>
    </row>
    <row r="260" spans="1:19">
      <c r="A260" s="956"/>
      <c r="B260" s="137"/>
      <c r="C260" s="53">
        <f t="shared" si="43"/>
        <v>1</v>
      </c>
      <c r="D260" s="954"/>
      <c r="E260" s="53">
        <f t="shared" si="44"/>
        <v>1</v>
      </c>
      <c r="F260" s="954"/>
      <c r="G260" s="53">
        <f t="shared" si="45"/>
        <v>1</v>
      </c>
      <c r="H260" s="954"/>
      <c r="I260" s="53">
        <f t="shared" si="46"/>
        <v>1</v>
      </c>
      <c r="J260" s="954"/>
      <c r="K260" s="53">
        <f t="shared" si="47"/>
        <v>1</v>
      </c>
      <c r="L260" s="954"/>
      <c r="M260" s="53">
        <f t="shared" si="48"/>
        <v>1</v>
      </c>
      <c r="N260" s="954"/>
      <c r="O260" s="53">
        <f t="shared" si="49"/>
        <v>1</v>
      </c>
      <c r="P260" s="954"/>
      <c r="Q260" s="53">
        <f t="shared" si="50"/>
        <v>1</v>
      </c>
      <c r="R260" s="490">
        <f t="shared" si="51"/>
        <v>0</v>
      </c>
      <c r="S260" s="799">
        <f t="shared" si="52"/>
        <v>0</v>
      </c>
    </row>
    <row r="261" spans="1:19">
      <c r="A261" s="956"/>
      <c r="B261" s="137"/>
      <c r="C261" s="53">
        <f t="shared" si="43"/>
        <v>1</v>
      </c>
      <c r="D261" s="954"/>
      <c r="E261" s="53">
        <f t="shared" si="44"/>
        <v>1</v>
      </c>
      <c r="F261" s="954"/>
      <c r="G261" s="53">
        <f t="shared" si="45"/>
        <v>1</v>
      </c>
      <c r="H261" s="954"/>
      <c r="I261" s="53">
        <f t="shared" si="46"/>
        <v>1</v>
      </c>
      <c r="J261" s="954"/>
      <c r="K261" s="53">
        <f t="shared" si="47"/>
        <v>1</v>
      </c>
      <c r="L261" s="954"/>
      <c r="M261" s="53">
        <f t="shared" si="48"/>
        <v>1</v>
      </c>
      <c r="N261" s="954"/>
      <c r="O261" s="53">
        <f t="shared" si="49"/>
        <v>1</v>
      </c>
      <c r="P261" s="954"/>
      <c r="Q261" s="53">
        <f t="shared" si="50"/>
        <v>1</v>
      </c>
      <c r="R261" s="490">
        <f t="shared" si="51"/>
        <v>0</v>
      </c>
      <c r="S261" s="799">
        <f t="shared" si="52"/>
        <v>0</v>
      </c>
    </row>
    <row r="262" spans="1:19">
      <c r="A262" s="956"/>
      <c r="B262" s="137"/>
      <c r="C262" s="53">
        <f t="shared" si="43"/>
        <v>1</v>
      </c>
      <c r="D262" s="954"/>
      <c r="E262" s="53">
        <f t="shared" si="44"/>
        <v>1</v>
      </c>
      <c r="F262" s="954"/>
      <c r="G262" s="53">
        <f t="shared" si="45"/>
        <v>1</v>
      </c>
      <c r="H262" s="954"/>
      <c r="I262" s="53">
        <f t="shared" si="46"/>
        <v>1</v>
      </c>
      <c r="J262" s="954"/>
      <c r="K262" s="53">
        <f t="shared" si="47"/>
        <v>1</v>
      </c>
      <c r="L262" s="954"/>
      <c r="M262" s="53">
        <f t="shared" si="48"/>
        <v>1</v>
      </c>
      <c r="N262" s="954"/>
      <c r="O262" s="53">
        <f t="shared" si="49"/>
        <v>1</v>
      </c>
      <c r="P262" s="954"/>
      <c r="Q262" s="53">
        <f t="shared" si="50"/>
        <v>1</v>
      </c>
      <c r="R262" s="490">
        <f t="shared" si="51"/>
        <v>0</v>
      </c>
      <c r="S262" s="799">
        <f t="shared" si="52"/>
        <v>0</v>
      </c>
    </row>
    <row r="263" spans="1:19">
      <c r="A263" s="956"/>
      <c r="B263" s="137"/>
      <c r="C263" s="53">
        <f t="shared" si="43"/>
        <v>1</v>
      </c>
      <c r="D263" s="954"/>
      <c r="E263" s="53">
        <f t="shared" si="44"/>
        <v>1</v>
      </c>
      <c r="F263" s="954"/>
      <c r="G263" s="53">
        <f t="shared" si="45"/>
        <v>1</v>
      </c>
      <c r="H263" s="954"/>
      <c r="I263" s="53">
        <f t="shared" si="46"/>
        <v>1</v>
      </c>
      <c r="J263" s="954"/>
      <c r="K263" s="53">
        <f t="shared" si="47"/>
        <v>1</v>
      </c>
      <c r="L263" s="954"/>
      <c r="M263" s="53">
        <f t="shared" si="48"/>
        <v>1</v>
      </c>
      <c r="N263" s="954"/>
      <c r="O263" s="53">
        <f t="shared" si="49"/>
        <v>1</v>
      </c>
      <c r="P263" s="954"/>
      <c r="Q263" s="53">
        <f t="shared" si="50"/>
        <v>1</v>
      </c>
      <c r="R263" s="490">
        <f t="shared" si="51"/>
        <v>0</v>
      </c>
      <c r="S263" s="799">
        <f t="shared" si="52"/>
        <v>0</v>
      </c>
    </row>
    <row r="264" spans="1:19">
      <c r="A264" s="956"/>
      <c r="B264" s="137"/>
      <c r="C264" s="53">
        <f t="shared" si="43"/>
        <v>1</v>
      </c>
      <c r="D264" s="954"/>
      <c r="E264" s="53">
        <f t="shared" si="44"/>
        <v>1</v>
      </c>
      <c r="F264" s="954"/>
      <c r="G264" s="53">
        <f t="shared" si="45"/>
        <v>1</v>
      </c>
      <c r="H264" s="954"/>
      <c r="I264" s="53">
        <f t="shared" si="46"/>
        <v>1</v>
      </c>
      <c r="J264" s="954"/>
      <c r="K264" s="53">
        <f t="shared" si="47"/>
        <v>1</v>
      </c>
      <c r="L264" s="954"/>
      <c r="M264" s="53">
        <f t="shared" si="48"/>
        <v>1</v>
      </c>
      <c r="N264" s="954"/>
      <c r="O264" s="53">
        <f t="shared" si="49"/>
        <v>1</v>
      </c>
      <c r="P264" s="954"/>
      <c r="Q264" s="53">
        <f t="shared" si="50"/>
        <v>1</v>
      </c>
      <c r="R264" s="490">
        <f t="shared" si="51"/>
        <v>0</v>
      </c>
      <c r="S264" s="799">
        <f t="shared" si="52"/>
        <v>0</v>
      </c>
    </row>
    <row r="265" spans="1:19">
      <c r="A265" s="956"/>
      <c r="B265" s="137"/>
      <c r="C265" s="53">
        <f t="shared" si="43"/>
        <v>1</v>
      </c>
      <c r="D265" s="954"/>
      <c r="E265" s="53">
        <f t="shared" si="44"/>
        <v>1</v>
      </c>
      <c r="F265" s="954"/>
      <c r="G265" s="53">
        <f t="shared" si="45"/>
        <v>1</v>
      </c>
      <c r="H265" s="954"/>
      <c r="I265" s="53">
        <f t="shared" si="46"/>
        <v>1</v>
      </c>
      <c r="J265" s="954"/>
      <c r="K265" s="53">
        <f t="shared" si="47"/>
        <v>1</v>
      </c>
      <c r="L265" s="954"/>
      <c r="M265" s="53">
        <f t="shared" si="48"/>
        <v>1</v>
      </c>
      <c r="N265" s="954"/>
      <c r="O265" s="53">
        <f t="shared" si="49"/>
        <v>1</v>
      </c>
      <c r="P265" s="954"/>
      <c r="Q265" s="53">
        <f t="shared" si="50"/>
        <v>1</v>
      </c>
      <c r="R265" s="490">
        <f t="shared" si="51"/>
        <v>0</v>
      </c>
      <c r="S265" s="799">
        <f t="shared" si="52"/>
        <v>0</v>
      </c>
    </row>
    <row r="266" spans="1:19">
      <c r="A266" s="956"/>
      <c r="B266" s="137"/>
      <c r="C266" s="53">
        <f t="shared" si="43"/>
        <v>1</v>
      </c>
      <c r="D266" s="954"/>
      <c r="E266" s="53">
        <f t="shared" si="44"/>
        <v>1</v>
      </c>
      <c r="F266" s="954"/>
      <c r="G266" s="53">
        <f t="shared" si="45"/>
        <v>1</v>
      </c>
      <c r="H266" s="954"/>
      <c r="I266" s="53">
        <f t="shared" si="46"/>
        <v>1</v>
      </c>
      <c r="J266" s="954"/>
      <c r="K266" s="53">
        <f t="shared" si="47"/>
        <v>1</v>
      </c>
      <c r="L266" s="954"/>
      <c r="M266" s="53">
        <f t="shared" si="48"/>
        <v>1</v>
      </c>
      <c r="N266" s="954"/>
      <c r="O266" s="53">
        <f t="shared" si="49"/>
        <v>1</v>
      </c>
      <c r="P266" s="954"/>
      <c r="Q266" s="53">
        <f t="shared" si="50"/>
        <v>1</v>
      </c>
      <c r="R266" s="490">
        <f t="shared" si="51"/>
        <v>0</v>
      </c>
      <c r="S266" s="799">
        <f t="shared" si="52"/>
        <v>0</v>
      </c>
    </row>
    <row r="267" spans="1:19">
      <c r="A267" s="956"/>
      <c r="B267" s="137"/>
      <c r="C267" s="53">
        <f t="shared" si="43"/>
        <v>1</v>
      </c>
      <c r="D267" s="954"/>
      <c r="E267" s="53">
        <f t="shared" si="44"/>
        <v>1</v>
      </c>
      <c r="F267" s="954"/>
      <c r="G267" s="53">
        <f t="shared" si="45"/>
        <v>1</v>
      </c>
      <c r="H267" s="954"/>
      <c r="I267" s="53">
        <f t="shared" si="46"/>
        <v>1</v>
      </c>
      <c r="J267" s="954"/>
      <c r="K267" s="53">
        <f t="shared" si="47"/>
        <v>1</v>
      </c>
      <c r="L267" s="954"/>
      <c r="M267" s="53">
        <f t="shared" si="48"/>
        <v>1</v>
      </c>
      <c r="N267" s="954"/>
      <c r="O267" s="53">
        <f t="shared" si="49"/>
        <v>1</v>
      </c>
      <c r="P267" s="954"/>
      <c r="Q267" s="53">
        <f t="shared" si="50"/>
        <v>1</v>
      </c>
      <c r="R267" s="490">
        <f t="shared" si="51"/>
        <v>0</v>
      </c>
      <c r="S267" s="799">
        <f t="shared" si="52"/>
        <v>0</v>
      </c>
    </row>
    <row r="268" spans="1:19">
      <c r="A268" s="956"/>
      <c r="B268" s="137"/>
      <c r="C268" s="53">
        <f t="shared" si="43"/>
        <v>1</v>
      </c>
      <c r="D268" s="954"/>
      <c r="E268" s="53">
        <f t="shared" si="44"/>
        <v>1</v>
      </c>
      <c r="F268" s="954"/>
      <c r="G268" s="53">
        <f t="shared" si="45"/>
        <v>1</v>
      </c>
      <c r="H268" s="954"/>
      <c r="I268" s="53">
        <f t="shared" si="46"/>
        <v>1</v>
      </c>
      <c r="J268" s="954"/>
      <c r="K268" s="53">
        <f t="shared" si="47"/>
        <v>1</v>
      </c>
      <c r="L268" s="954"/>
      <c r="M268" s="53">
        <f t="shared" si="48"/>
        <v>1</v>
      </c>
      <c r="N268" s="954"/>
      <c r="O268" s="53">
        <f t="shared" si="49"/>
        <v>1</v>
      </c>
      <c r="P268" s="954"/>
      <c r="Q268" s="53">
        <f t="shared" si="50"/>
        <v>1</v>
      </c>
      <c r="R268" s="490">
        <f t="shared" si="51"/>
        <v>0</v>
      </c>
      <c r="S268" s="799">
        <f t="shared" si="52"/>
        <v>0</v>
      </c>
    </row>
    <row r="269" spans="1:19">
      <c r="A269" s="956"/>
      <c r="B269" s="137"/>
      <c r="C269" s="53">
        <f t="shared" si="43"/>
        <v>1</v>
      </c>
      <c r="D269" s="954"/>
      <c r="E269" s="53">
        <f t="shared" si="44"/>
        <v>1</v>
      </c>
      <c r="F269" s="954"/>
      <c r="G269" s="53">
        <f t="shared" si="45"/>
        <v>1</v>
      </c>
      <c r="H269" s="954"/>
      <c r="I269" s="53">
        <f t="shared" si="46"/>
        <v>1</v>
      </c>
      <c r="J269" s="954"/>
      <c r="K269" s="53">
        <f t="shared" si="47"/>
        <v>1</v>
      </c>
      <c r="L269" s="954"/>
      <c r="M269" s="53">
        <f t="shared" si="48"/>
        <v>1</v>
      </c>
      <c r="N269" s="954"/>
      <c r="O269" s="53">
        <f t="shared" si="49"/>
        <v>1</v>
      </c>
      <c r="P269" s="954"/>
      <c r="Q269" s="53">
        <f t="shared" si="50"/>
        <v>1</v>
      </c>
      <c r="R269" s="490">
        <f t="shared" si="51"/>
        <v>0</v>
      </c>
      <c r="S269" s="799">
        <f t="shared" si="52"/>
        <v>0</v>
      </c>
    </row>
    <row r="270" spans="1:19">
      <c r="A270" s="956"/>
      <c r="B270" s="137"/>
      <c r="C270" s="53">
        <f t="shared" si="43"/>
        <v>1</v>
      </c>
      <c r="D270" s="954"/>
      <c r="E270" s="53">
        <f t="shared" si="44"/>
        <v>1</v>
      </c>
      <c r="F270" s="954"/>
      <c r="G270" s="53">
        <f t="shared" si="45"/>
        <v>1</v>
      </c>
      <c r="H270" s="954"/>
      <c r="I270" s="53">
        <f t="shared" si="46"/>
        <v>1</v>
      </c>
      <c r="J270" s="954"/>
      <c r="K270" s="53">
        <f t="shared" si="47"/>
        <v>1</v>
      </c>
      <c r="L270" s="954"/>
      <c r="M270" s="53">
        <f t="shared" si="48"/>
        <v>1</v>
      </c>
      <c r="N270" s="954"/>
      <c r="O270" s="53">
        <f t="shared" si="49"/>
        <v>1</v>
      </c>
      <c r="P270" s="954"/>
      <c r="Q270" s="53">
        <f t="shared" si="50"/>
        <v>1</v>
      </c>
      <c r="R270" s="490">
        <f t="shared" si="51"/>
        <v>0</v>
      </c>
      <c r="S270" s="799">
        <f t="shared" si="52"/>
        <v>0</v>
      </c>
    </row>
    <row r="271" spans="1:19">
      <c r="A271" s="956"/>
      <c r="B271" s="137"/>
      <c r="C271" s="53">
        <f t="shared" si="43"/>
        <v>1</v>
      </c>
      <c r="D271" s="954"/>
      <c r="E271" s="53">
        <f t="shared" si="44"/>
        <v>1</v>
      </c>
      <c r="F271" s="954"/>
      <c r="G271" s="53">
        <f t="shared" si="45"/>
        <v>1</v>
      </c>
      <c r="H271" s="954"/>
      <c r="I271" s="53">
        <f t="shared" si="46"/>
        <v>1</v>
      </c>
      <c r="J271" s="954"/>
      <c r="K271" s="53">
        <f t="shared" si="47"/>
        <v>1</v>
      </c>
      <c r="L271" s="954"/>
      <c r="M271" s="53">
        <f t="shared" si="48"/>
        <v>1</v>
      </c>
      <c r="N271" s="954"/>
      <c r="O271" s="53">
        <f t="shared" si="49"/>
        <v>1</v>
      </c>
      <c r="P271" s="954"/>
      <c r="Q271" s="53">
        <f t="shared" si="50"/>
        <v>1</v>
      </c>
      <c r="R271" s="490">
        <f t="shared" si="51"/>
        <v>0</v>
      </c>
      <c r="S271" s="799">
        <f t="shared" si="52"/>
        <v>0</v>
      </c>
    </row>
    <row r="272" spans="1:19">
      <c r="A272" s="956"/>
      <c r="B272" s="137"/>
      <c r="C272" s="53">
        <f t="shared" si="43"/>
        <v>1</v>
      </c>
      <c r="D272" s="954"/>
      <c r="E272" s="53">
        <f t="shared" si="44"/>
        <v>1</v>
      </c>
      <c r="F272" s="954"/>
      <c r="G272" s="53">
        <f t="shared" si="45"/>
        <v>1</v>
      </c>
      <c r="H272" s="954"/>
      <c r="I272" s="53">
        <f t="shared" si="46"/>
        <v>1</v>
      </c>
      <c r="J272" s="954"/>
      <c r="K272" s="53">
        <f t="shared" si="47"/>
        <v>1</v>
      </c>
      <c r="L272" s="954"/>
      <c r="M272" s="53">
        <f t="shared" si="48"/>
        <v>1</v>
      </c>
      <c r="N272" s="954"/>
      <c r="O272" s="53">
        <f t="shared" si="49"/>
        <v>1</v>
      </c>
      <c r="P272" s="954"/>
      <c r="Q272" s="53">
        <f t="shared" si="50"/>
        <v>1</v>
      </c>
      <c r="R272" s="490">
        <f t="shared" si="51"/>
        <v>0</v>
      </c>
      <c r="S272" s="799">
        <f t="shared" si="52"/>
        <v>0</v>
      </c>
    </row>
    <row r="273" spans="1:19">
      <c r="A273" s="956"/>
      <c r="B273" s="137"/>
      <c r="C273" s="53">
        <f t="shared" si="43"/>
        <v>1</v>
      </c>
      <c r="D273" s="954"/>
      <c r="E273" s="53">
        <f t="shared" si="44"/>
        <v>1</v>
      </c>
      <c r="F273" s="954"/>
      <c r="G273" s="53">
        <f t="shared" si="45"/>
        <v>1</v>
      </c>
      <c r="H273" s="954"/>
      <c r="I273" s="53">
        <f t="shared" si="46"/>
        <v>1</v>
      </c>
      <c r="J273" s="954"/>
      <c r="K273" s="53">
        <f t="shared" si="47"/>
        <v>1</v>
      </c>
      <c r="L273" s="954"/>
      <c r="M273" s="53">
        <f t="shared" si="48"/>
        <v>1</v>
      </c>
      <c r="N273" s="954"/>
      <c r="O273" s="53">
        <f t="shared" si="49"/>
        <v>1</v>
      </c>
      <c r="P273" s="954"/>
      <c r="Q273" s="53">
        <f t="shared" si="50"/>
        <v>1</v>
      </c>
      <c r="R273" s="490">
        <f t="shared" si="51"/>
        <v>0</v>
      </c>
      <c r="S273" s="799">
        <f t="shared" si="52"/>
        <v>0</v>
      </c>
    </row>
    <row r="274" spans="1:19">
      <c r="A274" s="956"/>
      <c r="B274" s="137"/>
      <c r="C274" s="53">
        <f t="shared" si="43"/>
        <v>1</v>
      </c>
      <c r="D274" s="954"/>
      <c r="E274" s="53">
        <f t="shared" si="44"/>
        <v>1</v>
      </c>
      <c r="F274" s="954"/>
      <c r="G274" s="53">
        <f t="shared" si="45"/>
        <v>1</v>
      </c>
      <c r="H274" s="954"/>
      <c r="I274" s="53">
        <f t="shared" si="46"/>
        <v>1</v>
      </c>
      <c r="J274" s="954"/>
      <c r="K274" s="53">
        <f t="shared" si="47"/>
        <v>1</v>
      </c>
      <c r="L274" s="954"/>
      <c r="M274" s="53">
        <f t="shared" si="48"/>
        <v>1</v>
      </c>
      <c r="N274" s="954"/>
      <c r="O274" s="53">
        <f t="shared" si="49"/>
        <v>1</v>
      </c>
      <c r="P274" s="954"/>
      <c r="Q274" s="53">
        <f t="shared" si="50"/>
        <v>1</v>
      </c>
      <c r="R274" s="490">
        <f t="shared" si="51"/>
        <v>0</v>
      </c>
      <c r="S274" s="799">
        <f t="shared" si="52"/>
        <v>0</v>
      </c>
    </row>
    <row r="275" spans="1:19">
      <c r="A275" s="956"/>
      <c r="B275" s="137"/>
      <c r="C275" s="53">
        <f t="shared" si="43"/>
        <v>1</v>
      </c>
      <c r="D275" s="954"/>
      <c r="E275" s="53">
        <f t="shared" si="44"/>
        <v>1</v>
      </c>
      <c r="F275" s="954"/>
      <c r="G275" s="53">
        <f t="shared" si="45"/>
        <v>1</v>
      </c>
      <c r="H275" s="954"/>
      <c r="I275" s="53">
        <f t="shared" si="46"/>
        <v>1</v>
      </c>
      <c r="J275" s="954"/>
      <c r="K275" s="53">
        <f t="shared" si="47"/>
        <v>1</v>
      </c>
      <c r="L275" s="954"/>
      <c r="M275" s="53">
        <f t="shared" si="48"/>
        <v>1</v>
      </c>
      <c r="N275" s="954"/>
      <c r="O275" s="53">
        <f t="shared" si="49"/>
        <v>1</v>
      </c>
      <c r="P275" s="954"/>
      <c r="Q275" s="53">
        <f t="shared" si="50"/>
        <v>1</v>
      </c>
      <c r="R275" s="490">
        <f t="shared" si="51"/>
        <v>0</v>
      </c>
      <c r="S275" s="799">
        <f t="shared" si="52"/>
        <v>0</v>
      </c>
    </row>
    <row r="276" spans="1:19">
      <c r="A276" s="956"/>
      <c r="B276" s="137"/>
      <c r="C276" s="53">
        <f t="shared" si="43"/>
        <v>1</v>
      </c>
      <c r="D276" s="954"/>
      <c r="E276" s="53">
        <f t="shared" si="44"/>
        <v>1</v>
      </c>
      <c r="F276" s="954"/>
      <c r="G276" s="53">
        <f t="shared" si="45"/>
        <v>1</v>
      </c>
      <c r="H276" s="954"/>
      <c r="I276" s="53">
        <f t="shared" si="46"/>
        <v>1</v>
      </c>
      <c r="J276" s="954"/>
      <c r="K276" s="53">
        <f t="shared" si="47"/>
        <v>1</v>
      </c>
      <c r="L276" s="954"/>
      <c r="M276" s="53">
        <f t="shared" si="48"/>
        <v>1</v>
      </c>
      <c r="N276" s="954"/>
      <c r="O276" s="53">
        <f t="shared" si="49"/>
        <v>1</v>
      </c>
      <c r="P276" s="954"/>
      <c r="Q276" s="53">
        <f t="shared" si="50"/>
        <v>1</v>
      </c>
      <c r="R276" s="490">
        <f t="shared" si="51"/>
        <v>0</v>
      </c>
      <c r="S276" s="799">
        <f t="shared" si="52"/>
        <v>0</v>
      </c>
    </row>
    <row r="277" spans="1:19">
      <c r="A277" s="956"/>
      <c r="B277" s="137"/>
      <c r="C277" s="53">
        <f t="shared" si="43"/>
        <v>1</v>
      </c>
      <c r="D277" s="954"/>
      <c r="E277" s="53">
        <f t="shared" si="44"/>
        <v>1</v>
      </c>
      <c r="F277" s="954"/>
      <c r="G277" s="53">
        <f t="shared" si="45"/>
        <v>1</v>
      </c>
      <c r="H277" s="954"/>
      <c r="I277" s="53">
        <f t="shared" si="46"/>
        <v>1</v>
      </c>
      <c r="J277" s="954"/>
      <c r="K277" s="53">
        <f t="shared" si="47"/>
        <v>1</v>
      </c>
      <c r="L277" s="954"/>
      <c r="M277" s="53">
        <f t="shared" si="48"/>
        <v>1</v>
      </c>
      <c r="N277" s="954"/>
      <c r="O277" s="53">
        <f t="shared" si="49"/>
        <v>1</v>
      </c>
      <c r="P277" s="954"/>
      <c r="Q277" s="53">
        <f t="shared" si="50"/>
        <v>1</v>
      </c>
      <c r="R277" s="490">
        <f t="shared" si="51"/>
        <v>0</v>
      </c>
      <c r="S277" s="799">
        <f t="shared" si="52"/>
        <v>0</v>
      </c>
    </row>
    <row r="278" spans="1:19">
      <c r="A278" s="956"/>
      <c r="B278" s="137"/>
      <c r="C278" s="53">
        <f t="shared" si="43"/>
        <v>1</v>
      </c>
      <c r="D278" s="954"/>
      <c r="E278" s="53">
        <f t="shared" si="44"/>
        <v>1</v>
      </c>
      <c r="F278" s="954"/>
      <c r="G278" s="53">
        <f t="shared" si="45"/>
        <v>1</v>
      </c>
      <c r="H278" s="954"/>
      <c r="I278" s="53">
        <f t="shared" si="46"/>
        <v>1</v>
      </c>
      <c r="J278" s="954"/>
      <c r="K278" s="53">
        <f t="shared" si="47"/>
        <v>1</v>
      </c>
      <c r="L278" s="954"/>
      <c r="M278" s="53">
        <f t="shared" si="48"/>
        <v>1</v>
      </c>
      <c r="N278" s="954"/>
      <c r="O278" s="53">
        <f t="shared" si="49"/>
        <v>1</v>
      </c>
      <c r="P278" s="954"/>
      <c r="Q278" s="53">
        <f t="shared" si="50"/>
        <v>1</v>
      </c>
      <c r="R278" s="490">
        <f t="shared" si="51"/>
        <v>0</v>
      </c>
      <c r="S278" s="799">
        <f t="shared" si="52"/>
        <v>0</v>
      </c>
    </row>
    <row r="279" spans="1:19">
      <c r="A279" s="956"/>
      <c r="B279" s="137"/>
      <c r="C279" s="53">
        <f t="shared" si="43"/>
        <v>1</v>
      </c>
      <c r="D279" s="954"/>
      <c r="E279" s="53">
        <f t="shared" si="44"/>
        <v>1</v>
      </c>
      <c r="F279" s="954"/>
      <c r="G279" s="53">
        <f t="shared" si="45"/>
        <v>1</v>
      </c>
      <c r="H279" s="954"/>
      <c r="I279" s="53">
        <f t="shared" si="46"/>
        <v>1</v>
      </c>
      <c r="J279" s="954"/>
      <c r="K279" s="53">
        <f t="shared" si="47"/>
        <v>1</v>
      </c>
      <c r="L279" s="954"/>
      <c r="M279" s="53">
        <f t="shared" si="48"/>
        <v>1</v>
      </c>
      <c r="N279" s="954"/>
      <c r="O279" s="53">
        <f t="shared" si="49"/>
        <v>1</v>
      </c>
      <c r="P279" s="954"/>
      <c r="Q279" s="53">
        <f t="shared" si="50"/>
        <v>1</v>
      </c>
      <c r="R279" s="490">
        <f t="shared" si="51"/>
        <v>0</v>
      </c>
      <c r="S279" s="799">
        <f t="shared" si="52"/>
        <v>0</v>
      </c>
    </row>
    <row r="280" spans="1:19">
      <c r="A280" s="956"/>
      <c r="B280" s="137"/>
      <c r="C280" s="53">
        <f t="shared" si="43"/>
        <v>1</v>
      </c>
      <c r="D280" s="954"/>
      <c r="E280" s="53">
        <f t="shared" si="44"/>
        <v>1</v>
      </c>
      <c r="F280" s="954"/>
      <c r="G280" s="53">
        <f t="shared" si="45"/>
        <v>1</v>
      </c>
      <c r="H280" s="954"/>
      <c r="I280" s="53">
        <f t="shared" si="46"/>
        <v>1</v>
      </c>
      <c r="J280" s="954"/>
      <c r="K280" s="53">
        <f t="shared" si="47"/>
        <v>1</v>
      </c>
      <c r="L280" s="954"/>
      <c r="M280" s="53">
        <f t="shared" si="48"/>
        <v>1</v>
      </c>
      <c r="N280" s="954"/>
      <c r="O280" s="53">
        <f t="shared" si="49"/>
        <v>1</v>
      </c>
      <c r="P280" s="954"/>
      <c r="Q280" s="53">
        <f t="shared" si="50"/>
        <v>1</v>
      </c>
      <c r="R280" s="490">
        <f t="shared" si="51"/>
        <v>0</v>
      </c>
      <c r="S280" s="799">
        <f t="shared" si="52"/>
        <v>0</v>
      </c>
    </row>
    <row r="281" spans="1:19">
      <c r="A281" s="956"/>
      <c r="B281" s="137"/>
      <c r="C281" s="53">
        <f t="shared" si="43"/>
        <v>1</v>
      </c>
      <c r="D281" s="954"/>
      <c r="E281" s="53">
        <f t="shared" si="44"/>
        <v>1</v>
      </c>
      <c r="F281" s="954"/>
      <c r="G281" s="53">
        <f t="shared" si="45"/>
        <v>1</v>
      </c>
      <c r="H281" s="954"/>
      <c r="I281" s="53">
        <f t="shared" si="46"/>
        <v>1</v>
      </c>
      <c r="J281" s="954"/>
      <c r="K281" s="53">
        <f t="shared" si="47"/>
        <v>1</v>
      </c>
      <c r="L281" s="954"/>
      <c r="M281" s="53">
        <f t="shared" si="48"/>
        <v>1</v>
      </c>
      <c r="N281" s="954"/>
      <c r="O281" s="53">
        <f t="shared" si="49"/>
        <v>1</v>
      </c>
      <c r="P281" s="954"/>
      <c r="Q281" s="53">
        <f t="shared" si="50"/>
        <v>1</v>
      </c>
      <c r="R281" s="490">
        <f t="shared" si="51"/>
        <v>0</v>
      </c>
      <c r="S281" s="799">
        <f t="shared" si="52"/>
        <v>0</v>
      </c>
    </row>
    <row r="282" spans="1:19">
      <c r="A282" s="956"/>
      <c r="B282" s="137"/>
      <c r="C282" s="53">
        <f t="shared" ref="C282:C345" si="53">IF(B282="",1,(LOOKUP(B282,$3:$3,$4:$4)-LOOKUP($B$24,$3:$3,$4:$4)+100)/100)</f>
        <v>1</v>
      </c>
      <c r="D282" s="954"/>
      <c r="E282" s="53">
        <f t="shared" ref="E282:E345" si="54">(SUMIF($5:$5,D282,$6:$6)-SUMIF($5:$5,$D$24,$6:$6)+100)/100</f>
        <v>1</v>
      </c>
      <c r="F282" s="954"/>
      <c r="G282" s="53">
        <f t="shared" ref="G282:G345" si="55">(SUMIF($7:$7,F282,$8:$8)-SUMIF($7:$7,$F$24,$8:$8)+100)/100</f>
        <v>1</v>
      </c>
      <c r="H282" s="954"/>
      <c r="I282" s="53">
        <f t="shared" ref="I282:I345" si="56">(SUMIF($9:$9,H282,$10:$10)-SUMIF($9:$9,$H$24,$10:$10)+100)/100</f>
        <v>1</v>
      </c>
      <c r="J282" s="954"/>
      <c r="K282" s="53">
        <f t="shared" ref="K282:K345" si="57">(SUMIF($11:$11,J282,$12:$12)-SUMIF($11:$11,$J$24,$12:$12)+100)/100</f>
        <v>1</v>
      </c>
      <c r="L282" s="954"/>
      <c r="M282" s="53">
        <f t="shared" ref="M282:M345" si="58">(SUMIF($13:$13,L282,$14:$14)-SUMIF($13:$13,$L$24,$14:$14)+100)/100</f>
        <v>1</v>
      </c>
      <c r="N282" s="954"/>
      <c r="O282" s="53">
        <f t="shared" ref="O282:O345" si="59">(SUMIF($15:$15,N282,$16:$16)-SUMIF($15:$15,$N$24,$16:$16)+100)/100</f>
        <v>1</v>
      </c>
      <c r="P282" s="954"/>
      <c r="Q282" s="53">
        <f t="shared" ref="Q282:Q345" si="60">(SUMIF($17:$17,P282,$18:$18)-SUMIF($17:$17,$P$24,$18:$18)+100)/100</f>
        <v>1</v>
      </c>
      <c r="R282" s="490">
        <f t="shared" ref="R282:R345" si="61">IF(B282="",0,ROUND($R$24*C282*E282*G282*I282*K282*M282*O282*Q282,0))</f>
        <v>0</v>
      </c>
      <c r="S282" s="799">
        <f t="shared" si="52"/>
        <v>0</v>
      </c>
    </row>
    <row r="283" spans="1:19">
      <c r="A283" s="956"/>
      <c r="B283" s="137"/>
      <c r="C283" s="53">
        <f t="shared" si="53"/>
        <v>1</v>
      </c>
      <c r="D283" s="954"/>
      <c r="E283" s="53">
        <f t="shared" si="54"/>
        <v>1</v>
      </c>
      <c r="F283" s="954"/>
      <c r="G283" s="53">
        <f t="shared" si="55"/>
        <v>1</v>
      </c>
      <c r="H283" s="954"/>
      <c r="I283" s="53">
        <f t="shared" si="56"/>
        <v>1</v>
      </c>
      <c r="J283" s="954"/>
      <c r="K283" s="53">
        <f t="shared" si="57"/>
        <v>1</v>
      </c>
      <c r="L283" s="954"/>
      <c r="M283" s="53">
        <f t="shared" si="58"/>
        <v>1</v>
      </c>
      <c r="N283" s="954"/>
      <c r="O283" s="53">
        <f t="shared" si="59"/>
        <v>1</v>
      </c>
      <c r="P283" s="954"/>
      <c r="Q283" s="53">
        <f t="shared" si="60"/>
        <v>1</v>
      </c>
      <c r="R283" s="490">
        <f t="shared" si="61"/>
        <v>0</v>
      </c>
      <c r="S283" s="799">
        <f t="shared" si="52"/>
        <v>0</v>
      </c>
    </row>
    <row r="284" spans="1:19">
      <c r="A284" s="956"/>
      <c r="B284" s="137"/>
      <c r="C284" s="53">
        <f t="shared" si="53"/>
        <v>1</v>
      </c>
      <c r="D284" s="954"/>
      <c r="E284" s="53">
        <f t="shared" si="54"/>
        <v>1</v>
      </c>
      <c r="F284" s="954"/>
      <c r="G284" s="53">
        <f t="shared" si="55"/>
        <v>1</v>
      </c>
      <c r="H284" s="954"/>
      <c r="I284" s="53">
        <f t="shared" si="56"/>
        <v>1</v>
      </c>
      <c r="J284" s="954"/>
      <c r="K284" s="53">
        <f t="shared" si="57"/>
        <v>1</v>
      </c>
      <c r="L284" s="954"/>
      <c r="M284" s="53">
        <f t="shared" si="58"/>
        <v>1</v>
      </c>
      <c r="N284" s="954"/>
      <c r="O284" s="53">
        <f t="shared" si="59"/>
        <v>1</v>
      </c>
      <c r="P284" s="954"/>
      <c r="Q284" s="53">
        <f t="shared" si="60"/>
        <v>1</v>
      </c>
      <c r="R284" s="490">
        <f t="shared" si="61"/>
        <v>0</v>
      </c>
      <c r="S284" s="799">
        <f t="shared" si="52"/>
        <v>0</v>
      </c>
    </row>
    <row r="285" spans="1:19">
      <c r="A285" s="956"/>
      <c r="B285" s="137"/>
      <c r="C285" s="53">
        <f t="shared" si="53"/>
        <v>1</v>
      </c>
      <c r="D285" s="954"/>
      <c r="E285" s="53">
        <f t="shared" si="54"/>
        <v>1</v>
      </c>
      <c r="F285" s="954"/>
      <c r="G285" s="53">
        <f t="shared" si="55"/>
        <v>1</v>
      </c>
      <c r="H285" s="954"/>
      <c r="I285" s="53">
        <f t="shared" si="56"/>
        <v>1</v>
      </c>
      <c r="J285" s="954"/>
      <c r="K285" s="53">
        <f t="shared" si="57"/>
        <v>1</v>
      </c>
      <c r="L285" s="954"/>
      <c r="M285" s="53">
        <f t="shared" si="58"/>
        <v>1</v>
      </c>
      <c r="N285" s="954"/>
      <c r="O285" s="53">
        <f t="shared" si="59"/>
        <v>1</v>
      </c>
      <c r="P285" s="954"/>
      <c r="Q285" s="53">
        <f t="shared" si="60"/>
        <v>1</v>
      </c>
      <c r="R285" s="490">
        <f t="shared" si="61"/>
        <v>0</v>
      </c>
      <c r="S285" s="799">
        <f t="shared" si="52"/>
        <v>0</v>
      </c>
    </row>
    <row r="286" spans="1:19">
      <c r="A286" s="956"/>
      <c r="B286" s="137"/>
      <c r="C286" s="53">
        <f t="shared" si="53"/>
        <v>1</v>
      </c>
      <c r="D286" s="954"/>
      <c r="E286" s="53">
        <f t="shared" si="54"/>
        <v>1</v>
      </c>
      <c r="F286" s="954"/>
      <c r="G286" s="53">
        <f t="shared" si="55"/>
        <v>1</v>
      </c>
      <c r="H286" s="954"/>
      <c r="I286" s="53">
        <f t="shared" si="56"/>
        <v>1</v>
      </c>
      <c r="J286" s="954"/>
      <c r="K286" s="53">
        <f t="shared" si="57"/>
        <v>1</v>
      </c>
      <c r="L286" s="954"/>
      <c r="M286" s="53">
        <f t="shared" si="58"/>
        <v>1</v>
      </c>
      <c r="N286" s="954"/>
      <c r="O286" s="53">
        <f t="shared" si="59"/>
        <v>1</v>
      </c>
      <c r="P286" s="954"/>
      <c r="Q286" s="53">
        <f t="shared" si="60"/>
        <v>1</v>
      </c>
      <c r="R286" s="490">
        <f t="shared" si="61"/>
        <v>0</v>
      </c>
      <c r="S286" s="799">
        <f t="shared" si="52"/>
        <v>0</v>
      </c>
    </row>
    <row r="287" spans="1:19">
      <c r="A287" s="956"/>
      <c r="B287" s="137"/>
      <c r="C287" s="53">
        <f t="shared" si="53"/>
        <v>1</v>
      </c>
      <c r="D287" s="954"/>
      <c r="E287" s="53">
        <f t="shared" si="54"/>
        <v>1</v>
      </c>
      <c r="F287" s="954"/>
      <c r="G287" s="53">
        <f t="shared" si="55"/>
        <v>1</v>
      </c>
      <c r="H287" s="954"/>
      <c r="I287" s="53">
        <f t="shared" si="56"/>
        <v>1</v>
      </c>
      <c r="J287" s="954"/>
      <c r="K287" s="53">
        <f t="shared" si="57"/>
        <v>1</v>
      </c>
      <c r="L287" s="954"/>
      <c r="M287" s="53">
        <f t="shared" si="58"/>
        <v>1</v>
      </c>
      <c r="N287" s="954"/>
      <c r="O287" s="53">
        <f t="shared" si="59"/>
        <v>1</v>
      </c>
      <c r="P287" s="954"/>
      <c r="Q287" s="53">
        <f t="shared" si="60"/>
        <v>1</v>
      </c>
      <c r="R287" s="490">
        <f t="shared" si="61"/>
        <v>0</v>
      </c>
      <c r="S287" s="799">
        <f t="shared" ref="S287:S320" si="62">ROUND(R287*B287/10000,0)</f>
        <v>0</v>
      </c>
    </row>
    <row r="288" spans="1:19">
      <c r="A288" s="956"/>
      <c r="B288" s="137"/>
      <c r="C288" s="53">
        <f t="shared" si="53"/>
        <v>1</v>
      </c>
      <c r="D288" s="954"/>
      <c r="E288" s="53">
        <f t="shared" si="54"/>
        <v>1</v>
      </c>
      <c r="F288" s="954"/>
      <c r="G288" s="53">
        <f t="shared" si="55"/>
        <v>1</v>
      </c>
      <c r="H288" s="954"/>
      <c r="I288" s="53">
        <f t="shared" si="56"/>
        <v>1</v>
      </c>
      <c r="J288" s="954"/>
      <c r="K288" s="53">
        <f t="shared" si="57"/>
        <v>1</v>
      </c>
      <c r="L288" s="954"/>
      <c r="M288" s="53">
        <f t="shared" si="58"/>
        <v>1</v>
      </c>
      <c r="N288" s="954"/>
      <c r="O288" s="53">
        <f t="shared" si="59"/>
        <v>1</v>
      </c>
      <c r="P288" s="954"/>
      <c r="Q288" s="53">
        <f t="shared" si="60"/>
        <v>1</v>
      </c>
      <c r="R288" s="490">
        <f t="shared" si="61"/>
        <v>0</v>
      </c>
      <c r="S288" s="799">
        <f t="shared" si="62"/>
        <v>0</v>
      </c>
    </row>
    <row r="289" spans="1:19">
      <c r="A289" s="956"/>
      <c r="B289" s="137"/>
      <c r="C289" s="53">
        <f t="shared" si="53"/>
        <v>1</v>
      </c>
      <c r="D289" s="954"/>
      <c r="E289" s="53">
        <f t="shared" si="54"/>
        <v>1</v>
      </c>
      <c r="F289" s="954"/>
      <c r="G289" s="53">
        <f t="shared" si="55"/>
        <v>1</v>
      </c>
      <c r="H289" s="954"/>
      <c r="I289" s="53">
        <f t="shared" si="56"/>
        <v>1</v>
      </c>
      <c r="J289" s="954"/>
      <c r="K289" s="53">
        <f t="shared" si="57"/>
        <v>1</v>
      </c>
      <c r="L289" s="954"/>
      <c r="M289" s="53">
        <f t="shared" si="58"/>
        <v>1</v>
      </c>
      <c r="N289" s="954"/>
      <c r="O289" s="53">
        <f t="shared" si="59"/>
        <v>1</v>
      </c>
      <c r="P289" s="954"/>
      <c r="Q289" s="53">
        <f t="shared" si="60"/>
        <v>1</v>
      </c>
      <c r="R289" s="490">
        <f t="shared" si="61"/>
        <v>0</v>
      </c>
      <c r="S289" s="799">
        <f t="shared" si="62"/>
        <v>0</v>
      </c>
    </row>
    <row r="290" spans="1:19">
      <c r="A290" s="956"/>
      <c r="B290" s="137"/>
      <c r="C290" s="53">
        <f t="shared" si="53"/>
        <v>1</v>
      </c>
      <c r="D290" s="954"/>
      <c r="E290" s="53">
        <f t="shared" si="54"/>
        <v>1</v>
      </c>
      <c r="F290" s="954"/>
      <c r="G290" s="53">
        <f t="shared" si="55"/>
        <v>1</v>
      </c>
      <c r="H290" s="954"/>
      <c r="I290" s="53">
        <f t="shared" si="56"/>
        <v>1</v>
      </c>
      <c r="J290" s="954"/>
      <c r="K290" s="53">
        <f t="shared" si="57"/>
        <v>1</v>
      </c>
      <c r="L290" s="954"/>
      <c r="M290" s="53">
        <f t="shared" si="58"/>
        <v>1</v>
      </c>
      <c r="N290" s="954"/>
      <c r="O290" s="53">
        <f t="shared" si="59"/>
        <v>1</v>
      </c>
      <c r="P290" s="954"/>
      <c r="Q290" s="53">
        <f t="shared" si="60"/>
        <v>1</v>
      </c>
      <c r="R290" s="490">
        <f t="shared" si="61"/>
        <v>0</v>
      </c>
      <c r="S290" s="799">
        <f t="shared" si="62"/>
        <v>0</v>
      </c>
    </row>
    <row r="291" spans="1:19">
      <c r="A291" s="956"/>
      <c r="B291" s="137"/>
      <c r="C291" s="53">
        <f t="shared" si="53"/>
        <v>1</v>
      </c>
      <c r="D291" s="954"/>
      <c r="E291" s="53">
        <f t="shared" si="54"/>
        <v>1</v>
      </c>
      <c r="F291" s="954"/>
      <c r="G291" s="53">
        <f t="shared" si="55"/>
        <v>1</v>
      </c>
      <c r="H291" s="954"/>
      <c r="I291" s="53">
        <f t="shared" si="56"/>
        <v>1</v>
      </c>
      <c r="J291" s="954"/>
      <c r="K291" s="53">
        <f t="shared" si="57"/>
        <v>1</v>
      </c>
      <c r="L291" s="954"/>
      <c r="M291" s="53">
        <f t="shared" si="58"/>
        <v>1</v>
      </c>
      <c r="N291" s="954"/>
      <c r="O291" s="53">
        <f t="shared" si="59"/>
        <v>1</v>
      </c>
      <c r="P291" s="954"/>
      <c r="Q291" s="53">
        <f t="shared" si="60"/>
        <v>1</v>
      </c>
      <c r="R291" s="490">
        <f t="shared" si="61"/>
        <v>0</v>
      </c>
      <c r="S291" s="799">
        <f t="shared" si="62"/>
        <v>0</v>
      </c>
    </row>
    <row r="292" spans="1:19">
      <c r="A292" s="956"/>
      <c r="B292" s="137"/>
      <c r="C292" s="53">
        <f t="shared" si="53"/>
        <v>1</v>
      </c>
      <c r="D292" s="954"/>
      <c r="E292" s="53">
        <f t="shared" si="54"/>
        <v>1</v>
      </c>
      <c r="F292" s="954"/>
      <c r="G292" s="53">
        <f t="shared" si="55"/>
        <v>1</v>
      </c>
      <c r="H292" s="954"/>
      <c r="I292" s="53">
        <f t="shared" si="56"/>
        <v>1</v>
      </c>
      <c r="J292" s="954"/>
      <c r="K292" s="53">
        <f t="shared" si="57"/>
        <v>1</v>
      </c>
      <c r="L292" s="954"/>
      <c r="M292" s="53">
        <f t="shared" si="58"/>
        <v>1</v>
      </c>
      <c r="N292" s="954"/>
      <c r="O292" s="53">
        <f t="shared" si="59"/>
        <v>1</v>
      </c>
      <c r="P292" s="954"/>
      <c r="Q292" s="53">
        <f t="shared" si="60"/>
        <v>1</v>
      </c>
      <c r="R292" s="490">
        <f t="shared" si="61"/>
        <v>0</v>
      </c>
      <c r="S292" s="799">
        <f t="shared" si="62"/>
        <v>0</v>
      </c>
    </row>
    <row r="293" spans="1:19">
      <c r="A293" s="956"/>
      <c r="B293" s="137"/>
      <c r="C293" s="53">
        <f t="shared" si="53"/>
        <v>1</v>
      </c>
      <c r="D293" s="954"/>
      <c r="E293" s="53">
        <f t="shared" si="54"/>
        <v>1</v>
      </c>
      <c r="F293" s="954"/>
      <c r="G293" s="53">
        <f t="shared" si="55"/>
        <v>1</v>
      </c>
      <c r="H293" s="954"/>
      <c r="I293" s="53">
        <f t="shared" si="56"/>
        <v>1</v>
      </c>
      <c r="J293" s="954"/>
      <c r="K293" s="53">
        <f t="shared" si="57"/>
        <v>1</v>
      </c>
      <c r="L293" s="954"/>
      <c r="M293" s="53">
        <f t="shared" si="58"/>
        <v>1</v>
      </c>
      <c r="N293" s="954"/>
      <c r="O293" s="53">
        <f t="shared" si="59"/>
        <v>1</v>
      </c>
      <c r="P293" s="954"/>
      <c r="Q293" s="53">
        <f t="shared" si="60"/>
        <v>1</v>
      </c>
      <c r="R293" s="490">
        <f t="shared" si="61"/>
        <v>0</v>
      </c>
      <c r="S293" s="799">
        <f t="shared" si="62"/>
        <v>0</v>
      </c>
    </row>
    <row r="294" spans="1:19">
      <c r="A294" s="956"/>
      <c r="B294" s="137"/>
      <c r="C294" s="53">
        <f t="shared" si="53"/>
        <v>1</v>
      </c>
      <c r="D294" s="954"/>
      <c r="E294" s="53">
        <f t="shared" si="54"/>
        <v>1</v>
      </c>
      <c r="F294" s="954"/>
      <c r="G294" s="53">
        <f t="shared" si="55"/>
        <v>1</v>
      </c>
      <c r="H294" s="954"/>
      <c r="I294" s="53">
        <f t="shared" si="56"/>
        <v>1</v>
      </c>
      <c r="J294" s="954"/>
      <c r="K294" s="53">
        <f t="shared" si="57"/>
        <v>1</v>
      </c>
      <c r="L294" s="954"/>
      <c r="M294" s="53">
        <f t="shared" si="58"/>
        <v>1</v>
      </c>
      <c r="N294" s="954"/>
      <c r="O294" s="53">
        <f t="shared" si="59"/>
        <v>1</v>
      </c>
      <c r="P294" s="954"/>
      <c r="Q294" s="53">
        <f t="shared" si="60"/>
        <v>1</v>
      </c>
      <c r="R294" s="490">
        <f t="shared" si="61"/>
        <v>0</v>
      </c>
      <c r="S294" s="799">
        <f t="shared" si="62"/>
        <v>0</v>
      </c>
    </row>
    <row r="295" spans="1:19">
      <c r="A295" s="956"/>
      <c r="B295" s="137"/>
      <c r="C295" s="53">
        <f t="shared" si="53"/>
        <v>1</v>
      </c>
      <c r="D295" s="954"/>
      <c r="E295" s="53">
        <f t="shared" si="54"/>
        <v>1</v>
      </c>
      <c r="F295" s="954"/>
      <c r="G295" s="53">
        <f t="shared" si="55"/>
        <v>1</v>
      </c>
      <c r="H295" s="954"/>
      <c r="I295" s="53">
        <f t="shared" si="56"/>
        <v>1</v>
      </c>
      <c r="J295" s="954"/>
      <c r="K295" s="53">
        <f t="shared" si="57"/>
        <v>1</v>
      </c>
      <c r="L295" s="954"/>
      <c r="M295" s="53">
        <f t="shared" si="58"/>
        <v>1</v>
      </c>
      <c r="N295" s="954"/>
      <c r="O295" s="53">
        <f t="shared" si="59"/>
        <v>1</v>
      </c>
      <c r="P295" s="954"/>
      <c r="Q295" s="53">
        <f t="shared" si="60"/>
        <v>1</v>
      </c>
      <c r="R295" s="490">
        <f t="shared" si="61"/>
        <v>0</v>
      </c>
      <c r="S295" s="799">
        <f t="shared" si="62"/>
        <v>0</v>
      </c>
    </row>
    <row r="296" spans="1:19">
      <c r="A296" s="956"/>
      <c r="B296" s="137"/>
      <c r="C296" s="53">
        <f t="shared" si="53"/>
        <v>1</v>
      </c>
      <c r="D296" s="954"/>
      <c r="E296" s="53">
        <f t="shared" si="54"/>
        <v>1</v>
      </c>
      <c r="F296" s="954"/>
      <c r="G296" s="53">
        <f t="shared" si="55"/>
        <v>1</v>
      </c>
      <c r="H296" s="954"/>
      <c r="I296" s="53">
        <f t="shared" si="56"/>
        <v>1</v>
      </c>
      <c r="J296" s="954"/>
      <c r="K296" s="53">
        <f t="shared" si="57"/>
        <v>1</v>
      </c>
      <c r="L296" s="954"/>
      <c r="M296" s="53">
        <f t="shared" si="58"/>
        <v>1</v>
      </c>
      <c r="N296" s="954"/>
      <c r="O296" s="53">
        <f t="shared" si="59"/>
        <v>1</v>
      </c>
      <c r="P296" s="954"/>
      <c r="Q296" s="53">
        <f t="shared" si="60"/>
        <v>1</v>
      </c>
      <c r="R296" s="490">
        <f t="shared" si="61"/>
        <v>0</v>
      </c>
      <c r="S296" s="799">
        <f t="shared" si="62"/>
        <v>0</v>
      </c>
    </row>
    <row r="297" spans="1:19">
      <c r="A297" s="956"/>
      <c r="B297" s="137"/>
      <c r="C297" s="53">
        <f t="shared" si="53"/>
        <v>1</v>
      </c>
      <c r="D297" s="954"/>
      <c r="E297" s="53">
        <f t="shared" si="54"/>
        <v>1</v>
      </c>
      <c r="F297" s="954"/>
      <c r="G297" s="53">
        <f t="shared" si="55"/>
        <v>1</v>
      </c>
      <c r="H297" s="954"/>
      <c r="I297" s="53">
        <f t="shared" si="56"/>
        <v>1</v>
      </c>
      <c r="J297" s="954"/>
      <c r="K297" s="53">
        <f t="shared" si="57"/>
        <v>1</v>
      </c>
      <c r="L297" s="954"/>
      <c r="M297" s="53">
        <f t="shared" si="58"/>
        <v>1</v>
      </c>
      <c r="N297" s="954"/>
      <c r="O297" s="53">
        <f t="shared" si="59"/>
        <v>1</v>
      </c>
      <c r="P297" s="954"/>
      <c r="Q297" s="53">
        <f t="shared" si="60"/>
        <v>1</v>
      </c>
      <c r="R297" s="490">
        <f t="shared" si="61"/>
        <v>0</v>
      </c>
      <c r="S297" s="799">
        <f t="shared" si="62"/>
        <v>0</v>
      </c>
    </row>
    <row r="298" spans="1:19">
      <c r="A298" s="956"/>
      <c r="B298" s="137"/>
      <c r="C298" s="53">
        <f t="shared" si="53"/>
        <v>1</v>
      </c>
      <c r="D298" s="954"/>
      <c r="E298" s="53">
        <f t="shared" si="54"/>
        <v>1</v>
      </c>
      <c r="F298" s="954"/>
      <c r="G298" s="53">
        <f t="shared" si="55"/>
        <v>1</v>
      </c>
      <c r="H298" s="954"/>
      <c r="I298" s="53">
        <f t="shared" si="56"/>
        <v>1</v>
      </c>
      <c r="J298" s="954"/>
      <c r="K298" s="53">
        <f t="shared" si="57"/>
        <v>1</v>
      </c>
      <c r="L298" s="954"/>
      <c r="M298" s="53">
        <f t="shared" si="58"/>
        <v>1</v>
      </c>
      <c r="N298" s="954"/>
      <c r="O298" s="53">
        <f t="shared" si="59"/>
        <v>1</v>
      </c>
      <c r="P298" s="954"/>
      <c r="Q298" s="53">
        <f t="shared" si="60"/>
        <v>1</v>
      </c>
      <c r="R298" s="490">
        <f t="shared" si="61"/>
        <v>0</v>
      </c>
      <c r="S298" s="799">
        <f t="shared" si="62"/>
        <v>0</v>
      </c>
    </row>
    <row r="299" spans="1:19">
      <c r="A299" s="956"/>
      <c r="B299" s="137"/>
      <c r="C299" s="53">
        <f t="shared" si="53"/>
        <v>1</v>
      </c>
      <c r="D299" s="954"/>
      <c r="E299" s="53">
        <f t="shared" si="54"/>
        <v>1</v>
      </c>
      <c r="F299" s="954"/>
      <c r="G299" s="53">
        <f t="shared" si="55"/>
        <v>1</v>
      </c>
      <c r="H299" s="954"/>
      <c r="I299" s="53">
        <f t="shared" si="56"/>
        <v>1</v>
      </c>
      <c r="J299" s="954"/>
      <c r="K299" s="53">
        <f t="shared" si="57"/>
        <v>1</v>
      </c>
      <c r="L299" s="954"/>
      <c r="M299" s="53">
        <f t="shared" si="58"/>
        <v>1</v>
      </c>
      <c r="N299" s="954"/>
      <c r="O299" s="53">
        <f t="shared" si="59"/>
        <v>1</v>
      </c>
      <c r="P299" s="954"/>
      <c r="Q299" s="53">
        <f t="shared" si="60"/>
        <v>1</v>
      </c>
      <c r="R299" s="490">
        <f t="shared" si="61"/>
        <v>0</v>
      </c>
      <c r="S299" s="799">
        <f t="shared" si="62"/>
        <v>0</v>
      </c>
    </row>
    <row r="300" spans="1:19">
      <c r="A300" s="956"/>
      <c r="B300" s="137"/>
      <c r="C300" s="53">
        <f t="shared" si="53"/>
        <v>1</v>
      </c>
      <c r="D300" s="954"/>
      <c r="E300" s="53">
        <f t="shared" si="54"/>
        <v>1</v>
      </c>
      <c r="F300" s="954"/>
      <c r="G300" s="53">
        <f t="shared" si="55"/>
        <v>1</v>
      </c>
      <c r="H300" s="954"/>
      <c r="I300" s="53">
        <f t="shared" si="56"/>
        <v>1</v>
      </c>
      <c r="J300" s="954"/>
      <c r="K300" s="53">
        <f t="shared" si="57"/>
        <v>1</v>
      </c>
      <c r="L300" s="954"/>
      <c r="M300" s="53">
        <f t="shared" si="58"/>
        <v>1</v>
      </c>
      <c r="N300" s="954"/>
      <c r="O300" s="53">
        <f t="shared" si="59"/>
        <v>1</v>
      </c>
      <c r="P300" s="954"/>
      <c r="Q300" s="53">
        <f t="shared" si="60"/>
        <v>1</v>
      </c>
      <c r="R300" s="490">
        <f t="shared" si="61"/>
        <v>0</v>
      </c>
      <c r="S300" s="799">
        <f t="shared" si="62"/>
        <v>0</v>
      </c>
    </row>
    <row r="301" spans="1:19">
      <c r="A301" s="956"/>
      <c r="B301" s="137"/>
      <c r="C301" s="53">
        <f t="shared" si="53"/>
        <v>1</v>
      </c>
      <c r="D301" s="954"/>
      <c r="E301" s="53">
        <f t="shared" si="54"/>
        <v>1</v>
      </c>
      <c r="F301" s="954"/>
      <c r="G301" s="53">
        <f t="shared" si="55"/>
        <v>1</v>
      </c>
      <c r="H301" s="954"/>
      <c r="I301" s="53">
        <f t="shared" si="56"/>
        <v>1</v>
      </c>
      <c r="J301" s="954"/>
      <c r="K301" s="53">
        <f t="shared" si="57"/>
        <v>1</v>
      </c>
      <c r="L301" s="954"/>
      <c r="M301" s="53">
        <f t="shared" si="58"/>
        <v>1</v>
      </c>
      <c r="N301" s="954"/>
      <c r="O301" s="53">
        <f t="shared" si="59"/>
        <v>1</v>
      </c>
      <c r="P301" s="954"/>
      <c r="Q301" s="53">
        <f t="shared" si="60"/>
        <v>1</v>
      </c>
      <c r="R301" s="490">
        <f t="shared" si="61"/>
        <v>0</v>
      </c>
      <c r="S301" s="799">
        <f t="shared" si="62"/>
        <v>0</v>
      </c>
    </row>
    <row r="302" spans="1:19">
      <c r="A302" s="956"/>
      <c r="B302" s="137"/>
      <c r="C302" s="53">
        <f t="shared" si="53"/>
        <v>1</v>
      </c>
      <c r="D302" s="954"/>
      <c r="E302" s="53">
        <f t="shared" si="54"/>
        <v>1</v>
      </c>
      <c r="F302" s="954"/>
      <c r="G302" s="53">
        <f t="shared" si="55"/>
        <v>1</v>
      </c>
      <c r="H302" s="954"/>
      <c r="I302" s="53">
        <f t="shared" si="56"/>
        <v>1</v>
      </c>
      <c r="J302" s="954"/>
      <c r="K302" s="53">
        <f t="shared" si="57"/>
        <v>1</v>
      </c>
      <c r="L302" s="954"/>
      <c r="M302" s="53">
        <f t="shared" si="58"/>
        <v>1</v>
      </c>
      <c r="N302" s="954"/>
      <c r="O302" s="53">
        <f t="shared" si="59"/>
        <v>1</v>
      </c>
      <c r="P302" s="954"/>
      <c r="Q302" s="53">
        <f t="shared" si="60"/>
        <v>1</v>
      </c>
      <c r="R302" s="490">
        <f t="shared" si="61"/>
        <v>0</v>
      </c>
      <c r="S302" s="799">
        <f t="shared" si="62"/>
        <v>0</v>
      </c>
    </row>
    <row r="303" spans="1:19">
      <c r="A303" s="956"/>
      <c r="B303" s="137"/>
      <c r="C303" s="53">
        <f t="shared" si="53"/>
        <v>1</v>
      </c>
      <c r="D303" s="954"/>
      <c r="E303" s="53">
        <f t="shared" si="54"/>
        <v>1</v>
      </c>
      <c r="F303" s="954"/>
      <c r="G303" s="53">
        <f t="shared" si="55"/>
        <v>1</v>
      </c>
      <c r="H303" s="954"/>
      <c r="I303" s="53">
        <f t="shared" si="56"/>
        <v>1</v>
      </c>
      <c r="J303" s="954"/>
      <c r="K303" s="53">
        <f t="shared" si="57"/>
        <v>1</v>
      </c>
      <c r="L303" s="954"/>
      <c r="M303" s="53">
        <f t="shared" si="58"/>
        <v>1</v>
      </c>
      <c r="N303" s="954"/>
      <c r="O303" s="53">
        <f t="shared" si="59"/>
        <v>1</v>
      </c>
      <c r="P303" s="954"/>
      <c r="Q303" s="53">
        <f t="shared" si="60"/>
        <v>1</v>
      </c>
      <c r="R303" s="490">
        <f t="shared" si="61"/>
        <v>0</v>
      </c>
      <c r="S303" s="799">
        <f t="shared" si="62"/>
        <v>0</v>
      </c>
    </row>
    <row r="304" spans="1:19">
      <c r="A304" s="956"/>
      <c r="B304" s="137"/>
      <c r="C304" s="53">
        <f t="shared" si="53"/>
        <v>1</v>
      </c>
      <c r="D304" s="954"/>
      <c r="E304" s="53">
        <f t="shared" si="54"/>
        <v>1</v>
      </c>
      <c r="F304" s="954"/>
      <c r="G304" s="53">
        <f t="shared" si="55"/>
        <v>1</v>
      </c>
      <c r="H304" s="954"/>
      <c r="I304" s="53">
        <f t="shared" si="56"/>
        <v>1</v>
      </c>
      <c r="J304" s="954"/>
      <c r="K304" s="53">
        <f t="shared" si="57"/>
        <v>1</v>
      </c>
      <c r="L304" s="954"/>
      <c r="M304" s="53">
        <f t="shared" si="58"/>
        <v>1</v>
      </c>
      <c r="N304" s="954"/>
      <c r="O304" s="53">
        <f t="shared" si="59"/>
        <v>1</v>
      </c>
      <c r="P304" s="954"/>
      <c r="Q304" s="53">
        <f t="shared" si="60"/>
        <v>1</v>
      </c>
      <c r="R304" s="490">
        <f t="shared" si="61"/>
        <v>0</v>
      </c>
      <c r="S304" s="799">
        <f t="shared" si="62"/>
        <v>0</v>
      </c>
    </row>
    <row r="305" spans="1:19">
      <c r="A305" s="956"/>
      <c r="B305" s="137"/>
      <c r="C305" s="53">
        <f t="shared" si="53"/>
        <v>1</v>
      </c>
      <c r="D305" s="954"/>
      <c r="E305" s="53">
        <f t="shared" si="54"/>
        <v>1</v>
      </c>
      <c r="F305" s="954"/>
      <c r="G305" s="53">
        <f t="shared" si="55"/>
        <v>1</v>
      </c>
      <c r="H305" s="954"/>
      <c r="I305" s="53">
        <f t="shared" si="56"/>
        <v>1</v>
      </c>
      <c r="J305" s="954"/>
      <c r="K305" s="53">
        <f t="shared" si="57"/>
        <v>1</v>
      </c>
      <c r="L305" s="954"/>
      <c r="M305" s="53">
        <f t="shared" si="58"/>
        <v>1</v>
      </c>
      <c r="N305" s="954"/>
      <c r="O305" s="53">
        <f t="shared" si="59"/>
        <v>1</v>
      </c>
      <c r="P305" s="954"/>
      <c r="Q305" s="53">
        <f t="shared" si="60"/>
        <v>1</v>
      </c>
      <c r="R305" s="490">
        <f t="shared" si="61"/>
        <v>0</v>
      </c>
      <c r="S305" s="799">
        <f t="shared" si="62"/>
        <v>0</v>
      </c>
    </row>
    <row r="306" spans="1:19">
      <c r="A306" s="956"/>
      <c r="B306" s="137"/>
      <c r="C306" s="53">
        <f t="shared" si="53"/>
        <v>1</v>
      </c>
      <c r="D306" s="954"/>
      <c r="E306" s="53">
        <f t="shared" si="54"/>
        <v>1</v>
      </c>
      <c r="F306" s="954"/>
      <c r="G306" s="53">
        <f t="shared" si="55"/>
        <v>1</v>
      </c>
      <c r="H306" s="954"/>
      <c r="I306" s="53">
        <f t="shared" si="56"/>
        <v>1</v>
      </c>
      <c r="J306" s="954"/>
      <c r="K306" s="53">
        <f t="shared" si="57"/>
        <v>1</v>
      </c>
      <c r="L306" s="954"/>
      <c r="M306" s="53">
        <f t="shared" si="58"/>
        <v>1</v>
      </c>
      <c r="N306" s="954"/>
      <c r="O306" s="53">
        <f t="shared" si="59"/>
        <v>1</v>
      </c>
      <c r="P306" s="954"/>
      <c r="Q306" s="53">
        <f t="shared" si="60"/>
        <v>1</v>
      </c>
      <c r="R306" s="490">
        <f t="shared" si="61"/>
        <v>0</v>
      </c>
      <c r="S306" s="799">
        <f t="shared" si="62"/>
        <v>0</v>
      </c>
    </row>
    <row r="307" spans="1:19">
      <c r="A307" s="956"/>
      <c r="B307" s="137"/>
      <c r="C307" s="53">
        <f t="shared" si="53"/>
        <v>1</v>
      </c>
      <c r="D307" s="954"/>
      <c r="E307" s="53">
        <f t="shared" si="54"/>
        <v>1</v>
      </c>
      <c r="F307" s="954"/>
      <c r="G307" s="53">
        <f t="shared" si="55"/>
        <v>1</v>
      </c>
      <c r="H307" s="954"/>
      <c r="I307" s="53">
        <f t="shared" si="56"/>
        <v>1</v>
      </c>
      <c r="J307" s="954"/>
      <c r="K307" s="53">
        <f t="shared" si="57"/>
        <v>1</v>
      </c>
      <c r="L307" s="954"/>
      <c r="M307" s="53">
        <f t="shared" si="58"/>
        <v>1</v>
      </c>
      <c r="N307" s="954"/>
      <c r="O307" s="53">
        <f t="shared" si="59"/>
        <v>1</v>
      </c>
      <c r="P307" s="954"/>
      <c r="Q307" s="53">
        <f t="shared" si="60"/>
        <v>1</v>
      </c>
      <c r="R307" s="490">
        <f t="shared" si="61"/>
        <v>0</v>
      </c>
      <c r="S307" s="799">
        <f t="shared" si="62"/>
        <v>0</v>
      </c>
    </row>
    <row r="308" spans="1:19">
      <c r="A308" s="956"/>
      <c r="B308" s="137"/>
      <c r="C308" s="53">
        <f t="shared" si="53"/>
        <v>1</v>
      </c>
      <c r="D308" s="954"/>
      <c r="E308" s="53">
        <f t="shared" si="54"/>
        <v>1</v>
      </c>
      <c r="F308" s="954"/>
      <c r="G308" s="53">
        <f t="shared" si="55"/>
        <v>1</v>
      </c>
      <c r="H308" s="954"/>
      <c r="I308" s="53">
        <f t="shared" si="56"/>
        <v>1</v>
      </c>
      <c r="J308" s="954"/>
      <c r="K308" s="53">
        <f t="shared" si="57"/>
        <v>1</v>
      </c>
      <c r="L308" s="954"/>
      <c r="M308" s="53">
        <f t="shared" si="58"/>
        <v>1</v>
      </c>
      <c r="N308" s="954"/>
      <c r="O308" s="53">
        <f t="shared" si="59"/>
        <v>1</v>
      </c>
      <c r="P308" s="954"/>
      <c r="Q308" s="53">
        <f t="shared" si="60"/>
        <v>1</v>
      </c>
      <c r="R308" s="490">
        <f t="shared" si="61"/>
        <v>0</v>
      </c>
      <c r="S308" s="799">
        <f t="shared" si="62"/>
        <v>0</v>
      </c>
    </row>
    <row r="309" spans="1:19">
      <c r="A309" s="956"/>
      <c r="B309" s="137"/>
      <c r="C309" s="53">
        <f t="shared" si="53"/>
        <v>1</v>
      </c>
      <c r="D309" s="954"/>
      <c r="E309" s="53">
        <f t="shared" si="54"/>
        <v>1</v>
      </c>
      <c r="F309" s="954"/>
      <c r="G309" s="53">
        <f t="shared" si="55"/>
        <v>1</v>
      </c>
      <c r="H309" s="954"/>
      <c r="I309" s="53">
        <f t="shared" si="56"/>
        <v>1</v>
      </c>
      <c r="J309" s="954"/>
      <c r="K309" s="53">
        <f t="shared" si="57"/>
        <v>1</v>
      </c>
      <c r="L309" s="954"/>
      <c r="M309" s="53">
        <f t="shared" si="58"/>
        <v>1</v>
      </c>
      <c r="N309" s="954"/>
      <c r="O309" s="53">
        <f t="shared" si="59"/>
        <v>1</v>
      </c>
      <c r="P309" s="954"/>
      <c r="Q309" s="53">
        <f t="shared" si="60"/>
        <v>1</v>
      </c>
      <c r="R309" s="490">
        <f t="shared" si="61"/>
        <v>0</v>
      </c>
      <c r="S309" s="799">
        <f t="shared" si="62"/>
        <v>0</v>
      </c>
    </row>
    <row r="310" spans="1:19">
      <c r="A310" s="956"/>
      <c r="B310" s="137"/>
      <c r="C310" s="53">
        <f t="shared" si="53"/>
        <v>1</v>
      </c>
      <c r="D310" s="954"/>
      <c r="E310" s="53">
        <f t="shared" si="54"/>
        <v>1</v>
      </c>
      <c r="F310" s="954"/>
      <c r="G310" s="53">
        <f t="shared" si="55"/>
        <v>1</v>
      </c>
      <c r="H310" s="954"/>
      <c r="I310" s="53">
        <f t="shared" si="56"/>
        <v>1</v>
      </c>
      <c r="J310" s="954"/>
      <c r="K310" s="53">
        <f t="shared" si="57"/>
        <v>1</v>
      </c>
      <c r="L310" s="954"/>
      <c r="M310" s="53">
        <f t="shared" si="58"/>
        <v>1</v>
      </c>
      <c r="N310" s="954"/>
      <c r="O310" s="53">
        <f t="shared" si="59"/>
        <v>1</v>
      </c>
      <c r="P310" s="954"/>
      <c r="Q310" s="53">
        <f t="shared" si="60"/>
        <v>1</v>
      </c>
      <c r="R310" s="490">
        <f t="shared" si="61"/>
        <v>0</v>
      </c>
      <c r="S310" s="799">
        <f t="shared" si="62"/>
        <v>0</v>
      </c>
    </row>
    <row r="311" spans="1:19">
      <c r="A311" s="956"/>
      <c r="B311" s="137"/>
      <c r="C311" s="53">
        <f t="shared" si="53"/>
        <v>1</v>
      </c>
      <c r="D311" s="954"/>
      <c r="E311" s="53">
        <f t="shared" si="54"/>
        <v>1</v>
      </c>
      <c r="F311" s="954"/>
      <c r="G311" s="53">
        <f t="shared" si="55"/>
        <v>1</v>
      </c>
      <c r="H311" s="954"/>
      <c r="I311" s="53">
        <f t="shared" si="56"/>
        <v>1</v>
      </c>
      <c r="J311" s="954"/>
      <c r="K311" s="53">
        <f t="shared" si="57"/>
        <v>1</v>
      </c>
      <c r="L311" s="954"/>
      <c r="M311" s="53">
        <f t="shared" si="58"/>
        <v>1</v>
      </c>
      <c r="N311" s="954"/>
      <c r="O311" s="53">
        <f t="shared" si="59"/>
        <v>1</v>
      </c>
      <c r="P311" s="954"/>
      <c r="Q311" s="53">
        <f t="shared" si="60"/>
        <v>1</v>
      </c>
      <c r="R311" s="490">
        <f t="shared" si="61"/>
        <v>0</v>
      </c>
      <c r="S311" s="799">
        <f t="shared" si="62"/>
        <v>0</v>
      </c>
    </row>
    <row r="312" spans="1:19">
      <c r="A312" s="956"/>
      <c r="B312" s="137"/>
      <c r="C312" s="53">
        <f t="shared" si="53"/>
        <v>1</v>
      </c>
      <c r="D312" s="954"/>
      <c r="E312" s="53">
        <f t="shared" si="54"/>
        <v>1</v>
      </c>
      <c r="F312" s="954"/>
      <c r="G312" s="53">
        <f t="shared" si="55"/>
        <v>1</v>
      </c>
      <c r="H312" s="954"/>
      <c r="I312" s="53">
        <f t="shared" si="56"/>
        <v>1</v>
      </c>
      <c r="J312" s="954"/>
      <c r="K312" s="53">
        <f t="shared" si="57"/>
        <v>1</v>
      </c>
      <c r="L312" s="954"/>
      <c r="M312" s="53">
        <f t="shared" si="58"/>
        <v>1</v>
      </c>
      <c r="N312" s="954"/>
      <c r="O312" s="53">
        <f t="shared" si="59"/>
        <v>1</v>
      </c>
      <c r="P312" s="954"/>
      <c r="Q312" s="53">
        <f t="shared" si="60"/>
        <v>1</v>
      </c>
      <c r="R312" s="490">
        <f t="shared" si="61"/>
        <v>0</v>
      </c>
      <c r="S312" s="799">
        <f t="shared" si="62"/>
        <v>0</v>
      </c>
    </row>
    <row r="313" spans="1:19">
      <c r="A313" s="956"/>
      <c r="B313" s="137"/>
      <c r="C313" s="53">
        <f t="shared" si="53"/>
        <v>1</v>
      </c>
      <c r="D313" s="954"/>
      <c r="E313" s="53">
        <f t="shared" si="54"/>
        <v>1</v>
      </c>
      <c r="F313" s="954"/>
      <c r="G313" s="53">
        <f t="shared" si="55"/>
        <v>1</v>
      </c>
      <c r="H313" s="954"/>
      <c r="I313" s="53">
        <f t="shared" si="56"/>
        <v>1</v>
      </c>
      <c r="J313" s="954"/>
      <c r="K313" s="53">
        <f t="shared" si="57"/>
        <v>1</v>
      </c>
      <c r="L313" s="954"/>
      <c r="M313" s="53">
        <f t="shared" si="58"/>
        <v>1</v>
      </c>
      <c r="N313" s="954"/>
      <c r="O313" s="53">
        <f t="shared" si="59"/>
        <v>1</v>
      </c>
      <c r="P313" s="954"/>
      <c r="Q313" s="53">
        <f t="shared" si="60"/>
        <v>1</v>
      </c>
      <c r="R313" s="490">
        <f t="shared" si="61"/>
        <v>0</v>
      </c>
      <c r="S313" s="799">
        <f t="shared" si="62"/>
        <v>0</v>
      </c>
    </row>
    <row r="314" spans="1:19">
      <c r="A314" s="956"/>
      <c r="B314" s="137"/>
      <c r="C314" s="53">
        <f t="shared" si="53"/>
        <v>1</v>
      </c>
      <c r="D314" s="954"/>
      <c r="E314" s="53">
        <f t="shared" si="54"/>
        <v>1</v>
      </c>
      <c r="F314" s="954"/>
      <c r="G314" s="53">
        <f t="shared" si="55"/>
        <v>1</v>
      </c>
      <c r="H314" s="954"/>
      <c r="I314" s="53">
        <f t="shared" si="56"/>
        <v>1</v>
      </c>
      <c r="J314" s="954"/>
      <c r="K314" s="53">
        <f t="shared" si="57"/>
        <v>1</v>
      </c>
      <c r="L314" s="954"/>
      <c r="M314" s="53">
        <f t="shared" si="58"/>
        <v>1</v>
      </c>
      <c r="N314" s="954"/>
      <c r="O314" s="53">
        <f t="shared" si="59"/>
        <v>1</v>
      </c>
      <c r="P314" s="954"/>
      <c r="Q314" s="53">
        <f t="shared" si="60"/>
        <v>1</v>
      </c>
      <c r="R314" s="490">
        <f t="shared" si="61"/>
        <v>0</v>
      </c>
      <c r="S314" s="799">
        <f t="shared" si="62"/>
        <v>0</v>
      </c>
    </row>
    <row r="315" spans="1:19">
      <c r="A315" s="956"/>
      <c r="B315" s="137"/>
      <c r="C315" s="53">
        <f t="shared" si="53"/>
        <v>1</v>
      </c>
      <c r="D315" s="954"/>
      <c r="E315" s="53">
        <f t="shared" si="54"/>
        <v>1</v>
      </c>
      <c r="F315" s="954"/>
      <c r="G315" s="53">
        <f t="shared" si="55"/>
        <v>1</v>
      </c>
      <c r="H315" s="954"/>
      <c r="I315" s="53">
        <f t="shared" si="56"/>
        <v>1</v>
      </c>
      <c r="J315" s="954"/>
      <c r="K315" s="53">
        <f t="shared" si="57"/>
        <v>1</v>
      </c>
      <c r="L315" s="954"/>
      <c r="M315" s="53">
        <f t="shared" si="58"/>
        <v>1</v>
      </c>
      <c r="N315" s="954"/>
      <c r="O315" s="53">
        <f t="shared" si="59"/>
        <v>1</v>
      </c>
      <c r="P315" s="954"/>
      <c r="Q315" s="53">
        <f t="shared" si="60"/>
        <v>1</v>
      </c>
      <c r="R315" s="490">
        <f t="shared" si="61"/>
        <v>0</v>
      </c>
      <c r="S315" s="799">
        <f t="shared" si="62"/>
        <v>0</v>
      </c>
    </row>
    <row r="316" spans="1:19">
      <c r="A316" s="956"/>
      <c r="B316" s="137"/>
      <c r="C316" s="53">
        <f t="shared" si="53"/>
        <v>1</v>
      </c>
      <c r="D316" s="954"/>
      <c r="E316" s="53">
        <f t="shared" si="54"/>
        <v>1</v>
      </c>
      <c r="F316" s="954"/>
      <c r="G316" s="53">
        <f t="shared" si="55"/>
        <v>1</v>
      </c>
      <c r="H316" s="954"/>
      <c r="I316" s="53">
        <f t="shared" si="56"/>
        <v>1</v>
      </c>
      <c r="J316" s="954"/>
      <c r="K316" s="53">
        <f t="shared" si="57"/>
        <v>1</v>
      </c>
      <c r="L316" s="954"/>
      <c r="M316" s="53">
        <f t="shared" si="58"/>
        <v>1</v>
      </c>
      <c r="N316" s="954"/>
      <c r="O316" s="53">
        <f t="shared" si="59"/>
        <v>1</v>
      </c>
      <c r="P316" s="954"/>
      <c r="Q316" s="53">
        <f t="shared" si="60"/>
        <v>1</v>
      </c>
      <c r="R316" s="490">
        <f t="shared" si="61"/>
        <v>0</v>
      </c>
      <c r="S316" s="799">
        <f t="shared" si="62"/>
        <v>0</v>
      </c>
    </row>
    <row r="317" spans="1:19">
      <c r="A317" s="956"/>
      <c r="B317" s="137"/>
      <c r="C317" s="53">
        <f t="shared" si="53"/>
        <v>1</v>
      </c>
      <c r="D317" s="954"/>
      <c r="E317" s="53">
        <f t="shared" si="54"/>
        <v>1</v>
      </c>
      <c r="F317" s="954"/>
      <c r="G317" s="53">
        <f t="shared" si="55"/>
        <v>1</v>
      </c>
      <c r="H317" s="954"/>
      <c r="I317" s="53">
        <f t="shared" si="56"/>
        <v>1</v>
      </c>
      <c r="J317" s="954"/>
      <c r="K317" s="53">
        <f t="shared" si="57"/>
        <v>1</v>
      </c>
      <c r="L317" s="954"/>
      <c r="M317" s="53">
        <f t="shared" si="58"/>
        <v>1</v>
      </c>
      <c r="N317" s="954"/>
      <c r="O317" s="53">
        <f t="shared" si="59"/>
        <v>1</v>
      </c>
      <c r="P317" s="954"/>
      <c r="Q317" s="53">
        <f t="shared" si="60"/>
        <v>1</v>
      </c>
      <c r="R317" s="490">
        <f t="shared" si="61"/>
        <v>0</v>
      </c>
      <c r="S317" s="799">
        <f t="shared" si="62"/>
        <v>0</v>
      </c>
    </row>
    <row r="318" spans="1:19">
      <c r="A318" s="956"/>
      <c r="B318" s="137"/>
      <c r="C318" s="53">
        <f t="shared" si="53"/>
        <v>1</v>
      </c>
      <c r="D318" s="954"/>
      <c r="E318" s="53">
        <f t="shared" si="54"/>
        <v>1</v>
      </c>
      <c r="F318" s="954"/>
      <c r="G318" s="53">
        <f t="shared" si="55"/>
        <v>1</v>
      </c>
      <c r="H318" s="954"/>
      <c r="I318" s="53">
        <f t="shared" si="56"/>
        <v>1</v>
      </c>
      <c r="J318" s="954"/>
      <c r="K318" s="53">
        <f t="shared" si="57"/>
        <v>1</v>
      </c>
      <c r="L318" s="954"/>
      <c r="M318" s="53">
        <f t="shared" si="58"/>
        <v>1</v>
      </c>
      <c r="N318" s="954"/>
      <c r="O318" s="53">
        <f t="shared" si="59"/>
        <v>1</v>
      </c>
      <c r="P318" s="954"/>
      <c r="Q318" s="53">
        <f t="shared" si="60"/>
        <v>1</v>
      </c>
      <c r="R318" s="490">
        <f t="shared" si="61"/>
        <v>0</v>
      </c>
      <c r="S318" s="799">
        <f t="shared" si="62"/>
        <v>0</v>
      </c>
    </row>
    <row r="319" spans="1:19">
      <c r="A319" s="956"/>
      <c r="B319" s="137"/>
      <c r="C319" s="53">
        <f t="shared" si="53"/>
        <v>1</v>
      </c>
      <c r="D319" s="954"/>
      <c r="E319" s="53">
        <f t="shared" si="54"/>
        <v>1</v>
      </c>
      <c r="F319" s="954"/>
      <c r="G319" s="53">
        <f t="shared" si="55"/>
        <v>1</v>
      </c>
      <c r="H319" s="954"/>
      <c r="I319" s="53">
        <f t="shared" si="56"/>
        <v>1</v>
      </c>
      <c r="J319" s="954"/>
      <c r="K319" s="53">
        <f t="shared" si="57"/>
        <v>1</v>
      </c>
      <c r="L319" s="954"/>
      <c r="M319" s="53">
        <f t="shared" si="58"/>
        <v>1</v>
      </c>
      <c r="N319" s="954"/>
      <c r="O319" s="53">
        <f t="shared" si="59"/>
        <v>1</v>
      </c>
      <c r="P319" s="954"/>
      <c r="Q319" s="53">
        <f t="shared" si="60"/>
        <v>1</v>
      </c>
      <c r="R319" s="490">
        <f t="shared" si="61"/>
        <v>0</v>
      </c>
      <c r="S319" s="799">
        <f t="shared" si="62"/>
        <v>0</v>
      </c>
    </row>
    <row r="320" spans="1:19">
      <c r="A320" s="956"/>
      <c r="B320" s="137"/>
      <c r="C320" s="53">
        <f t="shared" si="53"/>
        <v>1</v>
      </c>
      <c r="D320" s="954"/>
      <c r="E320" s="53">
        <f t="shared" si="54"/>
        <v>1</v>
      </c>
      <c r="F320" s="954"/>
      <c r="G320" s="53">
        <f t="shared" si="55"/>
        <v>1</v>
      </c>
      <c r="H320" s="954"/>
      <c r="I320" s="53">
        <f t="shared" si="56"/>
        <v>1</v>
      </c>
      <c r="J320" s="954"/>
      <c r="K320" s="53">
        <f t="shared" si="57"/>
        <v>1</v>
      </c>
      <c r="L320" s="954"/>
      <c r="M320" s="53">
        <f t="shared" si="58"/>
        <v>1</v>
      </c>
      <c r="N320" s="954"/>
      <c r="O320" s="53">
        <f t="shared" si="59"/>
        <v>1</v>
      </c>
      <c r="P320" s="954"/>
      <c r="Q320" s="53">
        <f t="shared" si="60"/>
        <v>1</v>
      </c>
      <c r="R320" s="490">
        <f t="shared" si="61"/>
        <v>0</v>
      </c>
      <c r="S320" s="799">
        <f t="shared" si="62"/>
        <v>0</v>
      </c>
    </row>
    <row r="321" spans="1:19">
      <c r="A321" s="956"/>
      <c r="B321" s="137"/>
      <c r="C321" s="53">
        <f t="shared" si="53"/>
        <v>1</v>
      </c>
      <c r="D321" s="954"/>
      <c r="E321" s="53">
        <f t="shared" si="54"/>
        <v>1</v>
      </c>
      <c r="F321" s="954"/>
      <c r="G321" s="53">
        <f t="shared" si="55"/>
        <v>1</v>
      </c>
      <c r="H321" s="954"/>
      <c r="I321" s="53">
        <f t="shared" si="56"/>
        <v>1</v>
      </c>
      <c r="J321" s="954"/>
      <c r="K321" s="53">
        <f t="shared" si="57"/>
        <v>1</v>
      </c>
      <c r="L321" s="954"/>
      <c r="M321" s="53">
        <f t="shared" si="58"/>
        <v>1</v>
      </c>
      <c r="N321" s="954"/>
      <c r="O321" s="53">
        <f t="shared" si="59"/>
        <v>1</v>
      </c>
      <c r="P321" s="954"/>
      <c r="Q321" s="53">
        <f t="shared" si="60"/>
        <v>1</v>
      </c>
      <c r="R321" s="490">
        <f t="shared" si="61"/>
        <v>0</v>
      </c>
      <c r="S321" s="799">
        <f t="shared" ref="S321:S384" si="63">ROUND(R321*B321/10000,0)</f>
        <v>0</v>
      </c>
    </row>
    <row r="322" spans="1:19">
      <c r="A322" s="956"/>
      <c r="B322" s="137"/>
      <c r="C322" s="53">
        <f t="shared" si="53"/>
        <v>1</v>
      </c>
      <c r="D322" s="954"/>
      <c r="E322" s="53">
        <f t="shared" si="54"/>
        <v>1</v>
      </c>
      <c r="F322" s="954"/>
      <c r="G322" s="53">
        <f t="shared" si="55"/>
        <v>1</v>
      </c>
      <c r="H322" s="954"/>
      <c r="I322" s="53">
        <f t="shared" si="56"/>
        <v>1</v>
      </c>
      <c r="J322" s="954"/>
      <c r="K322" s="53">
        <f t="shared" si="57"/>
        <v>1</v>
      </c>
      <c r="L322" s="954"/>
      <c r="M322" s="53">
        <f t="shared" si="58"/>
        <v>1</v>
      </c>
      <c r="N322" s="954"/>
      <c r="O322" s="53">
        <f t="shared" si="59"/>
        <v>1</v>
      </c>
      <c r="P322" s="954"/>
      <c r="Q322" s="53">
        <f t="shared" si="60"/>
        <v>1</v>
      </c>
      <c r="R322" s="490">
        <f t="shared" si="61"/>
        <v>0</v>
      </c>
      <c r="S322" s="799">
        <f t="shared" si="63"/>
        <v>0</v>
      </c>
    </row>
    <row r="323" spans="1:19">
      <c r="A323" s="956"/>
      <c r="B323" s="137"/>
      <c r="C323" s="53">
        <f t="shared" si="53"/>
        <v>1</v>
      </c>
      <c r="D323" s="954"/>
      <c r="E323" s="53">
        <f t="shared" si="54"/>
        <v>1</v>
      </c>
      <c r="F323" s="954"/>
      <c r="G323" s="53">
        <f t="shared" si="55"/>
        <v>1</v>
      </c>
      <c r="H323" s="954"/>
      <c r="I323" s="53">
        <f t="shared" si="56"/>
        <v>1</v>
      </c>
      <c r="J323" s="954"/>
      <c r="K323" s="53">
        <f t="shared" si="57"/>
        <v>1</v>
      </c>
      <c r="L323" s="954"/>
      <c r="M323" s="53">
        <f t="shared" si="58"/>
        <v>1</v>
      </c>
      <c r="N323" s="954"/>
      <c r="O323" s="53">
        <f t="shared" si="59"/>
        <v>1</v>
      </c>
      <c r="P323" s="954"/>
      <c r="Q323" s="53">
        <f t="shared" si="60"/>
        <v>1</v>
      </c>
      <c r="R323" s="490">
        <f t="shared" si="61"/>
        <v>0</v>
      </c>
      <c r="S323" s="799">
        <f t="shared" si="63"/>
        <v>0</v>
      </c>
    </row>
    <row r="324" spans="1:19">
      <c r="A324" s="956"/>
      <c r="B324" s="137"/>
      <c r="C324" s="53">
        <f t="shared" si="53"/>
        <v>1</v>
      </c>
      <c r="D324" s="954"/>
      <c r="E324" s="53">
        <f t="shared" si="54"/>
        <v>1</v>
      </c>
      <c r="F324" s="954"/>
      <c r="G324" s="53">
        <f t="shared" si="55"/>
        <v>1</v>
      </c>
      <c r="H324" s="954"/>
      <c r="I324" s="53">
        <f t="shared" si="56"/>
        <v>1</v>
      </c>
      <c r="J324" s="954"/>
      <c r="K324" s="53">
        <f t="shared" si="57"/>
        <v>1</v>
      </c>
      <c r="L324" s="954"/>
      <c r="M324" s="53">
        <f t="shared" si="58"/>
        <v>1</v>
      </c>
      <c r="N324" s="954"/>
      <c r="O324" s="53">
        <f t="shared" si="59"/>
        <v>1</v>
      </c>
      <c r="P324" s="954"/>
      <c r="Q324" s="53">
        <f t="shared" si="60"/>
        <v>1</v>
      </c>
      <c r="R324" s="490">
        <f t="shared" si="61"/>
        <v>0</v>
      </c>
      <c r="S324" s="799">
        <f t="shared" si="63"/>
        <v>0</v>
      </c>
    </row>
    <row r="325" spans="1:19">
      <c r="A325" s="956"/>
      <c r="B325" s="137"/>
      <c r="C325" s="53">
        <f t="shared" si="53"/>
        <v>1</v>
      </c>
      <c r="D325" s="954"/>
      <c r="E325" s="53">
        <f t="shared" si="54"/>
        <v>1</v>
      </c>
      <c r="F325" s="954"/>
      <c r="G325" s="53">
        <f t="shared" si="55"/>
        <v>1</v>
      </c>
      <c r="H325" s="954"/>
      <c r="I325" s="53">
        <f t="shared" si="56"/>
        <v>1</v>
      </c>
      <c r="J325" s="954"/>
      <c r="K325" s="53">
        <f t="shared" si="57"/>
        <v>1</v>
      </c>
      <c r="L325" s="954"/>
      <c r="M325" s="53">
        <f t="shared" si="58"/>
        <v>1</v>
      </c>
      <c r="N325" s="954"/>
      <c r="O325" s="53">
        <f t="shared" si="59"/>
        <v>1</v>
      </c>
      <c r="P325" s="954"/>
      <c r="Q325" s="53">
        <f t="shared" si="60"/>
        <v>1</v>
      </c>
      <c r="R325" s="490">
        <f t="shared" si="61"/>
        <v>0</v>
      </c>
      <c r="S325" s="799">
        <f t="shared" si="63"/>
        <v>0</v>
      </c>
    </row>
    <row r="326" spans="1:19">
      <c r="A326" s="956"/>
      <c r="B326" s="137"/>
      <c r="C326" s="53">
        <f t="shared" si="53"/>
        <v>1</v>
      </c>
      <c r="D326" s="954"/>
      <c r="E326" s="53">
        <f t="shared" si="54"/>
        <v>1</v>
      </c>
      <c r="F326" s="954"/>
      <c r="G326" s="53">
        <f t="shared" si="55"/>
        <v>1</v>
      </c>
      <c r="H326" s="954"/>
      <c r="I326" s="53">
        <f t="shared" si="56"/>
        <v>1</v>
      </c>
      <c r="J326" s="954"/>
      <c r="K326" s="53">
        <f t="shared" si="57"/>
        <v>1</v>
      </c>
      <c r="L326" s="954"/>
      <c r="M326" s="53">
        <f t="shared" si="58"/>
        <v>1</v>
      </c>
      <c r="N326" s="954"/>
      <c r="O326" s="53">
        <f t="shared" si="59"/>
        <v>1</v>
      </c>
      <c r="P326" s="954"/>
      <c r="Q326" s="53">
        <f t="shared" si="60"/>
        <v>1</v>
      </c>
      <c r="R326" s="490">
        <f t="shared" si="61"/>
        <v>0</v>
      </c>
      <c r="S326" s="799">
        <f t="shared" si="63"/>
        <v>0</v>
      </c>
    </row>
    <row r="327" spans="1:19">
      <c r="A327" s="956"/>
      <c r="B327" s="137"/>
      <c r="C327" s="53">
        <f t="shared" si="53"/>
        <v>1</v>
      </c>
      <c r="D327" s="954"/>
      <c r="E327" s="53">
        <f t="shared" si="54"/>
        <v>1</v>
      </c>
      <c r="F327" s="954"/>
      <c r="G327" s="53">
        <f t="shared" si="55"/>
        <v>1</v>
      </c>
      <c r="H327" s="954"/>
      <c r="I327" s="53">
        <f t="shared" si="56"/>
        <v>1</v>
      </c>
      <c r="J327" s="954"/>
      <c r="K327" s="53">
        <f t="shared" si="57"/>
        <v>1</v>
      </c>
      <c r="L327" s="954"/>
      <c r="M327" s="53">
        <f t="shared" si="58"/>
        <v>1</v>
      </c>
      <c r="N327" s="954"/>
      <c r="O327" s="53">
        <f t="shared" si="59"/>
        <v>1</v>
      </c>
      <c r="P327" s="954"/>
      <c r="Q327" s="53">
        <f t="shared" si="60"/>
        <v>1</v>
      </c>
      <c r="R327" s="490">
        <f t="shared" si="61"/>
        <v>0</v>
      </c>
      <c r="S327" s="799">
        <f t="shared" si="63"/>
        <v>0</v>
      </c>
    </row>
    <row r="328" spans="1:19">
      <c r="A328" s="956"/>
      <c r="B328" s="137"/>
      <c r="C328" s="53">
        <f t="shared" si="53"/>
        <v>1</v>
      </c>
      <c r="D328" s="954"/>
      <c r="E328" s="53">
        <f t="shared" si="54"/>
        <v>1</v>
      </c>
      <c r="F328" s="954"/>
      <c r="G328" s="53">
        <f t="shared" si="55"/>
        <v>1</v>
      </c>
      <c r="H328" s="954"/>
      <c r="I328" s="53">
        <f t="shared" si="56"/>
        <v>1</v>
      </c>
      <c r="J328" s="954"/>
      <c r="K328" s="53">
        <f t="shared" si="57"/>
        <v>1</v>
      </c>
      <c r="L328" s="954"/>
      <c r="M328" s="53">
        <f t="shared" si="58"/>
        <v>1</v>
      </c>
      <c r="N328" s="954"/>
      <c r="O328" s="53">
        <f t="shared" si="59"/>
        <v>1</v>
      </c>
      <c r="P328" s="954"/>
      <c r="Q328" s="53">
        <f t="shared" si="60"/>
        <v>1</v>
      </c>
      <c r="R328" s="490">
        <f t="shared" si="61"/>
        <v>0</v>
      </c>
      <c r="S328" s="799">
        <f t="shared" si="63"/>
        <v>0</v>
      </c>
    </row>
    <row r="329" spans="1:19">
      <c r="A329" s="956"/>
      <c r="B329" s="137"/>
      <c r="C329" s="53">
        <f t="shared" si="53"/>
        <v>1</v>
      </c>
      <c r="D329" s="954"/>
      <c r="E329" s="53">
        <f t="shared" si="54"/>
        <v>1</v>
      </c>
      <c r="F329" s="954"/>
      <c r="G329" s="53">
        <f t="shared" si="55"/>
        <v>1</v>
      </c>
      <c r="H329" s="954"/>
      <c r="I329" s="53">
        <f t="shared" si="56"/>
        <v>1</v>
      </c>
      <c r="J329" s="954"/>
      <c r="K329" s="53">
        <f t="shared" si="57"/>
        <v>1</v>
      </c>
      <c r="L329" s="954"/>
      <c r="M329" s="53">
        <f t="shared" si="58"/>
        <v>1</v>
      </c>
      <c r="N329" s="954"/>
      <c r="O329" s="53">
        <f t="shared" si="59"/>
        <v>1</v>
      </c>
      <c r="P329" s="954"/>
      <c r="Q329" s="53">
        <f t="shared" si="60"/>
        <v>1</v>
      </c>
      <c r="R329" s="490">
        <f t="shared" si="61"/>
        <v>0</v>
      </c>
      <c r="S329" s="799">
        <f t="shared" si="63"/>
        <v>0</v>
      </c>
    </row>
    <row r="330" spans="1:19">
      <c r="A330" s="956"/>
      <c r="B330" s="137"/>
      <c r="C330" s="53">
        <f t="shared" si="53"/>
        <v>1</v>
      </c>
      <c r="D330" s="954"/>
      <c r="E330" s="53">
        <f t="shared" si="54"/>
        <v>1</v>
      </c>
      <c r="F330" s="954"/>
      <c r="G330" s="53">
        <f t="shared" si="55"/>
        <v>1</v>
      </c>
      <c r="H330" s="954"/>
      <c r="I330" s="53">
        <f t="shared" si="56"/>
        <v>1</v>
      </c>
      <c r="J330" s="954"/>
      <c r="K330" s="53">
        <f t="shared" si="57"/>
        <v>1</v>
      </c>
      <c r="L330" s="954"/>
      <c r="M330" s="53">
        <f t="shared" si="58"/>
        <v>1</v>
      </c>
      <c r="N330" s="954"/>
      <c r="O330" s="53">
        <f t="shared" si="59"/>
        <v>1</v>
      </c>
      <c r="P330" s="954"/>
      <c r="Q330" s="53">
        <f t="shared" si="60"/>
        <v>1</v>
      </c>
      <c r="R330" s="490">
        <f t="shared" si="61"/>
        <v>0</v>
      </c>
      <c r="S330" s="799">
        <f t="shared" si="63"/>
        <v>0</v>
      </c>
    </row>
    <row r="331" spans="1:19">
      <c r="A331" s="956"/>
      <c r="B331" s="137"/>
      <c r="C331" s="53">
        <f t="shared" si="53"/>
        <v>1</v>
      </c>
      <c r="D331" s="954"/>
      <c r="E331" s="53">
        <f t="shared" si="54"/>
        <v>1</v>
      </c>
      <c r="F331" s="954"/>
      <c r="G331" s="53">
        <f t="shared" si="55"/>
        <v>1</v>
      </c>
      <c r="H331" s="954"/>
      <c r="I331" s="53">
        <f t="shared" si="56"/>
        <v>1</v>
      </c>
      <c r="J331" s="954"/>
      <c r="K331" s="53">
        <f t="shared" si="57"/>
        <v>1</v>
      </c>
      <c r="L331" s="954"/>
      <c r="M331" s="53">
        <f t="shared" si="58"/>
        <v>1</v>
      </c>
      <c r="N331" s="954"/>
      <c r="O331" s="53">
        <f t="shared" si="59"/>
        <v>1</v>
      </c>
      <c r="P331" s="954"/>
      <c r="Q331" s="53">
        <f t="shared" si="60"/>
        <v>1</v>
      </c>
      <c r="R331" s="490">
        <f t="shared" si="61"/>
        <v>0</v>
      </c>
      <c r="S331" s="799">
        <f t="shared" si="63"/>
        <v>0</v>
      </c>
    </row>
    <row r="332" spans="1:19">
      <c r="A332" s="956"/>
      <c r="B332" s="137"/>
      <c r="C332" s="53">
        <f t="shared" si="53"/>
        <v>1</v>
      </c>
      <c r="D332" s="954"/>
      <c r="E332" s="53">
        <f t="shared" si="54"/>
        <v>1</v>
      </c>
      <c r="F332" s="954"/>
      <c r="G332" s="53">
        <f t="shared" si="55"/>
        <v>1</v>
      </c>
      <c r="H332" s="954"/>
      <c r="I332" s="53">
        <f t="shared" si="56"/>
        <v>1</v>
      </c>
      <c r="J332" s="954"/>
      <c r="K332" s="53">
        <f t="shared" si="57"/>
        <v>1</v>
      </c>
      <c r="L332" s="954"/>
      <c r="M332" s="53">
        <f t="shared" si="58"/>
        <v>1</v>
      </c>
      <c r="N332" s="954"/>
      <c r="O332" s="53">
        <f t="shared" si="59"/>
        <v>1</v>
      </c>
      <c r="P332" s="954"/>
      <c r="Q332" s="53">
        <f t="shared" si="60"/>
        <v>1</v>
      </c>
      <c r="R332" s="490">
        <f t="shared" si="61"/>
        <v>0</v>
      </c>
      <c r="S332" s="799">
        <f t="shared" si="63"/>
        <v>0</v>
      </c>
    </row>
    <row r="333" spans="1:19">
      <c r="A333" s="956"/>
      <c r="B333" s="137"/>
      <c r="C333" s="53">
        <f t="shared" si="53"/>
        <v>1</v>
      </c>
      <c r="D333" s="954"/>
      <c r="E333" s="53">
        <f t="shared" si="54"/>
        <v>1</v>
      </c>
      <c r="F333" s="954"/>
      <c r="G333" s="53">
        <f t="shared" si="55"/>
        <v>1</v>
      </c>
      <c r="H333" s="954"/>
      <c r="I333" s="53">
        <f t="shared" si="56"/>
        <v>1</v>
      </c>
      <c r="J333" s="954"/>
      <c r="K333" s="53">
        <f t="shared" si="57"/>
        <v>1</v>
      </c>
      <c r="L333" s="954"/>
      <c r="M333" s="53">
        <f t="shared" si="58"/>
        <v>1</v>
      </c>
      <c r="N333" s="954"/>
      <c r="O333" s="53">
        <f t="shared" si="59"/>
        <v>1</v>
      </c>
      <c r="P333" s="954"/>
      <c r="Q333" s="53">
        <f t="shared" si="60"/>
        <v>1</v>
      </c>
      <c r="R333" s="490">
        <f t="shared" si="61"/>
        <v>0</v>
      </c>
      <c r="S333" s="799">
        <f t="shared" si="63"/>
        <v>0</v>
      </c>
    </row>
    <row r="334" spans="1:19">
      <c r="A334" s="956"/>
      <c r="B334" s="137"/>
      <c r="C334" s="53">
        <f t="shared" si="53"/>
        <v>1</v>
      </c>
      <c r="D334" s="954"/>
      <c r="E334" s="53">
        <f t="shared" si="54"/>
        <v>1</v>
      </c>
      <c r="F334" s="954"/>
      <c r="G334" s="53">
        <f t="shared" si="55"/>
        <v>1</v>
      </c>
      <c r="H334" s="954"/>
      <c r="I334" s="53">
        <f t="shared" si="56"/>
        <v>1</v>
      </c>
      <c r="J334" s="954"/>
      <c r="K334" s="53">
        <f t="shared" si="57"/>
        <v>1</v>
      </c>
      <c r="L334" s="954"/>
      <c r="M334" s="53">
        <f t="shared" si="58"/>
        <v>1</v>
      </c>
      <c r="N334" s="954"/>
      <c r="O334" s="53">
        <f t="shared" si="59"/>
        <v>1</v>
      </c>
      <c r="P334" s="954"/>
      <c r="Q334" s="53">
        <f t="shared" si="60"/>
        <v>1</v>
      </c>
      <c r="R334" s="490">
        <f t="shared" si="61"/>
        <v>0</v>
      </c>
      <c r="S334" s="799">
        <f t="shared" si="63"/>
        <v>0</v>
      </c>
    </row>
    <row r="335" spans="1:19">
      <c r="A335" s="956"/>
      <c r="B335" s="137"/>
      <c r="C335" s="53">
        <f t="shared" si="53"/>
        <v>1</v>
      </c>
      <c r="D335" s="954"/>
      <c r="E335" s="53">
        <f t="shared" si="54"/>
        <v>1</v>
      </c>
      <c r="F335" s="954"/>
      <c r="G335" s="53">
        <f t="shared" si="55"/>
        <v>1</v>
      </c>
      <c r="H335" s="954"/>
      <c r="I335" s="53">
        <f t="shared" si="56"/>
        <v>1</v>
      </c>
      <c r="J335" s="954"/>
      <c r="K335" s="53">
        <f t="shared" si="57"/>
        <v>1</v>
      </c>
      <c r="L335" s="954"/>
      <c r="M335" s="53">
        <f t="shared" si="58"/>
        <v>1</v>
      </c>
      <c r="N335" s="954"/>
      <c r="O335" s="53">
        <f t="shared" si="59"/>
        <v>1</v>
      </c>
      <c r="P335" s="954"/>
      <c r="Q335" s="53">
        <f t="shared" si="60"/>
        <v>1</v>
      </c>
      <c r="R335" s="490">
        <f t="shared" si="61"/>
        <v>0</v>
      </c>
      <c r="S335" s="799">
        <f t="shared" si="63"/>
        <v>0</v>
      </c>
    </row>
    <row r="336" spans="1:19">
      <c r="A336" s="956"/>
      <c r="B336" s="137"/>
      <c r="C336" s="53">
        <f t="shared" si="53"/>
        <v>1</v>
      </c>
      <c r="D336" s="954"/>
      <c r="E336" s="53">
        <f t="shared" si="54"/>
        <v>1</v>
      </c>
      <c r="F336" s="954"/>
      <c r="G336" s="53">
        <f t="shared" si="55"/>
        <v>1</v>
      </c>
      <c r="H336" s="954"/>
      <c r="I336" s="53">
        <f t="shared" si="56"/>
        <v>1</v>
      </c>
      <c r="J336" s="954"/>
      <c r="K336" s="53">
        <f t="shared" si="57"/>
        <v>1</v>
      </c>
      <c r="L336" s="954"/>
      <c r="M336" s="53">
        <f t="shared" si="58"/>
        <v>1</v>
      </c>
      <c r="N336" s="954"/>
      <c r="O336" s="53">
        <f t="shared" si="59"/>
        <v>1</v>
      </c>
      <c r="P336" s="954"/>
      <c r="Q336" s="53">
        <f t="shared" si="60"/>
        <v>1</v>
      </c>
      <c r="R336" s="490">
        <f t="shared" si="61"/>
        <v>0</v>
      </c>
      <c r="S336" s="799">
        <f t="shared" si="63"/>
        <v>0</v>
      </c>
    </row>
    <row r="337" spans="1:19">
      <c r="A337" s="956"/>
      <c r="B337" s="137"/>
      <c r="C337" s="53">
        <f t="shared" si="53"/>
        <v>1</v>
      </c>
      <c r="D337" s="954"/>
      <c r="E337" s="53">
        <f t="shared" si="54"/>
        <v>1</v>
      </c>
      <c r="F337" s="954"/>
      <c r="G337" s="53">
        <f t="shared" si="55"/>
        <v>1</v>
      </c>
      <c r="H337" s="954"/>
      <c r="I337" s="53">
        <f t="shared" si="56"/>
        <v>1</v>
      </c>
      <c r="J337" s="954"/>
      <c r="K337" s="53">
        <f t="shared" si="57"/>
        <v>1</v>
      </c>
      <c r="L337" s="954"/>
      <c r="M337" s="53">
        <f t="shared" si="58"/>
        <v>1</v>
      </c>
      <c r="N337" s="954"/>
      <c r="O337" s="53">
        <f t="shared" si="59"/>
        <v>1</v>
      </c>
      <c r="P337" s="954"/>
      <c r="Q337" s="53">
        <f t="shared" si="60"/>
        <v>1</v>
      </c>
      <c r="R337" s="490">
        <f t="shared" si="61"/>
        <v>0</v>
      </c>
      <c r="S337" s="799">
        <f t="shared" si="63"/>
        <v>0</v>
      </c>
    </row>
    <row r="338" spans="1:19">
      <c r="A338" s="956"/>
      <c r="B338" s="137"/>
      <c r="C338" s="53">
        <f t="shared" si="53"/>
        <v>1</v>
      </c>
      <c r="D338" s="954"/>
      <c r="E338" s="53">
        <f t="shared" si="54"/>
        <v>1</v>
      </c>
      <c r="F338" s="954"/>
      <c r="G338" s="53">
        <f t="shared" si="55"/>
        <v>1</v>
      </c>
      <c r="H338" s="954"/>
      <c r="I338" s="53">
        <f t="shared" si="56"/>
        <v>1</v>
      </c>
      <c r="J338" s="954"/>
      <c r="K338" s="53">
        <f t="shared" si="57"/>
        <v>1</v>
      </c>
      <c r="L338" s="954"/>
      <c r="M338" s="53">
        <f t="shared" si="58"/>
        <v>1</v>
      </c>
      <c r="N338" s="954"/>
      <c r="O338" s="53">
        <f t="shared" si="59"/>
        <v>1</v>
      </c>
      <c r="P338" s="954"/>
      <c r="Q338" s="53">
        <f t="shared" si="60"/>
        <v>1</v>
      </c>
      <c r="R338" s="490">
        <f t="shared" si="61"/>
        <v>0</v>
      </c>
      <c r="S338" s="799">
        <f t="shared" si="63"/>
        <v>0</v>
      </c>
    </row>
    <row r="339" spans="1:19">
      <c r="A339" s="956"/>
      <c r="B339" s="137"/>
      <c r="C339" s="53">
        <f t="shared" si="53"/>
        <v>1</v>
      </c>
      <c r="D339" s="954"/>
      <c r="E339" s="53">
        <f t="shared" si="54"/>
        <v>1</v>
      </c>
      <c r="F339" s="954"/>
      <c r="G339" s="53">
        <f t="shared" si="55"/>
        <v>1</v>
      </c>
      <c r="H339" s="954"/>
      <c r="I339" s="53">
        <f t="shared" si="56"/>
        <v>1</v>
      </c>
      <c r="J339" s="954"/>
      <c r="K339" s="53">
        <f t="shared" si="57"/>
        <v>1</v>
      </c>
      <c r="L339" s="954"/>
      <c r="M339" s="53">
        <f t="shared" si="58"/>
        <v>1</v>
      </c>
      <c r="N339" s="954"/>
      <c r="O339" s="53">
        <f t="shared" si="59"/>
        <v>1</v>
      </c>
      <c r="P339" s="954"/>
      <c r="Q339" s="53">
        <f t="shared" si="60"/>
        <v>1</v>
      </c>
      <c r="R339" s="490">
        <f t="shared" si="61"/>
        <v>0</v>
      </c>
      <c r="S339" s="799">
        <f t="shared" si="63"/>
        <v>0</v>
      </c>
    </row>
    <row r="340" spans="1:19">
      <c r="A340" s="956"/>
      <c r="B340" s="137"/>
      <c r="C340" s="53">
        <f t="shared" si="53"/>
        <v>1</v>
      </c>
      <c r="D340" s="954"/>
      <c r="E340" s="53">
        <f t="shared" si="54"/>
        <v>1</v>
      </c>
      <c r="F340" s="954"/>
      <c r="G340" s="53">
        <f t="shared" si="55"/>
        <v>1</v>
      </c>
      <c r="H340" s="954"/>
      <c r="I340" s="53">
        <f t="shared" si="56"/>
        <v>1</v>
      </c>
      <c r="J340" s="954"/>
      <c r="K340" s="53">
        <f t="shared" si="57"/>
        <v>1</v>
      </c>
      <c r="L340" s="954"/>
      <c r="M340" s="53">
        <f t="shared" si="58"/>
        <v>1</v>
      </c>
      <c r="N340" s="954"/>
      <c r="O340" s="53">
        <f t="shared" si="59"/>
        <v>1</v>
      </c>
      <c r="P340" s="954"/>
      <c r="Q340" s="53">
        <f t="shared" si="60"/>
        <v>1</v>
      </c>
      <c r="R340" s="490">
        <f t="shared" si="61"/>
        <v>0</v>
      </c>
      <c r="S340" s="799">
        <f t="shared" si="63"/>
        <v>0</v>
      </c>
    </row>
    <row r="341" spans="1:19">
      <c r="A341" s="956"/>
      <c r="B341" s="137"/>
      <c r="C341" s="53">
        <f t="shared" si="53"/>
        <v>1</v>
      </c>
      <c r="D341" s="954"/>
      <c r="E341" s="53">
        <f t="shared" si="54"/>
        <v>1</v>
      </c>
      <c r="F341" s="954"/>
      <c r="G341" s="53">
        <f t="shared" si="55"/>
        <v>1</v>
      </c>
      <c r="H341" s="954"/>
      <c r="I341" s="53">
        <f t="shared" si="56"/>
        <v>1</v>
      </c>
      <c r="J341" s="954"/>
      <c r="K341" s="53">
        <f t="shared" si="57"/>
        <v>1</v>
      </c>
      <c r="L341" s="954"/>
      <c r="M341" s="53">
        <f t="shared" si="58"/>
        <v>1</v>
      </c>
      <c r="N341" s="954"/>
      <c r="O341" s="53">
        <f t="shared" si="59"/>
        <v>1</v>
      </c>
      <c r="P341" s="954"/>
      <c r="Q341" s="53">
        <f t="shared" si="60"/>
        <v>1</v>
      </c>
      <c r="R341" s="490">
        <f t="shared" si="61"/>
        <v>0</v>
      </c>
      <c r="S341" s="799">
        <f t="shared" si="63"/>
        <v>0</v>
      </c>
    </row>
    <row r="342" spans="1:19">
      <c r="A342" s="956"/>
      <c r="B342" s="137"/>
      <c r="C342" s="53">
        <f t="shared" si="53"/>
        <v>1</v>
      </c>
      <c r="D342" s="954"/>
      <c r="E342" s="53">
        <f t="shared" si="54"/>
        <v>1</v>
      </c>
      <c r="F342" s="954"/>
      <c r="G342" s="53">
        <f t="shared" si="55"/>
        <v>1</v>
      </c>
      <c r="H342" s="954"/>
      <c r="I342" s="53">
        <f t="shared" si="56"/>
        <v>1</v>
      </c>
      <c r="J342" s="954"/>
      <c r="K342" s="53">
        <f t="shared" si="57"/>
        <v>1</v>
      </c>
      <c r="L342" s="954"/>
      <c r="M342" s="53">
        <f t="shared" si="58"/>
        <v>1</v>
      </c>
      <c r="N342" s="954"/>
      <c r="O342" s="53">
        <f t="shared" si="59"/>
        <v>1</v>
      </c>
      <c r="P342" s="954"/>
      <c r="Q342" s="53">
        <f t="shared" si="60"/>
        <v>1</v>
      </c>
      <c r="R342" s="490">
        <f t="shared" si="61"/>
        <v>0</v>
      </c>
      <c r="S342" s="799">
        <f t="shared" si="63"/>
        <v>0</v>
      </c>
    </row>
    <row r="343" spans="1:19">
      <c r="A343" s="956"/>
      <c r="B343" s="137"/>
      <c r="C343" s="53">
        <f t="shared" si="53"/>
        <v>1</v>
      </c>
      <c r="D343" s="954"/>
      <c r="E343" s="53">
        <f t="shared" si="54"/>
        <v>1</v>
      </c>
      <c r="F343" s="954"/>
      <c r="G343" s="53">
        <f t="shared" si="55"/>
        <v>1</v>
      </c>
      <c r="H343" s="954"/>
      <c r="I343" s="53">
        <f t="shared" si="56"/>
        <v>1</v>
      </c>
      <c r="J343" s="954"/>
      <c r="K343" s="53">
        <f t="shared" si="57"/>
        <v>1</v>
      </c>
      <c r="L343" s="954"/>
      <c r="M343" s="53">
        <f t="shared" si="58"/>
        <v>1</v>
      </c>
      <c r="N343" s="954"/>
      <c r="O343" s="53">
        <f t="shared" si="59"/>
        <v>1</v>
      </c>
      <c r="P343" s="954"/>
      <c r="Q343" s="53">
        <f t="shared" si="60"/>
        <v>1</v>
      </c>
      <c r="R343" s="490">
        <f t="shared" si="61"/>
        <v>0</v>
      </c>
      <c r="S343" s="799">
        <f t="shared" si="63"/>
        <v>0</v>
      </c>
    </row>
    <row r="344" spans="1:19">
      <c r="A344" s="956"/>
      <c r="B344" s="137"/>
      <c r="C344" s="53">
        <f t="shared" si="53"/>
        <v>1</v>
      </c>
      <c r="D344" s="954"/>
      <c r="E344" s="53">
        <f t="shared" si="54"/>
        <v>1</v>
      </c>
      <c r="F344" s="954"/>
      <c r="G344" s="53">
        <f t="shared" si="55"/>
        <v>1</v>
      </c>
      <c r="H344" s="954"/>
      <c r="I344" s="53">
        <f t="shared" si="56"/>
        <v>1</v>
      </c>
      <c r="J344" s="954"/>
      <c r="K344" s="53">
        <f t="shared" si="57"/>
        <v>1</v>
      </c>
      <c r="L344" s="954"/>
      <c r="M344" s="53">
        <f t="shared" si="58"/>
        <v>1</v>
      </c>
      <c r="N344" s="954"/>
      <c r="O344" s="53">
        <f t="shared" si="59"/>
        <v>1</v>
      </c>
      <c r="P344" s="954"/>
      <c r="Q344" s="53">
        <f t="shared" si="60"/>
        <v>1</v>
      </c>
      <c r="R344" s="490">
        <f t="shared" si="61"/>
        <v>0</v>
      </c>
      <c r="S344" s="799">
        <f t="shared" si="63"/>
        <v>0</v>
      </c>
    </row>
    <row r="345" spans="1:19">
      <c r="A345" s="956"/>
      <c r="B345" s="137"/>
      <c r="C345" s="53">
        <f t="shared" si="53"/>
        <v>1</v>
      </c>
      <c r="D345" s="954"/>
      <c r="E345" s="53">
        <f t="shared" si="54"/>
        <v>1</v>
      </c>
      <c r="F345" s="954"/>
      <c r="G345" s="53">
        <f t="shared" si="55"/>
        <v>1</v>
      </c>
      <c r="H345" s="954"/>
      <c r="I345" s="53">
        <f t="shared" si="56"/>
        <v>1</v>
      </c>
      <c r="J345" s="954"/>
      <c r="K345" s="53">
        <f t="shared" si="57"/>
        <v>1</v>
      </c>
      <c r="L345" s="954"/>
      <c r="M345" s="53">
        <f t="shared" si="58"/>
        <v>1</v>
      </c>
      <c r="N345" s="954"/>
      <c r="O345" s="53">
        <f t="shared" si="59"/>
        <v>1</v>
      </c>
      <c r="P345" s="954"/>
      <c r="Q345" s="53">
        <f t="shared" si="60"/>
        <v>1</v>
      </c>
      <c r="R345" s="490">
        <f t="shared" si="61"/>
        <v>0</v>
      </c>
      <c r="S345" s="799">
        <f t="shared" si="63"/>
        <v>0</v>
      </c>
    </row>
    <row r="346" spans="1:19">
      <c r="A346" s="956"/>
      <c r="B346" s="137"/>
      <c r="C346" s="53">
        <f t="shared" ref="C346:C409" si="64">IF(B346="",1,(LOOKUP(B346,$3:$3,$4:$4)-LOOKUP($B$24,$3:$3,$4:$4)+100)/100)</f>
        <v>1</v>
      </c>
      <c r="D346" s="954"/>
      <c r="E346" s="53">
        <f t="shared" ref="E346:E409" si="65">(SUMIF($5:$5,D346,$6:$6)-SUMIF($5:$5,$D$24,$6:$6)+100)/100</f>
        <v>1</v>
      </c>
      <c r="F346" s="954"/>
      <c r="G346" s="53">
        <f t="shared" ref="G346:G409" si="66">(SUMIF($7:$7,F346,$8:$8)-SUMIF($7:$7,$F$24,$8:$8)+100)/100</f>
        <v>1</v>
      </c>
      <c r="H346" s="954"/>
      <c r="I346" s="53">
        <f t="shared" ref="I346:I409" si="67">(SUMIF($9:$9,H346,$10:$10)-SUMIF($9:$9,$H$24,$10:$10)+100)/100</f>
        <v>1</v>
      </c>
      <c r="J346" s="954"/>
      <c r="K346" s="53">
        <f t="shared" ref="K346:K409" si="68">(SUMIF($11:$11,J346,$12:$12)-SUMIF($11:$11,$J$24,$12:$12)+100)/100</f>
        <v>1</v>
      </c>
      <c r="L346" s="954"/>
      <c r="M346" s="53">
        <f t="shared" ref="M346:M409" si="69">(SUMIF($13:$13,L346,$14:$14)-SUMIF($13:$13,$L$24,$14:$14)+100)/100</f>
        <v>1</v>
      </c>
      <c r="N346" s="954"/>
      <c r="O346" s="53">
        <f t="shared" ref="O346:O409" si="70">(SUMIF($15:$15,N346,$16:$16)-SUMIF($15:$15,$N$24,$16:$16)+100)/100</f>
        <v>1</v>
      </c>
      <c r="P346" s="954"/>
      <c r="Q346" s="53">
        <f t="shared" ref="Q346:Q409" si="71">(SUMIF($17:$17,P346,$18:$18)-SUMIF($17:$17,$P$24,$18:$18)+100)/100</f>
        <v>1</v>
      </c>
      <c r="R346" s="490">
        <f t="shared" ref="R346:R409" si="72">IF(B346="",0,ROUND($R$24*C346*E346*G346*I346*K346*M346*O346*Q346,0))</f>
        <v>0</v>
      </c>
      <c r="S346" s="799">
        <f t="shared" si="63"/>
        <v>0</v>
      </c>
    </row>
    <row r="347" spans="1:19">
      <c r="A347" s="956"/>
      <c r="B347" s="137"/>
      <c r="C347" s="53">
        <f t="shared" si="64"/>
        <v>1</v>
      </c>
      <c r="D347" s="954"/>
      <c r="E347" s="53">
        <f t="shared" si="65"/>
        <v>1</v>
      </c>
      <c r="F347" s="954"/>
      <c r="G347" s="53">
        <f t="shared" si="66"/>
        <v>1</v>
      </c>
      <c r="H347" s="954"/>
      <c r="I347" s="53">
        <f t="shared" si="67"/>
        <v>1</v>
      </c>
      <c r="J347" s="954"/>
      <c r="K347" s="53">
        <f t="shared" si="68"/>
        <v>1</v>
      </c>
      <c r="L347" s="954"/>
      <c r="M347" s="53">
        <f t="shared" si="69"/>
        <v>1</v>
      </c>
      <c r="N347" s="954"/>
      <c r="O347" s="53">
        <f t="shared" si="70"/>
        <v>1</v>
      </c>
      <c r="P347" s="954"/>
      <c r="Q347" s="53">
        <f t="shared" si="71"/>
        <v>1</v>
      </c>
      <c r="R347" s="490">
        <f t="shared" si="72"/>
        <v>0</v>
      </c>
      <c r="S347" s="799">
        <f t="shared" si="63"/>
        <v>0</v>
      </c>
    </row>
    <row r="348" spans="1:19">
      <c r="A348" s="956"/>
      <c r="B348" s="137"/>
      <c r="C348" s="53">
        <f t="shared" si="64"/>
        <v>1</v>
      </c>
      <c r="D348" s="954"/>
      <c r="E348" s="53">
        <f t="shared" si="65"/>
        <v>1</v>
      </c>
      <c r="F348" s="954"/>
      <c r="G348" s="53">
        <f t="shared" si="66"/>
        <v>1</v>
      </c>
      <c r="H348" s="954"/>
      <c r="I348" s="53">
        <f t="shared" si="67"/>
        <v>1</v>
      </c>
      <c r="J348" s="954"/>
      <c r="K348" s="53">
        <f t="shared" si="68"/>
        <v>1</v>
      </c>
      <c r="L348" s="954"/>
      <c r="M348" s="53">
        <f t="shared" si="69"/>
        <v>1</v>
      </c>
      <c r="N348" s="954"/>
      <c r="O348" s="53">
        <f t="shared" si="70"/>
        <v>1</v>
      </c>
      <c r="P348" s="954"/>
      <c r="Q348" s="53">
        <f t="shared" si="71"/>
        <v>1</v>
      </c>
      <c r="R348" s="490">
        <f t="shared" si="72"/>
        <v>0</v>
      </c>
      <c r="S348" s="799">
        <f t="shared" si="63"/>
        <v>0</v>
      </c>
    </row>
    <row r="349" spans="1:19">
      <c r="A349" s="956"/>
      <c r="B349" s="137"/>
      <c r="C349" s="53">
        <f t="shared" si="64"/>
        <v>1</v>
      </c>
      <c r="D349" s="954"/>
      <c r="E349" s="53">
        <f t="shared" si="65"/>
        <v>1</v>
      </c>
      <c r="F349" s="954"/>
      <c r="G349" s="53">
        <f t="shared" si="66"/>
        <v>1</v>
      </c>
      <c r="H349" s="954"/>
      <c r="I349" s="53">
        <f t="shared" si="67"/>
        <v>1</v>
      </c>
      <c r="J349" s="954"/>
      <c r="K349" s="53">
        <f t="shared" si="68"/>
        <v>1</v>
      </c>
      <c r="L349" s="954"/>
      <c r="M349" s="53">
        <f t="shared" si="69"/>
        <v>1</v>
      </c>
      <c r="N349" s="954"/>
      <c r="O349" s="53">
        <f t="shared" si="70"/>
        <v>1</v>
      </c>
      <c r="P349" s="954"/>
      <c r="Q349" s="53">
        <f t="shared" si="71"/>
        <v>1</v>
      </c>
      <c r="R349" s="490">
        <f t="shared" si="72"/>
        <v>0</v>
      </c>
      <c r="S349" s="799">
        <f t="shared" si="63"/>
        <v>0</v>
      </c>
    </row>
    <row r="350" spans="1:19">
      <c r="A350" s="956"/>
      <c r="B350" s="137"/>
      <c r="C350" s="53">
        <f t="shared" si="64"/>
        <v>1</v>
      </c>
      <c r="D350" s="954"/>
      <c r="E350" s="53">
        <f t="shared" si="65"/>
        <v>1</v>
      </c>
      <c r="F350" s="954"/>
      <c r="G350" s="53">
        <f t="shared" si="66"/>
        <v>1</v>
      </c>
      <c r="H350" s="954"/>
      <c r="I350" s="53">
        <f t="shared" si="67"/>
        <v>1</v>
      </c>
      <c r="J350" s="954"/>
      <c r="K350" s="53">
        <f t="shared" si="68"/>
        <v>1</v>
      </c>
      <c r="L350" s="954"/>
      <c r="M350" s="53">
        <f t="shared" si="69"/>
        <v>1</v>
      </c>
      <c r="N350" s="954"/>
      <c r="O350" s="53">
        <f t="shared" si="70"/>
        <v>1</v>
      </c>
      <c r="P350" s="954"/>
      <c r="Q350" s="53">
        <f t="shared" si="71"/>
        <v>1</v>
      </c>
      <c r="R350" s="490">
        <f t="shared" si="72"/>
        <v>0</v>
      </c>
      <c r="S350" s="799">
        <f t="shared" si="63"/>
        <v>0</v>
      </c>
    </row>
    <row r="351" spans="1:19">
      <c r="A351" s="956"/>
      <c r="B351" s="137"/>
      <c r="C351" s="53">
        <f t="shared" si="64"/>
        <v>1</v>
      </c>
      <c r="D351" s="954"/>
      <c r="E351" s="53">
        <f t="shared" si="65"/>
        <v>1</v>
      </c>
      <c r="F351" s="954"/>
      <c r="G351" s="53">
        <f t="shared" si="66"/>
        <v>1</v>
      </c>
      <c r="H351" s="954"/>
      <c r="I351" s="53">
        <f t="shared" si="67"/>
        <v>1</v>
      </c>
      <c r="J351" s="954"/>
      <c r="K351" s="53">
        <f t="shared" si="68"/>
        <v>1</v>
      </c>
      <c r="L351" s="954"/>
      <c r="M351" s="53">
        <f t="shared" si="69"/>
        <v>1</v>
      </c>
      <c r="N351" s="954"/>
      <c r="O351" s="53">
        <f t="shared" si="70"/>
        <v>1</v>
      </c>
      <c r="P351" s="954"/>
      <c r="Q351" s="53">
        <f t="shared" si="71"/>
        <v>1</v>
      </c>
      <c r="R351" s="490">
        <f t="shared" si="72"/>
        <v>0</v>
      </c>
      <c r="S351" s="799">
        <f t="shared" si="63"/>
        <v>0</v>
      </c>
    </row>
    <row r="352" spans="1:19">
      <c r="A352" s="956"/>
      <c r="B352" s="137"/>
      <c r="C352" s="53">
        <f t="shared" si="64"/>
        <v>1</v>
      </c>
      <c r="D352" s="954"/>
      <c r="E352" s="53">
        <f t="shared" si="65"/>
        <v>1</v>
      </c>
      <c r="F352" s="954"/>
      <c r="G352" s="53">
        <f t="shared" si="66"/>
        <v>1</v>
      </c>
      <c r="H352" s="954"/>
      <c r="I352" s="53">
        <f t="shared" si="67"/>
        <v>1</v>
      </c>
      <c r="J352" s="954"/>
      <c r="K352" s="53">
        <f t="shared" si="68"/>
        <v>1</v>
      </c>
      <c r="L352" s="954"/>
      <c r="M352" s="53">
        <f t="shared" si="69"/>
        <v>1</v>
      </c>
      <c r="N352" s="954"/>
      <c r="O352" s="53">
        <f t="shared" si="70"/>
        <v>1</v>
      </c>
      <c r="P352" s="954"/>
      <c r="Q352" s="53">
        <f t="shared" si="71"/>
        <v>1</v>
      </c>
      <c r="R352" s="490">
        <f t="shared" si="72"/>
        <v>0</v>
      </c>
      <c r="S352" s="799">
        <f t="shared" si="63"/>
        <v>0</v>
      </c>
    </row>
    <row r="353" spans="1:19">
      <c r="A353" s="956"/>
      <c r="B353" s="137"/>
      <c r="C353" s="53">
        <f t="shared" si="64"/>
        <v>1</v>
      </c>
      <c r="D353" s="954"/>
      <c r="E353" s="53">
        <f t="shared" si="65"/>
        <v>1</v>
      </c>
      <c r="F353" s="954"/>
      <c r="G353" s="53">
        <f t="shared" si="66"/>
        <v>1</v>
      </c>
      <c r="H353" s="954"/>
      <c r="I353" s="53">
        <f t="shared" si="67"/>
        <v>1</v>
      </c>
      <c r="J353" s="954"/>
      <c r="K353" s="53">
        <f t="shared" si="68"/>
        <v>1</v>
      </c>
      <c r="L353" s="954"/>
      <c r="M353" s="53">
        <f t="shared" si="69"/>
        <v>1</v>
      </c>
      <c r="N353" s="954"/>
      <c r="O353" s="53">
        <f t="shared" si="70"/>
        <v>1</v>
      </c>
      <c r="P353" s="954"/>
      <c r="Q353" s="53">
        <f t="shared" si="71"/>
        <v>1</v>
      </c>
      <c r="R353" s="490">
        <f t="shared" si="72"/>
        <v>0</v>
      </c>
      <c r="S353" s="799">
        <f t="shared" si="63"/>
        <v>0</v>
      </c>
    </row>
    <row r="354" spans="1:19">
      <c r="A354" s="956"/>
      <c r="B354" s="137"/>
      <c r="C354" s="53">
        <f t="shared" si="64"/>
        <v>1</v>
      </c>
      <c r="D354" s="954"/>
      <c r="E354" s="53">
        <f t="shared" si="65"/>
        <v>1</v>
      </c>
      <c r="F354" s="954"/>
      <c r="G354" s="53">
        <f t="shared" si="66"/>
        <v>1</v>
      </c>
      <c r="H354" s="954"/>
      <c r="I354" s="53">
        <f t="shared" si="67"/>
        <v>1</v>
      </c>
      <c r="J354" s="954"/>
      <c r="K354" s="53">
        <f t="shared" si="68"/>
        <v>1</v>
      </c>
      <c r="L354" s="954"/>
      <c r="M354" s="53">
        <f t="shared" si="69"/>
        <v>1</v>
      </c>
      <c r="N354" s="954"/>
      <c r="O354" s="53">
        <f t="shared" si="70"/>
        <v>1</v>
      </c>
      <c r="P354" s="954"/>
      <c r="Q354" s="53">
        <f t="shared" si="71"/>
        <v>1</v>
      </c>
      <c r="R354" s="490">
        <f t="shared" si="72"/>
        <v>0</v>
      </c>
      <c r="S354" s="799">
        <f t="shared" si="63"/>
        <v>0</v>
      </c>
    </row>
    <row r="355" spans="1:19">
      <c r="A355" s="956"/>
      <c r="B355" s="137"/>
      <c r="C355" s="53">
        <f t="shared" si="64"/>
        <v>1</v>
      </c>
      <c r="D355" s="954"/>
      <c r="E355" s="53">
        <f t="shared" si="65"/>
        <v>1</v>
      </c>
      <c r="F355" s="954"/>
      <c r="G355" s="53">
        <f t="shared" si="66"/>
        <v>1</v>
      </c>
      <c r="H355" s="954"/>
      <c r="I355" s="53">
        <f t="shared" si="67"/>
        <v>1</v>
      </c>
      <c r="J355" s="954"/>
      <c r="K355" s="53">
        <f t="shared" si="68"/>
        <v>1</v>
      </c>
      <c r="L355" s="954"/>
      <c r="M355" s="53">
        <f t="shared" si="69"/>
        <v>1</v>
      </c>
      <c r="N355" s="954"/>
      <c r="O355" s="53">
        <f t="shared" si="70"/>
        <v>1</v>
      </c>
      <c r="P355" s="954"/>
      <c r="Q355" s="53">
        <f t="shared" si="71"/>
        <v>1</v>
      </c>
      <c r="R355" s="490">
        <f t="shared" si="72"/>
        <v>0</v>
      </c>
      <c r="S355" s="799">
        <f t="shared" si="63"/>
        <v>0</v>
      </c>
    </row>
    <row r="356" spans="1:19">
      <c r="A356" s="956"/>
      <c r="B356" s="137"/>
      <c r="C356" s="53">
        <f t="shared" si="64"/>
        <v>1</v>
      </c>
      <c r="D356" s="954"/>
      <c r="E356" s="53">
        <f t="shared" si="65"/>
        <v>1</v>
      </c>
      <c r="F356" s="954"/>
      <c r="G356" s="53">
        <f t="shared" si="66"/>
        <v>1</v>
      </c>
      <c r="H356" s="954"/>
      <c r="I356" s="53">
        <f t="shared" si="67"/>
        <v>1</v>
      </c>
      <c r="J356" s="954"/>
      <c r="K356" s="53">
        <f t="shared" si="68"/>
        <v>1</v>
      </c>
      <c r="L356" s="954"/>
      <c r="M356" s="53">
        <f t="shared" si="69"/>
        <v>1</v>
      </c>
      <c r="N356" s="954"/>
      <c r="O356" s="53">
        <f t="shared" si="70"/>
        <v>1</v>
      </c>
      <c r="P356" s="954"/>
      <c r="Q356" s="53">
        <f t="shared" si="71"/>
        <v>1</v>
      </c>
      <c r="R356" s="490">
        <f t="shared" si="72"/>
        <v>0</v>
      </c>
      <c r="S356" s="799">
        <f t="shared" si="63"/>
        <v>0</v>
      </c>
    </row>
    <row r="357" spans="1:19">
      <c r="A357" s="956"/>
      <c r="B357" s="137"/>
      <c r="C357" s="53">
        <f t="shared" si="64"/>
        <v>1</v>
      </c>
      <c r="D357" s="954"/>
      <c r="E357" s="53">
        <f t="shared" si="65"/>
        <v>1</v>
      </c>
      <c r="F357" s="954"/>
      <c r="G357" s="53">
        <f t="shared" si="66"/>
        <v>1</v>
      </c>
      <c r="H357" s="954"/>
      <c r="I357" s="53">
        <f t="shared" si="67"/>
        <v>1</v>
      </c>
      <c r="J357" s="954"/>
      <c r="K357" s="53">
        <f t="shared" si="68"/>
        <v>1</v>
      </c>
      <c r="L357" s="954"/>
      <c r="M357" s="53">
        <f t="shared" si="69"/>
        <v>1</v>
      </c>
      <c r="N357" s="954"/>
      <c r="O357" s="53">
        <f t="shared" si="70"/>
        <v>1</v>
      </c>
      <c r="P357" s="954"/>
      <c r="Q357" s="53">
        <f t="shared" si="71"/>
        <v>1</v>
      </c>
      <c r="R357" s="490">
        <f t="shared" si="72"/>
        <v>0</v>
      </c>
      <c r="S357" s="799">
        <f t="shared" si="63"/>
        <v>0</v>
      </c>
    </row>
    <row r="358" spans="1:19">
      <c r="A358" s="956"/>
      <c r="B358" s="137"/>
      <c r="C358" s="53">
        <f t="shared" si="64"/>
        <v>1</v>
      </c>
      <c r="D358" s="954"/>
      <c r="E358" s="53">
        <f t="shared" si="65"/>
        <v>1</v>
      </c>
      <c r="F358" s="954"/>
      <c r="G358" s="53">
        <f t="shared" si="66"/>
        <v>1</v>
      </c>
      <c r="H358" s="954"/>
      <c r="I358" s="53">
        <f t="shared" si="67"/>
        <v>1</v>
      </c>
      <c r="J358" s="954"/>
      <c r="K358" s="53">
        <f t="shared" si="68"/>
        <v>1</v>
      </c>
      <c r="L358" s="954"/>
      <c r="M358" s="53">
        <f t="shared" si="69"/>
        <v>1</v>
      </c>
      <c r="N358" s="954"/>
      <c r="O358" s="53">
        <f t="shared" si="70"/>
        <v>1</v>
      </c>
      <c r="P358" s="954"/>
      <c r="Q358" s="53">
        <f t="shared" si="71"/>
        <v>1</v>
      </c>
      <c r="R358" s="490">
        <f t="shared" si="72"/>
        <v>0</v>
      </c>
      <c r="S358" s="799">
        <f t="shared" si="63"/>
        <v>0</v>
      </c>
    </row>
    <row r="359" spans="1:19">
      <c r="A359" s="956"/>
      <c r="B359" s="137"/>
      <c r="C359" s="53">
        <f t="shared" si="64"/>
        <v>1</v>
      </c>
      <c r="D359" s="954"/>
      <c r="E359" s="53">
        <f t="shared" si="65"/>
        <v>1</v>
      </c>
      <c r="F359" s="954"/>
      <c r="G359" s="53">
        <f t="shared" si="66"/>
        <v>1</v>
      </c>
      <c r="H359" s="954"/>
      <c r="I359" s="53">
        <f t="shared" si="67"/>
        <v>1</v>
      </c>
      <c r="J359" s="954"/>
      <c r="K359" s="53">
        <f t="shared" si="68"/>
        <v>1</v>
      </c>
      <c r="L359" s="954"/>
      <c r="M359" s="53">
        <f t="shared" si="69"/>
        <v>1</v>
      </c>
      <c r="N359" s="954"/>
      <c r="O359" s="53">
        <f t="shared" si="70"/>
        <v>1</v>
      </c>
      <c r="P359" s="954"/>
      <c r="Q359" s="53">
        <f t="shared" si="71"/>
        <v>1</v>
      </c>
      <c r="R359" s="490">
        <f t="shared" si="72"/>
        <v>0</v>
      </c>
      <c r="S359" s="799">
        <f t="shared" si="63"/>
        <v>0</v>
      </c>
    </row>
    <row r="360" spans="1:19">
      <c r="A360" s="956"/>
      <c r="B360" s="137"/>
      <c r="C360" s="53">
        <f t="shared" si="64"/>
        <v>1</v>
      </c>
      <c r="D360" s="954"/>
      <c r="E360" s="53">
        <f t="shared" si="65"/>
        <v>1</v>
      </c>
      <c r="F360" s="954"/>
      <c r="G360" s="53">
        <f t="shared" si="66"/>
        <v>1</v>
      </c>
      <c r="H360" s="954"/>
      <c r="I360" s="53">
        <f t="shared" si="67"/>
        <v>1</v>
      </c>
      <c r="J360" s="954"/>
      <c r="K360" s="53">
        <f t="shared" si="68"/>
        <v>1</v>
      </c>
      <c r="L360" s="954"/>
      <c r="M360" s="53">
        <f t="shared" si="69"/>
        <v>1</v>
      </c>
      <c r="N360" s="954"/>
      <c r="O360" s="53">
        <f t="shared" si="70"/>
        <v>1</v>
      </c>
      <c r="P360" s="954"/>
      <c r="Q360" s="53">
        <f t="shared" si="71"/>
        <v>1</v>
      </c>
      <c r="R360" s="490">
        <f t="shared" si="72"/>
        <v>0</v>
      </c>
      <c r="S360" s="799">
        <f t="shared" si="63"/>
        <v>0</v>
      </c>
    </row>
    <row r="361" spans="1:19">
      <c r="A361" s="956"/>
      <c r="B361" s="137"/>
      <c r="C361" s="53">
        <f t="shared" si="64"/>
        <v>1</v>
      </c>
      <c r="D361" s="954"/>
      <c r="E361" s="53">
        <f t="shared" si="65"/>
        <v>1</v>
      </c>
      <c r="F361" s="954"/>
      <c r="G361" s="53">
        <f t="shared" si="66"/>
        <v>1</v>
      </c>
      <c r="H361" s="954"/>
      <c r="I361" s="53">
        <f t="shared" si="67"/>
        <v>1</v>
      </c>
      <c r="J361" s="954"/>
      <c r="K361" s="53">
        <f t="shared" si="68"/>
        <v>1</v>
      </c>
      <c r="L361" s="954"/>
      <c r="M361" s="53">
        <f t="shared" si="69"/>
        <v>1</v>
      </c>
      <c r="N361" s="954"/>
      <c r="O361" s="53">
        <f t="shared" si="70"/>
        <v>1</v>
      </c>
      <c r="P361" s="954"/>
      <c r="Q361" s="53">
        <f t="shared" si="71"/>
        <v>1</v>
      </c>
      <c r="R361" s="490">
        <f t="shared" si="72"/>
        <v>0</v>
      </c>
      <c r="S361" s="799">
        <f t="shared" si="63"/>
        <v>0</v>
      </c>
    </row>
    <row r="362" spans="1:19">
      <c r="A362" s="956"/>
      <c r="B362" s="137"/>
      <c r="C362" s="53">
        <f t="shared" si="64"/>
        <v>1</v>
      </c>
      <c r="D362" s="954"/>
      <c r="E362" s="53">
        <f t="shared" si="65"/>
        <v>1</v>
      </c>
      <c r="F362" s="954"/>
      <c r="G362" s="53">
        <f t="shared" si="66"/>
        <v>1</v>
      </c>
      <c r="H362" s="954"/>
      <c r="I362" s="53">
        <f t="shared" si="67"/>
        <v>1</v>
      </c>
      <c r="J362" s="954"/>
      <c r="K362" s="53">
        <f t="shared" si="68"/>
        <v>1</v>
      </c>
      <c r="L362" s="954"/>
      <c r="M362" s="53">
        <f t="shared" si="69"/>
        <v>1</v>
      </c>
      <c r="N362" s="954"/>
      <c r="O362" s="53">
        <f t="shared" si="70"/>
        <v>1</v>
      </c>
      <c r="P362" s="954"/>
      <c r="Q362" s="53">
        <f t="shared" si="71"/>
        <v>1</v>
      </c>
      <c r="R362" s="490">
        <f t="shared" si="72"/>
        <v>0</v>
      </c>
      <c r="S362" s="799">
        <f t="shared" si="63"/>
        <v>0</v>
      </c>
    </row>
    <row r="363" spans="1:19">
      <c r="A363" s="956"/>
      <c r="B363" s="137"/>
      <c r="C363" s="53">
        <f t="shared" si="64"/>
        <v>1</v>
      </c>
      <c r="D363" s="954"/>
      <c r="E363" s="53">
        <f t="shared" si="65"/>
        <v>1</v>
      </c>
      <c r="F363" s="954"/>
      <c r="G363" s="53">
        <f t="shared" si="66"/>
        <v>1</v>
      </c>
      <c r="H363" s="954"/>
      <c r="I363" s="53">
        <f t="shared" si="67"/>
        <v>1</v>
      </c>
      <c r="J363" s="954"/>
      <c r="K363" s="53">
        <f t="shared" si="68"/>
        <v>1</v>
      </c>
      <c r="L363" s="954"/>
      <c r="M363" s="53">
        <f t="shared" si="69"/>
        <v>1</v>
      </c>
      <c r="N363" s="954"/>
      <c r="O363" s="53">
        <f t="shared" si="70"/>
        <v>1</v>
      </c>
      <c r="P363" s="954"/>
      <c r="Q363" s="53">
        <f t="shared" si="71"/>
        <v>1</v>
      </c>
      <c r="R363" s="490">
        <f t="shared" si="72"/>
        <v>0</v>
      </c>
      <c r="S363" s="799">
        <f t="shared" si="63"/>
        <v>0</v>
      </c>
    </row>
    <row r="364" spans="1:19">
      <c r="A364" s="956"/>
      <c r="B364" s="137"/>
      <c r="C364" s="53">
        <f t="shared" si="64"/>
        <v>1</v>
      </c>
      <c r="D364" s="954"/>
      <c r="E364" s="53">
        <f t="shared" si="65"/>
        <v>1</v>
      </c>
      <c r="F364" s="954"/>
      <c r="G364" s="53">
        <f t="shared" si="66"/>
        <v>1</v>
      </c>
      <c r="H364" s="954"/>
      <c r="I364" s="53">
        <f t="shared" si="67"/>
        <v>1</v>
      </c>
      <c r="J364" s="954"/>
      <c r="K364" s="53">
        <f t="shared" si="68"/>
        <v>1</v>
      </c>
      <c r="L364" s="954"/>
      <c r="M364" s="53">
        <f t="shared" si="69"/>
        <v>1</v>
      </c>
      <c r="N364" s="954"/>
      <c r="O364" s="53">
        <f t="shared" si="70"/>
        <v>1</v>
      </c>
      <c r="P364" s="954"/>
      <c r="Q364" s="53">
        <f t="shared" si="71"/>
        <v>1</v>
      </c>
      <c r="R364" s="490">
        <f t="shared" si="72"/>
        <v>0</v>
      </c>
      <c r="S364" s="799">
        <f t="shared" si="63"/>
        <v>0</v>
      </c>
    </row>
    <row r="365" spans="1:19">
      <c r="A365" s="956"/>
      <c r="B365" s="137"/>
      <c r="C365" s="53">
        <f t="shared" si="64"/>
        <v>1</v>
      </c>
      <c r="D365" s="954"/>
      <c r="E365" s="53">
        <f t="shared" si="65"/>
        <v>1</v>
      </c>
      <c r="F365" s="954"/>
      <c r="G365" s="53">
        <f t="shared" si="66"/>
        <v>1</v>
      </c>
      <c r="H365" s="954"/>
      <c r="I365" s="53">
        <f t="shared" si="67"/>
        <v>1</v>
      </c>
      <c r="J365" s="954"/>
      <c r="K365" s="53">
        <f t="shared" si="68"/>
        <v>1</v>
      </c>
      <c r="L365" s="954"/>
      <c r="M365" s="53">
        <f t="shared" si="69"/>
        <v>1</v>
      </c>
      <c r="N365" s="954"/>
      <c r="O365" s="53">
        <f t="shared" si="70"/>
        <v>1</v>
      </c>
      <c r="P365" s="954"/>
      <c r="Q365" s="53">
        <f t="shared" si="71"/>
        <v>1</v>
      </c>
      <c r="R365" s="490">
        <f t="shared" si="72"/>
        <v>0</v>
      </c>
      <c r="S365" s="799">
        <f t="shared" si="63"/>
        <v>0</v>
      </c>
    </row>
    <row r="366" spans="1:19">
      <c r="A366" s="956"/>
      <c r="B366" s="137"/>
      <c r="C366" s="53">
        <f t="shared" si="64"/>
        <v>1</v>
      </c>
      <c r="D366" s="954"/>
      <c r="E366" s="53">
        <f t="shared" si="65"/>
        <v>1</v>
      </c>
      <c r="F366" s="954"/>
      <c r="G366" s="53">
        <f t="shared" si="66"/>
        <v>1</v>
      </c>
      <c r="H366" s="954"/>
      <c r="I366" s="53">
        <f t="shared" si="67"/>
        <v>1</v>
      </c>
      <c r="J366" s="954"/>
      <c r="K366" s="53">
        <f t="shared" si="68"/>
        <v>1</v>
      </c>
      <c r="L366" s="954"/>
      <c r="M366" s="53">
        <f t="shared" si="69"/>
        <v>1</v>
      </c>
      <c r="N366" s="954"/>
      <c r="O366" s="53">
        <f t="shared" si="70"/>
        <v>1</v>
      </c>
      <c r="P366" s="954"/>
      <c r="Q366" s="53">
        <f t="shared" si="71"/>
        <v>1</v>
      </c>
      <c r="R366" s="490">
        <f t="shared" si="72"/>
        <v>0</v>
      </c>
      <c r="S366" s="799">
        <f t="shared" si="63"/>
        <v>0</v>
      </c>
    </row>
    <row r="367" spans="1:19">
      <c r="A367" s="956"/>
      <c r="B367" s="137"/>
      <c r="C367" s="53">
        <f t="shared" si="64"/>
        <v>1</v>
      </c>
      <c r="D367" s="954"/>
      <c r="E367" s="53">
        <f t="shared" si="65"/>
        <v>1</v>
      </c>
      <c r="F367" s="954"/>
      <c r="G367" s="53">
        <f t="shared" si="66"/>
        <v>1</v>
      </c>
      <c r="H367" s="954"/>
      <c r="I367" s="53">
        <f t="shared" si="67"/>
        <v>1</v>
      </c>
      <c r="J367" s="954"/>
      <c r="K367" s="53">
        <f t="shared" si="68"/>
        <v>1</v>
      </c>
      <c r="L367" s="954"/>
      <c r="M367" s="53">
        <f t="shared" si="69"/>
        <v>1</v>
      </c>
      <c r="N367" s="954"/>
      <c r="O367" s="53">
        <f t="shared" si="70"/>
        <v>1</v>
      </c>
      <c r="P367" s="954"/>
      <c r="Q367" s="53">
        <f t="shared" si="71"/>
        <v>1</v>
      </c>
      <c r="R367" s="490">
        <f t="shared" si="72"/>
        <v>0</v>
      </c>
      <c r="S367" s="799">
        <f t="shared" si="63"/>
        <v>0</v>
      </c>
    </row>
    <row r="368" spans="1:19">
      <c r="A368" s="956"/>
      <c r="B368" s="137"/>
      <c r="C368" s="53">
        <f t="shared" si="64"/>
        <v>1</v>
      </c>
      <c r="D368" s="954"/>
      <c r="E368" s="53">
        <f t="shared" si="65"/>
        <v>1</v>
      </c>
      <c r="F368" s="954"/>
      <c r="G368" s="53">
        <f t="shared" si="66"/>
        <v>1</v>
      </c>
      <c r="H368" s="954"/>
      <c r="I368" s="53">
        <f t="shared" si="67"/>
        <v>1</v>
      </c>
      <c r="J368" s="954"/>
      <c r="K368" s="53">
        <f t="shared" si="68"/>
        <v>1</v>
      </c>
      <c r="L368" s="954"/>
      <c r="M368" s="53">
        <f t="shared" si="69"/>
        <v>1</v>
      </c>
      <c r="N368" s="954"/>
      <c r="O368" s="53">
        <f t="shared" si="70"/>
        <v>1</v>
      </c>
      <c r="P368" s="954"/>
      <c r="Q368" s="53">
        <f t="shared" si="71"/>
        <v>1</v>
      </c>
      <c r="R368" s="490">
        <f t="shared" si="72"/>
        <v>0</v>
      </c>
      <c r="S368" s="799">
        <f t="shared" si="63"/>
        <v>0</v>
      </c>
    </row>
    <row r="369" spans="1:19">
      <c r="A369" s="956"/>
      <c r="B369" s="137"/>
      <c r="C369" s="53">
        <f t="shared" si="64"/>
        <v>1</v>
      </c>
      <c r="D369" s="954"/>
      <c r="E369" s="53">
        <f t="shared" si="65"/>
        <v>1</v>
      </c>
      <c r="F369" s="954"/>
      <c r="G369" s="53">
        <f t="shared" si="66"/>
        <v>1</v>
      </c>
      <c r="H369" s="954"/>
      <c r="I369" s="53">
        <f t="shared" si="67"/>
        <v>1</v>
      </c>
      <c r="J369" s="954"/>
      <c r="K369" s="53">
        <f t="shared" si="68"/>
        <v>1</v>
      </c>
      <c r="L369" s="954"/>
      <c r="M369" s="53">
        <f t="shared" si="69"/>
        <v>1</v>
      </c>
      <c r="N369" s="954"/>
      <c r="O369" s="53">
        <f t="shared" si="70"/>
        <v>1</v>
      </c>
      <c r="P369" s="954"/>
      <c r="Q369" s="53">
        <f t="shared" si="71"/>
        <v>1</v>
      </c>
      <c r="R369" s="490">
        <f t="shared" si="72"/>
        <v>0</v>
      </c>
      <c r="S369" s="799">
        <f t="shared" si="63"/>
        <v>0</v>
      </c>
    </row>
    <row r="370" spans="1:19">
      <c r="A370" s="956"/>
      <c r="B370" s="137"/>
      <c r="C370" s="53">
        <f t="shared" si="64"/>
        <v>1</v>
      </c>
      <c r="D370" s="954"/>
      <c r="E370" s="53">
        <f t="shared" si="65"/>
        <v>1</v>
      </c>
      <c r="F370" s="954"/>
      <c r="G370" s="53">
        <f t="shared" si="66"/>
        <v>1</v>
      </c>
      <c r="H370" s="954"/>
      <c r="I370" s="53">
        <f t="shared" si="67"/>
        <v>1</v>
      </c>
      <c r="J370" s="954"/>
      <c r="K370" s="53">
        <f t="shared" si="68"/>
        <v>1</v>
      </c>
      <c r="L370" s="954"/>
      <c r="M370" s="53">
        <f t="shared" si="69"/>
        <v>1</v>
      </c>
      <c r="N370" s="954"/>
      <c r="O370" s="53">
        <f t="shared" si="70"/>
        <v>1</v>
      </c>
      <c r="P370" s="954"/>
      <c r="Q370" s="53">
        <f t="shared" si="71"/>
        <v>1</v>
      </c>
      <c r="R370" s="490">
        <f t="shared" si="72"/>
        <v>0</v>
      </c>
      <c r="S370" s="799">
        <f t="shared" si="63"/>
        <v>0</v>
      </c>
    </row>
    <row r="371" spans="1:19">
      <c r="A371" s="956"/>
      <c r="B371" s="137"/>
      <c r="C371" s="53">
        <f t="shared" si="64"/>
        <v>1</v>
      </c>
      <c r="D371" s="954"/>
      <c r="E371" s="53">
        <f t="shared" si="65"/>
        <v>1</v>
      </c>
      <c r="F371" s="954"/>
      <c r="G371" s="53">
        <f t="shared" si="66"/>
        <v>1</v>
      </c>
      <c r="H371" s="954"/>
      <c r="I371" s="53">
        <f t="shared" si="67"/>
        <v>1</v>
      </c>
      <c r="J371" s="954"/>
      <c r="K371" s="53">
        <f t="shared" si="68"/>
        <v>1</v>
      </c>
      <c r="L371" s="954"/>
      <c r="M371" s="53">
        <f t="shared" si="69"/>
        <v>1</v>
      </c>
      <c r="N371" s="954"/>
      <c r="O371" s="53">
        <f t="shared" si="70"/>
        <v>1</v>
      </c>
      <c r="P371" s="954"/>
      <c r="Q371" s="53">
        <f t="shared" si="71"/>
        <v>1</v>
      </c>
      <c r="R371" s="490">
        <f t="shared" si="72"/>
        <v>0</v>
      </c>
      <c r="S371" s="799">
        <f t="shared" si="63"/>
        <v>0</v>
      </c>
    </row>
    <row r="372" spans="1:19">
      <c r="A372" s="956"/>
      <c r="B372" s="137"/>
      <c r="C372" s="53">
        <f t="shared" si="64"/>
        <v>1</v>
      </c>
      <c r="D372" s="954"/>
      <c r="E372" s="53">
        <f t="shared" si="65"/>
        <v>1</v>
      </c>
      <c r="F372" s="954"/>
      <c r="G372" s="53">
        <f t="shared" si="66"/>
        <v>1</v>
      </c>
      <c r="H372" s="954"/>
      <c r="I372" s="53">
        <f t="shared" si="67"/>
        <v>1</v>
      </c>
      <c r="J372" s="954"/>
      <c r="K372" s="53">
        <f t="shared" si="68"/>
        <v>1</v>
      </c>
      <c r="L372" s="954"/>
      <c r="M372" s="53">
        <f t="shared" si="69"/>
        <v>1</v>
      </c>
      <c r="N372" s="954"/>
      <c r="O372" s="53">
        <f t="shared" si="70"/>
        <v>1</v>
      </c>
      <c r="P372" s="954"/>
      <c r="Q372" s="53">
        <f t="shared" si="71"/>
        <v>1</v>
      </c>
      <c r="R372" s="490">
        <f t="shared" si="72"/>
        <v>0</v>
      </c>
      <c r="S372" s="799">
        <f t="shared" si="63"/>
        <v>0</v>
      </c>
    </row>
    <row r="373" spans="1:19">
      <c r="A373" s="956"/>
      <c r="B373" s="137"/>
      <c r="C373" s="53">
        <f t="shared" si="64"/>
        <v>1</v>
      </c>
      <c r="D373" s="954"/>
      <c r="E373" s="53">
        <f t="shared" si="65"/>
        <v>1</v>
      </c>
      <c r="F373" s="954"/>
      <c r="G373" s="53">
        <f t="shared" si="66"/>
        <v>1</v>
      </c>
      <c r="H373" s="954"/>
      <c r="I373" s="53">
        <f t="shared" si="67"/>
        <v>1</v>
      </c>
      <c r="J373" s="954"/>
      <c r="K373" s="53">
        <f t="shared" si="68"/>
        <v>1</v>
      </c>
      <c r="L373" s="954"/>
      <c r="M373" s="53">
        <f t="shared" si="69"/>
        <v>1</v>
      </c>
      <c r="N373" s="954"/>
      <c r="O373" s="53">
        <f t="shared" si="70"/>
        <v>1</v>
      </c>
      <c r="P373" s="954"/>
      <c r="Q373" s="53">
        <f t="shared" si="71"/>
        <v>1</v>
      </c>
      <c r="R373" s="490">
        <f t="shared" si="72"/>
        <v>0</v>
      </c>
      <c r="S373" s="799">
        <f t="shared" si="63"/>
        <v>0</v>
      </c>
    </row>
    <row r="374" spans="1:19">
      <c r="A374" s="956"/>
      <c r="B374" s="137"/>
      <c r="C374" s="53">
        <f t="shared" si="64"/>
        <v>1</v>
      </c>
      <c r="D374" s="954"/>
      <c r="E374" s="53">
        <f t="shared" si="65"/>
        <v>1</v>
      </c>
      <c r="F374" s="954"/>
      <c r="G374" s="53">
        <f t="shared" si="66"/>
        <v>1</v>
      </c>
      <c r="H374" s="954"/>
      <c r="I374" s="53">
        <f t="shared" si="67"/>
        <v>1</v>
      </c>
      <c r="J374" s="954"/>
      <c r="K374" s="53">
        <f t="shared" si="68"/>
        <v>1</v>
      </c>
      <c r="L374" s="954"/>
      <c r="M374" s="53">
        <f t="shared" si="69"/>
        <v>1</v>
      </c>
      <c r="N374" s="954"/>
      <c r="O374" s="53">
        <f t="shared" si="70"/>
        <v>1</v>
      </c>
      <c r="P374" s="954"/>
      <c r="Q374" s="53">
        <f t="shared" si="71"/>
        <v>1</v>
      </c>
      <c r="R374" s="490">
        <f t="shared" si="72"/>
        <v>0</v>
      </c>
      <c r="S374" s="799">
        <f t="shared" si="63"/>
        <v>0</v>
      </c>
    </row>
    <row r="375" spans="1:19">
      <c r="A375" s="956"/>
      <c r="B375" s="137"/>
      <c r="C375" s="53">
        <f t="shared" si="64"/>
        <v>1</v>
      </c>
      <c r="D375" s="954"/>
      <c r="E375" s="53">
        <f t="shared" si="65"/>
        <v>1</v>
      </c>
      <c r="F375" s="954"/>
      <c r="G375" s="53">
        <f t="shared" si="66"/>
        <v>1</v>
      </c>
      <c r="H375" s="954"/>
      <c r="I375" s="53">
        <f t="shared" si="67"/>
        <v>1</v>
      </c>
      <c r="J375" s="954"/>
      <c r="K375" s="53">
        <f t="shared" si="68"/>
        <v>1</v>
      </c>
      <c r="L375" s="954"/>
      <c r="M375" s="53">
        <f t="shared" si="69"/>
        <v>1</v>
      </c>
      <c r="N375" s="954"/>
      <c r="O375" s="53">
        <f t="shared" si="70"/>
        <v>1</v>
      </c>
      <c r="P375" s="954"/>
      <c r="Q375" s="53">
        <f t="shared" si="71"/>
        <v>1</v>
      </c>
      <c r="R375" s="490">
        <f t="shared" si="72"/>
        <v>0</v>
      </c>
      <c r="S375" s="799">
        <f t="shared" si="63"/>
        <v>0</v>
      </c>
    </row>
    <row r="376" spans="1:19">
      <c r="A376" s="956"/>
      <c r="B376" s="137"/>
      <c r="C376" s="53">
        <f t="shared" si="64"/>
        <v>1</v>
      </c>
      <c r="D376" s="954"/>
      <c r="E376" s="53">
        <f t="shared" si="65"/>
        <v>1</v>
      </c>
      <c r="F376" s="954"/>
      <c r="G376" s="53">
        <f t="shared" si="66"/>
        <v>1</v>
      </c>
      <c r="H376" s="954"/>
      <c r="I376" s="53">
        <f t="shared" si="67"/>
        <v>1</v>
      </c>
      <c r="J376" s="954"/>
      <c r="K376" s="53">
        <f t="shared" si="68"/>
        <v>1</v>
      </c>
      <c r="L376" s="954"/>
      <c r="M376" s="53">
        <f t="shared" si="69"/>
        <v>1</v>
      </c>
      <c r="N376" s="954"/>
      <c r="O376" s="53">
        <f t="shared" si="70"/>
        <v>1</v>
      </c>
      <c r="P376" s="954"/>
      <c r="Q376" s="53">
        <f t="shared" si="71"/>
        <v>1</v>
      </c>
      <c r="R376" s="490">
        <f t="shared" si="72"/>
        <v>0</v>
      </c>
      <c r="S376" s="799">
        <f t="shared" si="63"/>
        <v>0</v>
      </c>
    </row>
    <row r="377" spans="1:19">
      <c r="A377" s="956"/>
      <c r="B377" s="137"/>
      <c r="C377" s="53">
        <f t="shared" si="64"/>
        <v>1</v>
      </c>
      <c r="D377" s="954"/>
      <c r="E377" s="53">
        <f t="shared" si="65"/>
        <v>1</v>
      </c>
      <c r="F377" s="954"/>
      <c r="G377" s="53">
        <f t="shared" si="66"/>
        <v>1</v>
      </c>
      <c r="H377" s="954"/>
      <c r="I377" s="53">
        <f t="shared" si="67"/>
        <v>1</v>
      </c>
      <c r="J377" s="954"/>
      <c r="K377" s="53">
        <f t="shared" si="68"/>
        <v>1</v>
      </c>
      <c r="L377" s="954"/>
      <c r="M377" s="53">
        <f t="shared" si="69"/>
        <v>1</v>
      </c>
      <c r="N377" s="954"/>
      <c r="O377" s="53">
        <f t="shared" si="70"/>
        <v>1</v>
      </c>
      <c r="P377" s="954"/>
      <c r="Q377" s="53">
        <f t="shared" si="71"/>
        <v>1</v>
      </c>
      <c r="R377" s="490">
        <f t="shared" si="72"/>
        <v>0</v>
      </c>
      <c r="S377" s="799">
        <f t="shared" si="63"/>
        <v>0</v>
      </c>
    </row>
    <row r="378" spans="1:19">
      <c r="A378" s="956"/>
      <c r="B378" s="137"/>
      <c r="C378" s="53">
        <f t="shared" si="64"/>
        <v>1</v>
      </c>
      <c r="D378" s="954"/>
      <c r="E378" s="53">
        <f t="shared" si="65"/>
        <v>1</v>
      </c>
      <c r="F378" s="954"/>
      <c r="G378" s="53">
        <f t="shared" si="66"/>
        <v>1</v>
      </c>
      <c r="H378" s="954"/>
      <c r="I378" s="53">
        <f t="shared" si="67"/>
        <v>1</v>
      </c>
      <c r="J378" s="954"/>
      <c r="K378" s="53">
        <f t="shared" si="68"/>
        <v>1</v>
      </c>
      <c r="L378" s="954"/>
      <c r="M378" s="53">
        <f t="shared" si="69"/>
        <v>1</v>
      </c>
      <c r="N378" s="954"/>
      <c r="O378" s="53">
        <f t="shared" si="70"/>
        <v>1</v>
      </c>
      <c r="P378" s="954"/>
      <c r="Q378" s="53">
        <f t="shared" si="71"/>
        <v>1</v>
      </c>
      <c r="R378" s="490">
        <f t="shared" si="72"/>
        <v>0</v>
      </c>
      <c r="S378" s="799">
        <f t="shared" si="63"/>
        <v>0</v>
      </c>
    </row>
    <row r="379" spans="1:19">
      <c r="A379" s="956"/>
      <c r="B379" s="137"/>
      <c r="C379" s="53">
        <f t="shared" si="64"/>
        <v>1</v>
      </c>
      <c r="D379" s="954"/>
      <c r="E379" s="53">
        <f t="shared" si="65"/>
        <v>1</v>
      </c>
      <c r="F379" s="954"/>
      <c r="G379" s="53">
        <f t="shared" si="66"/>
        <v>1</v>
      </c>
      <c r="H379" s="954"/>
      <c r="I379" s="53">
        <f t="shared" si="67"/>
        <v>1</v>
      </c>
      <c r="J379" s="954"/>
      <c r="K379" s="53">
        <f t="shared" si="68"/>
        <v>1</v>
      </c>
      <c r="L379" s="954"/>
      <c r="M379" s="53">
        <f t="shared" si="69"/>
        <v>1</v>
      </c>
      <c r="N379" s="954"/>
      <c r="O379" s="53">
        <f t="shared" si="70"/>
        <v>1</v>
      </c>
      <c r="P379" s="954"/>
      <c r="Q379" s="53">
        <f t="shared" si="71"/>
        <v>1</v>
      </c>
      <c r="R379" s="490">
        <f t="shared" si="72"/>
        <v>0</v>
      </c>
      <c r="S379" s="799">
        <f t="shared" si="63"/>
        <v>0</v>
      </c>
    </row>
    <row r="380" spans="1:19">
      <c r="A380" s="956"/>
      <c r="B380" s="137"/>
      <c r="C380" s="53">
        <f t="shared" si="64"/>
        <v>1</v>
      </c>
      <c r="D380" s="954"/>
      <c r="E380" s="53">
        <f t="shared" si="65"/>
        <v>1</v>
      </c>
      <c r="F380" s="954"/>
      <c r="G380" s="53">
        <f t="shared" si="66"/>
        <v>1</v>
      </c>
      <c r="H380" s="954"/>
      <c r="I380" s="53">
        <f t="shared" si="67"/>
        <v>1</v>
      </c>
      <c r="J380" s="954"/>
      <c r="K380" s="53">
        <f t="shared" si="68"/>
        <v>1</v>
      </c>
      <c r="L380" s="954"/>
      <c r="M380" s="53">
        <f t="shared" si="69"/>
        <v>1</v>
      </c>
      <c r="N380" s="954"/>
      <c r="O380" s="53">
        <f t="shared" si="70"/>
        <v>1</v>
      </c>
      <c r="P380" s="954"/>
      <c r="Q380" s="53">
        <f t="shared" si="71"/>
        <v>1</v>
      </c>
      <c r="R380" s="490">
        <f t="shared" si="72"/>
        <v>0</v>
      </c>
      <c r="S380" s="799">
        <f t="shared" si="63"/>
        <v>0</v>
      </c>
    </row>
    <row r="381" spans="1:19">
      <c r="A381" s="956"/>
      <c r="B381" s="137"/>
      <c r="C381" s="53">
        <f t="shared" si="64"/>
        <v>1</v>
      </c>
      <c r="D381" s="954"/>
      <c r="E381" s="53">
        <f t="shared" si="65"/>
        <v>1</v>
      </c>
      <c r="F381" s="954"/>
      <c r="G381" s="53">
        <f t="shared" si="66"/>
        <v>1</v>
      </c>
      <c r="H381" s="954"/>
      <c r="I381" s="53">
        <f t="shared" si="67"/>
        <v>1</v>
      </c>
      <c r="J381" s="954"/>
      <c r="K381" s="53">
        <f t="shared" si="68"/>
        <v>1</v>
      </c>
      <c r="L381" s="954"/>
      <c r="M381" s="53">
        <f t="shared" si="69"/>
        <v>1</v>
      </c>
      <c r="N381" s="954"/>
      <c r="O381" s="53">
        <f t="shared" si="70"/>
        <v>1</v>
      </c>
      <c r="P381" s="954"/>
      <c r="Q381" s="53">
        <f t="shared" si="71"/>
        <v>1</v>
      </c>
      <c r="R381" s="490">
        <f t="shared" si="72"/>
        <v>0</v>
      </c>
      <c r="S381" s="799">
        <f t="shared" si="63"/>
        <v>0</v>
      </c>
    </row>
    <row r="382" spans="1:19">
      <c r="A382" s="956"/>
      <c r="B382" s="137"/>
      <c r="C382" s="53">
        <f t="shared" si="64"/>
        <v>1</v>
      </c>
      <c r="D382" s="954"/>
      <c r="E382" s="53">
        <f t="shared" si="65"/>
        <v>1</v>
      </c>
      <c r="F382" s="954"/>
      <c r="G382" s="53">
        <f t="shared" si="66"/>
        <v>1</v>
      </c>
      <c r="H382" s="954"/>
      <c r="I382" s="53">
        <f t="shared" si="67"/>
        <v>1</v>
      </c>
      <c r="J382" s="954"/>
      <c r="K382" s="53">
        <f t="shared" si="68"/>
        <v>1</v>
      </c>
      <c r="L382" s="954"/>
      <c r="M382" s="53">
        <f t="shared" si="69"/>
        <v>1</v>
      </c>
      <c r="N382" s="954"/>
      <c r="O382" s="53">
        <f t="shared" si="70"/>
        <v>1</v>
      </c>
      <c r="P382" s="954"/>
      <c r="Q382" s="53">
        <f t="shared" si="71"/>
        <v>1</v>
      </c>
      <c r="R382" s="490">
        <f t="shared" si="72"/>
        <v>0</v>
      </c>
      <c r="S382" s="799">
        <f t="shared" si="63"/>
        <v>0</v>
      </c>
    </row>
    <row r="383" spans="1:19">
      <c r="A383" s="956"/>
      <c r="B383" s="137"/>
      <c r="C383" s="53">
        <f t="shared" si="64"/>
        <v>1</v>
      </c>
      <c r="D383" s="954"/>
      <c r="E383" s="53">
        <f t="shared" si="65"/>
        <v>1</v>
      </c>
      <c r="F383" s="954"/>
      <c r="G383" s="53">
        <f t="shared" si="66"/>
        <v>1</v>
      </c>
      <c r="H383" s="954"/>
      <c r="I383" s="53">
        <f t="shared" si="67"/>
        <v>1</v>
      </c>
      <c r="J383" s="954"/>
      <c r="K383" s="53">
        <f t="shared" si="68"/>
        <v>1</v>
      </c>
      <c r="L383" s="954"/>
      <c r="M383" s="53">
        <f t="shared" si="69"/>
        <v>1</v>
      </c>
      <c r="N383" s="954"/>
      <c r="O383" s="53">
        <f t="shared" si="70"/>
        <v>1</v>
      </c>
      <c r="P383" s="954"/>
      <c r="Q383" s="53">
        <f t="shared" si="71"/>
        <v>1</v>
      </c>
      <c r="R383" s="490">
        <f t="shared" si="72"/>
        <v>0</v>
      </c>
      <c r="S383" s="799">
        <f t="shared" si="63"/>
        <v>0</v>
      </c>
    </row>
    <row r="384" spans="1:19">
      <c r="A384" s="956"/>
      <c r="B384" s="137"/>
      <c r="C384" s="53">
        <f t="shared" si="64"/>
        <v>1</v>
      </c>
      <c r="D384" s="954"/>
      <c r="E384" s="53">
        <f t="shared" si="65"/>
        <v>1</v>
      </c>
      <c r="F384" s="954"/>
      <c r="G384" s="53">
        <f t="shared" si="66"/>
        <v>1</v>
      </c>
      <c r="H384" s="954"/>
      <c r="I384" s="53">
        <f t="shared" si="67"/>
        <v>1</v>
      </c>
      <c r="J384" s="954"/>
      <c r="K384" s="53">
        <f t="shared" si="68"/>
        <v>1</v>
      </c>
      <c r="L384" s="954"/>
      <c r="M384" s="53">
        <f t="shared" si="69"/>
        <v>1</v>
      </c>
      <c r="N384" s="954"/>
      <c r="O384" s="53">
        <f t="shared" si="70"/>
        <v>1</v>
      </c>
      <c r="P384" s="954"/>
      <c r="Q384" s="53">
        <f t="shared" si="71"/>
        <v>1</v>
      </c>
      <c r="R384" s="490">
        <f t="shared" si="72"/>
        <v>0</v>
      </c>
      <c r="S384" s="799">
        <f t="shared" si="63"/>
        <v>0</v>
      </c>
    </row>
    <row r="385" spans="1:19">
      <c r="A385" s="956"/>
      <c r="B385" s="137"/>
      <c r="C385" s="53">
        <f t="shared" si="64"/>
        <v>1</v>
      </c>
      <c r="D385" s="954"/>
      <c r="E385" s="53">
        <f t="shared" si="65"/>
        <v>1</v>
      </c>
      <c r="F385" s="954"/>
      <c r="G385" s="53">
        <f t="shared" si="66"/>
        <v>1</v>
      </c>
      <c r="H385" s="954"/>
      <c r="I385" s="53">
        <f t="shared" si="67"/>
        <v>1</v>
      </c>
      <c r="J385" s="954"/>
      <c r="K385" s="53">
        <f t="shared" si="68"/>
        <v>1</v>
      </c>
      <c r="L385" s="954"/>
      <c r="M385" s="53">
        <f t="shared" si="69"/>
        <v>1</v>
      </c>
      <c r="N385" s="954"/>
      <c r="O385" s="53">
        <f t="shared" si="70"/>
        <v>1</v>
      </c>
      <c r="P385" s="954"/>
      <c r="Q385" s="53">
        <f t="shared" si="71"/>
        <v>1</v>
      </c>
      <c r="R385" s="490">
        <f t="shared" si="72"/>
        <v>0</v>
      </c>
      <c r="S385" s="799">
        <f t="shared" ref="S385:S422" si="73">ROUND(R385*B385/10000,0)</f>
        <v>0</v>
      </c>
    </row>
    <row r="386" spans="1:19">
      <c r="A386" s="956"/>
      <c r="B386" s="137"/>
      <c r="C386" s="53">
        <f t="shared" si="64"/>
        <v>1</v>
      </c>
      <c r="D386" s="954"/>
      <c r="E386" s="53">
        <f t="shared" si="65"/>
        <v>1</v>
      </c>
      <c r="F386" s="954"/>
      <c r="G386" s="53">
        <f t="shared" si="66"/>
        <v>1</v>
      </c>
      <c r="H386" s="954"/>
      <c r="I386" s="53">
        <f t="shared" si="67"/>
        <v>1</v>
      </c>
      <c r="J386" s="954"/>
      <c r="K386" s="53">
        <f t="shared" si="68"/>
        <v>1</v>
      </c>
      <c r="L386" s="954"/>
      <c r="M386" s="53">
        <f t="shared" si="69"/>
        <v>1</v>
      </c>
      <c r="N386" s="954"/>
      <c r="O386" s="53">
        <f t="shared" si="70"/>
        <v>1</v>
      </c>
      <c r="P386" s="954"/>
      <c r="Q386" s="53">
        <f t="shared" si="71"/>
        <v>1</v>
      </c>
      <c r="R386" s="490">
        <f t="shared" si="72"/>
        <v>0</v>
      </c>
      <c r="S386" s="799">
        <f t="shared" si="73"/>
        <v>0</v>
      </c>
    </row>
    <row r="387" spans="1:19">
      <c r="A387" s="956"/>
      <c r="B387" s="137"/>
      <c r="C387" s="53">
        <f t="shared" si="64"/>
        <v>1</v>
      </c>
      <c r="D387" s="954"/>
      <c r="E387" s="53">
        <f t="shared" si="65"/>
        <v>1</v>
      </c>
      <c r="F387" s="954"/>
      <c r="G387" s="53">
        <f t="shared" si="66"/>
        <v>1</v>
      </c>
      <c r="H387" s="954"/>
      <c r="I387" s="53">
        <f t="shared" si="67"/>
        <v>1</v>
      </c>
      <c r="J387" s="954"/>
      <c r="K387" s="53">
        <f t="shared" si="68"/>
        <v>1</v>
      </c>
      <c r="L387" s="954"/>
      <c r="M387" s="53">
        <f t="shared" si="69"/>
        <v>1</v>
      </c>
      <c r="N387" s="954"/>
      <c r="O387" s="53">
        <f t="shared" si="70"/>
        <v>1</v>
      </c>
      <c r="P387" s="954"/>
      <c r="Q387" s="53">
        <f t="shared" si="71"/>
        <v>1</v>
      </c>
      <c r="R387" s="490">
        <f t="shared" si="72"/>
        <v>0</v>
      </c>
      <c r="S387" s="799">
        <f t="shared" si="73"/>
        <v>0</v>
      </c>
    </row>
    <row r="388" spans="1:19">
      <c r="A388" s="956"/>
      <c r="B388" s="137"/>
      <c r="C388" s="53">
        <f t="shared" si="64"/>
        <v>1</v>
      </c>
      <c r="D388" s="954"/>
      <c r="E388" s="53">
        <f t="shared" si="65"/>
        <v>1</v>
      </c>
      <c r="F388" s="954"/>
      <c r="G388" s="53">
        <f t="shared" si="66"/>
        <v>1</v>
      </c>
      <c r="H388" s="954"/>
      <c r="I388" s="53">
        <f t="shared" si="67"/>
        <v>1</v>
      </c>
      <c r="J388" s="954"/>
      <c r="K388" s="53">
        <f t="shared" si="68"/>
        <v>1</v>
      </c>
      <c r="L388" s="954"/>
      <c r="M388" s="53">
        <f t="shared" si="69"/>
        <v>1</v>
      </c>
      <c r="N388" s="954"/>
      <c r="O388" s="53">
        <f t="shared" si="70"/>
        <v>1</v>
      </c>
      <c r="P388" s="954"/>
      <c r="Q388" s="53">
        <f t="shared" si="71"/>
        <v>1</v>
      </c>
      <c r="R388" s="490">
        <f t="shared" si="72"/>
        <v>0</v>
      </c>
      <c r="S388" s="799">
        <f t="shared" si="73"/>
        <v>0</v>
      </c>
    </row>
    <row r="389" spans="1:19">
      <c r="A389" s="956"/>
      <c r="B389" s="137"/>
      <c r="C389" s="53">
        <f t="shared" si="64"/>
        <v>1</v>
      </c>
      <c r="D389" s="954"/>
      <c r="E389" s="53">
        <f t="shared" si="65"/>
        <v>1</v>
      </c>
      <c r="F389" s="954"/>
      <c r="G389" s="53">
        <f t="shared" si="66"/>
        <v>1</v>
      </c>
      <c r="H389" s="954"/>
      <c r="I389" s="53">
        <f t="shared" si="67"/>
        <v>1</v>
      </c>
      <c r="J389" s="954"/>
      <c r="K389" s="53">
        <f t="shared" si="68"/>
        <v>1</v>
      </c>
      <c r="L389" s="954"/>
      <c r="M389" s="53">
        <f t="shared" si="69"/>
        <v>1</v>
      </c>
      <c r="N389" s="954"/>
      <c r="O389" s="53">
        <f t="shared" si="70"/>
        <v>1</v>
      </c>
      <c r="P389" s="954"/>
      <c r="Q389" s="53">
        <f t="shared" si="71"/>
        <v>1</v>
      </c>
      <c r="R389" s="490">
        <f t="shared" si="72"/>
        <v>0</v>
      </c>
      <c r="S389" s="799">
        <f t="shared" si="73"/>
        <v>0</v>
      </c>
    </row>
    <row r="390" spans="1:19">
      <c r="A390" s="956"/>
      <c r="B390" s="137"/>
      <c r="C390" s="53">
        <f t="shared" si="64"/>
        <v>1</v>
      </c>
      <c r="D390" s="954"/>
      <c r="E390" s="53">
        <f t="shared" si="65"/>
        <v>1</v>
      </c>
      <c r="F390" s="954"/>
      <c r="G390" s="53">
        <f t="shared" si="66"/>
        <v>1</v>
      </c>
      <c r="H390" s="954"/>
      <c r="I390" s="53">
        <f t="shared" si="67"/>
        <v>1</v>
      </c>
      <c r="J390" s="954"/>
      <c r="K390" s="53">
        <f t="shared" si="68"/>
        <v>1</v>
      </c>
      <c r="L390" s="954"/>
      <c r="M390" s="53">
        <f t="shared" si="69"/>
        <v>1</v>
      </c>
      <c r="N390" s="954"/>
      <c r="O390" s="53">
        <f t="shared" si="70"/>
        <v>1</v>
      </c>
      <c r="P390" s="954"/>
      <c r="Q390" s="53">
        <f t="shared" si="71"/>
        <v>1</v>
      </c>
      <c r="R390" s="490">
        <f t="shared" si="72"/>
        <v>0</v>
      </c>
      <c r="S390" s="799">
        <f t="shared" si="73"/>
        <v>0</v>
      </c>
    </row>
    <row r="391" spans="1:19">
      <c r="A391" s="956"/>
      <c r="B391" s="137"/>
      <c r="C391" s="53">
        <f t="shared" si="64"/>
        <v>1</v>
      </c>
      <c r="D391" s="954"/>
      <c r="E391" s="53">
        <f t="shared" si="65"/>
        <v>1</v>
      </c>
      <c r="F391" s="954"/>
      <c r="G391" s="53">
        <f t="shared" si="66"/>
        <v>1</v>
      </c>
      <c r="H391" s="954"/>
      <c r="I391" s="53">
        <f t="shared" si="67"/>
        <v>1</v>
      </c>
      <c r="J391" s="954"/>
      <c r="K391" s="53">
        <f t="shared" si="68"/>
        <v>1</v>
      </c>
      <c r="L391" s="954"/>
      <c r="M391" s="53">
        <f t="shared" si="69"/>
        <v>1</v>
      </c>
      <c r="N391" s="954"/>
      <c r="O391" s="53">
        <f t="shared" si="70"/>
        <v>1</v>
      </c>
      <c r="P391" s="954"/>
      <c r="Q391" s="53">
        <f t="shared" si="71"/>
        <v>1</v>
      </c>
      <c r="R391" s="490">
        <f t="shared" si="72"/>
        <v>0</v>
      </c>
      <c r="S391" s="799">
        <f t="shared" si="73"/>
        <v>0</v>
      </c>
    </row>
    <row r="392" spans="1:19">
      <c r="A392" s="956"/>
      <c r="B392" s="137"/>
      <c r="C392" s="53">
        <f t="shared" si="64"/>
        <v>1</v>
      </c>
      <c r="D392" s="954"/>
      <c r="E392" s="53">
        <f t="shared" si="65"/>
        <v>1</v>
      </c>
      <c r="F392" s="954"/>
      <c r="G392" s="53">
        <f t="shared" si="66"/>
        <v>1</v>
      </c>
      <c r="H392" s="954"/>
      <c r="I392" s="53">
        <f t="shared" si="67"/>
        <v>1</v>
      </c>
      <c r="J392" s="954"/>
      <c r="K392" s="53">
        <f t="shared" si="68"/>
        <v>1</v>
      </c>
      <c r="L392" s="954"/>
      <c r="M392" s="53">
        <f t="shared" si="69"/>
        <v>1</v>
      </c>
      <c r="N392" s="954"/>
      <c r="O392" s="53">
        <f t="shared" si="70"/>
        <v>1</v>
      </c>
      <c r="P392" s="954"/>
      <c r="Q392" s="53">
        <f t="shared" si="71"/>
        <v>1</v>
      </c>
      <c r="R392" s="490">
        <f t="shared" si="72"/>
        <v>0</v>
      </c>
      <c r="S392" s="799">
        <f t="shared" si="73"/>
        <v>0</v>
      </c>
    </row>
    <row r="393" spans="1:19">
      <c r="A393" s="956"/>
      <c r="B393" s="137"/>
      <c r="C393" s="53">
        <f t="shared" si="64"/>
        <v>1</v>
      </c>
      <c r="D393" s="954"/>
      <c r="E393" s="53">
        <f t="shared" si="65"/>
        <v>1</v>
      </c>
      <c r="F393" s="954"/>
      <c r="G393" s="53">
        <f t="shared" si="66"/>
        <v>1</v>
      </c>
      <c r="H393" s="954"/>
      <c r="I393" s="53">
        <f t="shared" si="67"/>
        <v>1</v>
      </c>
      <c r="J393" s="954"/>
      <c r="K393" s="53">
        <f t="shared" si="68"/>
        <v>1</v>
      </c>
      <c r="L393" s="954"/>
      <c r="M393" s="53">
        <f t="shared" si="69"/>
        <v>1</v>
      </c>
      <c r="N393" s="954"/>
      <c r="O393" s="53">
        <f t="shared" si="70"/>
        <v>1</v>
      </c>
      <c r="P393" s="954"/>
      <c r="Q393" s="53">
        <f t="shared" si="71"/>
        <v>1</v>
      </c>
      <c r="R393" s="490">
        <f t="shared" si="72"/>
        <v>0</v>
      </c>
      <c r="S393" s="799">
        <f t="shared" si="73"/>
        <v>0</v>
      </c>
    </row>
    <row r="394" spans="1:19">
      <c r="A394" s="956"/>
      <c r="B394" s="137"/>
      <c r="C394" s="53">
        <f t="shared" si="64"/>
        <v>1</v>
      </c>
      <c r="D394" s="954"/>
      <c r="E394" s="53">
        <f t="shared" si="65"/>
        <v>1</v>
      </c>
      <c r="F394" s="954"/>
      <c r="G394" s="53">
        <f t="shared" si="66"/>
        <v>1</v>
      </c>
      <c r="H394" s="954"/>
      <c r="I394" s="53">
        <f t="shared" si="67"/>
        <v>1</v>
      </c>
      <c r="J394" s="954"/>
      <c r="K394" s="53">
        <f t="shared" si="68"/>
        <v>1</v>
      </c>
      <c r="L394" s="954"/>
      <c r="M394" s="53">
        <f t="shared" si="69"/>
        <v>1</v>
      </c>
      <c r="N394" s="954"/>
      <c r="O394" s="53">
        <f t="shared" si="70"/>
        <v>1</v>
      </c>
      <c r="P394" s="954"/>
      <c r="Q394" s="53">
        <f t="shared" si="71"/>
        <v>1</v>
      </c>
      <c r="R394" s="490">
        <f t="shared" si="72"/>
        <v>0</v>
      </c>
      <c r="S394" s="799">
        <f t="shared" si="73"/>
        <v>0</v>
      </c>
    </row>
    <row r="395" spans="1:19">
      <c r="A395" s="956"/>
      <c r="B395" s="137"/>
      <c r="C395" s="53">
        <f t="shared" si="64"/>
        <v>1</v>
      </c>
      <c r="D395" s="954"/>
      <c r="E395" s="53">
        <f t="shared" si="65"/>
        <v>1</v>
      </c>
      <c r="F395" s="954"/>
      <c r="G395" s="53">
        <f t="shared" si="66"/>
        <v>1</v>
      </c>
      <c r="H395" s="954"/>
      <c r="I395" s="53">
        <f t="shared" si="67"/>
        <v>1</v>
      </c>
      <c r="J395" s="954"/>
      <c r="K395" s="53">
        <f t="shared" si="68"/>
        <v>1</v>
      </c>
      <c r="L395" s="954"/>
      <c r="M395" s="53">
        <f t="shared" si="69"/>
        <v>1</v>
      </c>
      <c r="N395" s="954"/>
      <c r="O395" s="53">
        <f t="shared" si="70"/>
        <v>1</v>
      </c>
      <c r="P395" s="954"/>
      <c r="Q395" s="53">
        <f t="shared" si="71"/>
        <v>1</v>
      </c>
      <c r="R395" s="490">
        <f t="shared" si="72"/>
        <v>0</v>
      </c>
      <c r="S395" s="799">
        <f t="shared" si="73"/>
        <v>0</v>
      </c>
    </row>
    <row r="396" spans="1:19">
      <c r="A396" s="956"/>
      <c r="B396" s="137"/>
      <c r="C396" s="53">
        <f t="shared" si="64"/>
        <v>1</v>
      </c>
      <c r="D396" s="954"/>
      <c r="E396" s="53">
        <f t="shared" si="65"/>
        <v>1</v>
      </c>
      <c r="F396" s="954"/>
      <c r="G396" s="53">
        <f t="shared" si="66"/>
        <v>1</v>
      </c>
      <c r="H396" s="954"/>
      <c r="I396" s="53">
        <f t="shared" si="67"/>
        <v>1</v>
      </c>
      <c r="J396" s="954"/>
      <c r="K396" s="53">
        <f t="shared" si="68"/>
        <v>1</v>
      </c>
      <c r="L396" s="954"/>
      <c r="M396" s="53">
        <f t="shared" si="69"/>
        <v>1</v>
      </c>
      <c r="N396" s="954"/>
      <c r="O396" s="53">
        <f t="shared" si="70"/>
        <v>1</v>
      </c>
      <c r="P396" s="954"/>
      <c r="Q396" s="53">
        <f t="shared" si="71"/>
        <v>1</v>
      </c>
      <c r="R396" s="490">
        <f t="shared" si="72"/>
        <v>0</v>
      </c>
      <c r="S396" s="799">
        <f t="shared" si="73"/>
        <v>0</v>
      </c>
    </row>
    <row r="397" spans="1:19">
      <c r="A397" s="956"/>
      <c r="B397" s="137"/>
      <c r="C397" s="53">
        <f t="shared" si="64"/>
        <v>1</v>
      </c>
      <c r="D397" s="954"/>
      <c r="E397" s="53">
        <f t="shared" si="65"/>
        <v>1</v>
      </c>
      <c r="F397" s="954"/>
      <c r="G397" s="53">
        <f t="shared" si="66"/>
        <v>1</v>
      </c>
      <c r="H397" s="954"/>
      <c r="I397" s="53">
        <f t="shared" si="67"/>
        <v>1</v>
      </c>
      <c r="J397" s="954"/>
      <c r="K397" s="53">
        <f t="shared" si="68"/>
        <v>1</v>
      </c>
      <c r="L397" s="954"/>
      <c r="M397" s="53">
        <f t="shared" si="69"/>
        <v>1</v>
      </c>
      <c r="N397" s="954"/>
      <c r="O397" s="53">
        <f t="shared" si="70"/>
        <v>1</v>
      </c>
      <c r="P397" s="954"/>
      <c r="Q397" s="53">
        <f t="shared" si="71"/>
        <v>1</v>
      </c>
      <c r="R397" s="490">
        <f t="shared" si="72"/>
        <v>0</v>
      </c>
      <c r="S397" s="799">
        <f t="shared" si="73"/>
        <v>0</v>
      </c>
    </row>
    <row r="398" spans="1:19">
      <c r="A398" s="956"/>
      <c r="B398" s="137"/>
      <c r="C398" s="53">
        <f t="shared" si="64"/>
        <v>1</v>
      </c>
      <c r="D398" s="954"/>
      <c r="E398" s="53">
        <f t="shared" si="65"/>
        <v>1</v>
      </c>
      <c r="F398" s="954"/>
      <c r="G398" s="53">
        <f t="shared" si="66"/>
        <v>1</v>
      </c>
      <c r="H398" s="954"/>
      <c r="I398" s="53">
        <f t="shared" si="67"/>
        <v>1</v>
      </c>
      <c r="J398" s="954"/>
      <c r="K398" s="53">
        <f t="shared" si="68"/>
        <v>1</v>
      </c>
      <c r="L398" s="954"/>
      <c r="M398" s="53">
        <f t="shared" si="69"/>
        <v>1</v>
      </c>
      <c r="N398" s="954"/>
      <c r="O398" s="53">
        <f t="shared" si="70"/>
        <v>1</v>
      </c>
      <c r="P398" s="954"/>
      <c r="Q398" s="53">
        <f t="shared" si="71"/>
        <v>1</v>
      </c>
      <c r="R398" s="490">
        <f t="shared" si="72"/>
        <v>0</v>
      </c>
      <c r="S398" s="799">
        <f t="shared" si="73"/>
        <v>0</v>
      </c>
    </row>
    <row r="399" spans="1:19">
      <c r="A399" s="956"/>
      <c r="B399" s="137"/>
      <c r="C399" s="53">
        <f t="shared" si="64"/>
        <v>1</v>
      </c>
      <c r="D399" s="954"/>
      <c r="E399" s="53">
        <f t="shared" si="65"/>
        <v>1</v>
      </c>
      <c r="F399" s="954"/>
      <c r="G399" s="53">
        <f t="shared" si="66"/>
        <v>1</v>
      </c>
      <c r="H399" s="954"/>
      <c r="I399" s="53">
        <f t="shared" si="67"/>
        <v>1</v>
      </c>
      <c r="J399" s="954"/>
      <c r="K399" s="53">
        <f t="shared" si="68"/>
        <v>1</v>
      </c>
      <c r="L399" s="954"/>
      <c r="M399" s="53">
        <f t="shared" si="69"/>
        <v>1</v>
      </c>
      <c r="N399" s="954"/>
      <c r="O399" s="53">
        <f t="shared" si="70"/>
        <v>1</v>
      </c>
      <c r="P399" s="954"/>
      <c r="Q399" s="53">
        <f t="shared" si="71"/>
        <v>1</v>
      </c>
      <c r="R399" s="490">
        <f t="shared" si="72"/>
        <v>0</v>
      </c>
      <c r="S399" s="799">
        <f t="shared" si="73"/>
        <v>0</v>
      </c>
    </row>
    <row r="400" spans="1:19">
      <c r="A400" s="956"/>
      <c r="B400" s="137"/>
      <c r="C400" s="53">
        <f t="shared" si="64"/>
        <v>1</v>
      </c>
      <c r="D400" s="954"/>
      <c r="E400" s="53">
        <f t="shared" si="65"/>
        <v>1</v>
      </c>
      <c r="F400" s="954"/>
      <c r="G400" s="53">
        <f t="shared" si="66"/>
        <v>1</v>
      </c>
      <c r="H400" s="954"/>
      <c r="I400" s="53">
        <f t="shared" si="67"/>
        <v>1</v>
      </c>
      <c r="J400" s="954"/>
      <c r="K400" s="53">
        <f t="shared" si="68"/>
        <v>1</v>
      </c>
      <c r="L400" s="954"/>
      <c r="M400" s="53">
        <f t="shared" si="69"/>
        <v>1</v>
      </c>
      <c r="N400" s="954"/>
      <c r="O400" s="53">
        <f t="shared" si="70"/>
        <v>1</v>
      </c>
      <c r="P400" s="954"/>
      <c r="Q400" s="53">
        <f t="shared" si="71"/>
        <v>1</v>
      </c>
      <c r="R400" s="490">
        <f t="shared" si="72"/>
        <v>0</v>
      </c>
      <c r="S400" s="799">
        <f t="shared" si="73"/>
        <v>0</v>
      </c>
    </row>
    <row r="401" spans="1:19">
      <c r="A401" s="956"/>
      <c r="B401" s="137"/>
      <c r="C401" s="53">
        <f t="shared" si="64"/>
        <v>1</v>
      </c>
      <c r="D401" s="954"/>
      <c r="E401" s="53">
        <f t="shared" si="65"/>
        <v>1</v>
      </c>
      <c r="F401" s="954"/>
      <c r="G401" s="53">
        <f t="shared" si="66"/>
        <v>1</v>
      </c>
      <c r="H401" s="954"/>
      <c r="I401" s="53">
        <f t="shared" si="67"/>
        <v>1</v>
      </c>
      <c r="J401" s="954"/>
      <c r="K401" s="53">
        <f t="shared" si="68"/>
        <v>1</v>
      </c>
      <c r="L401" s="954"/>
      <c r="M401" s="53">
        <f t="shared" si="69"/>
        <v>1</v>
      </c>
      <c r="N401" s="954"/>
      <c r="O401" s="53">
        <f t="shared" si="70"/>
        <v>1</v>
      </c>
      <c r="P401" s="954"/>
      <c r="Q401" s="53">
        <f t="shared" si="71"/>
        <v>1</v>
      </c>
      <c r="R401" s="490">
        <f t="shared" si="72"/>
        <v>0</v>
      </c>
      <c r="S401" s="799">
        <f t="shared" si="73"/>
        <v>0</v>
      </c>
    </row>
    <row r="402" spans="1:19">
      <c r="A402" s="956"/>
      <c r="B402" s="137"/>
      <c r="C402" s="53">
        <f t="shared" si="64"/>
        <v>1</v>
      </c>
      <c r="D402" s="954"/>
      <c r="E402" s="53">
        <f t="shared" si="65"/>
        <v>1</v>
      </c>
      <c r="F402" s="954"/>
      <c r="G402" s="53">
        <f t="shared" si="66"/>
        <v>1</v>
      </c>
      <c r="H402" s="954"/>
      <c r="I402" s="53">
        <f t="shared" si="67"/>
        <v>1</v>
      </c>
      <c r="J402" s="954"/>
      <c r="K402" s="53">
        <f t="shared" si="68"/>
        <v>1</v>
      </c>
      <c r="L402" s="954"/>
      <c r="M402" s="53">
        <f t="shared" si="69"/>
        <v>1</v>
      </c>
      <c r="N402" s="954"/>
      <c r="O402" s="53">
        <f t="shared" si="70"/>
        <v>1</v>
      </c>
      <c r="P402" s="954"/>
      <c r="Q402" s="53">
        <f t="shared" si="71"/>
        <v>1</v>
      </c>
      <c r="R402" s="490">
        <f t="shared" si="72"/>
        <v>0</v>
      </c>
      <c r="S402" s="799">
        <f t="shared" si="73"/>
        <v>0</v>
      </c>
    </row>
    <row r="403" spans="1:19">
      <c r="A403" s="956"/>
      <c r="B403" s="137"/>
      <c r="C403" s="53">
        <f t="shared" si="64"/>
        <v>1</v>
      </c>
      <c r="D403" s="954"/>
      <c r="E403" s="53">
        <f t="shared" si="65"/>
        <v>1</v>
      </c>
      <c r="F403" s="954"/>
      <c r="G403" s="53">
        <f t="shared" si="66"/>
        <v>1</v>
      </c>
      <c r="H403" s="954"/>
      <c r="I403" s="53">
        <f t="shared" si="67"/>
        <v>1</v>
      </c>
      <c r="J403" s="954"/>
      <c r="K403" s="53">
        <f t="shared" si="68"/>
        <v>1</v>
      </c>
      <c r="L403" s="954"/>
      <c r="M403" s="53">
        <f t="shared" si="69"/>
        <v>1</v>
      </c>
      <c r="N403" s="954"/>
      <c r="O403" s="53">
        <f t="shared" si="70"/>
        <v>1</v>
      </c>
      <c r="P403" s="954"/>
      <c r="Q403" s="53">
        <f t="shared" si="71"/>
        <v>1</v>
      </c>
      <c r="R403" s="490">
        <f t="shared" si="72"/>
        <v>0</v>
      </c>
      <c r="S403" s="799">
        <f t="shared" si="73"/>
        <v>0</v>
      </c>
    </row>
    <row r="404" spans="1:19">
      <c r="A404" s="956"/>
      <c r="B404" s="137"/>
      <c r="C404" s="53">
        <f t="shared" si="64"/>
        <v>1</v>
      </c>
      <c r="D404" s="954"/>
      <c r="E404" s="53">
        <f t="shared" si="65"/>
        <v>1</v>
      </c>
      <c r="F404" s="954"/>
      <c r="G404" s="53">
        <f t="shared" si="66"/>
        <v>1</v>
      </c>
      <c r="H404" s="954"/>
      <c r="I404" s="53">
        <f t="shared" si="67"/>
        <v>1</v>
      </c>
      <c r="J404" s="954"/>
      <c r="K404" s="53">
        <f t="shared" si="68"/>
        <v>1</v>
      </c>
      <c r="L404" s="954"/>
      <c r="M404" s="53">
        <f t="shared" si="69"/>
        <v>1</v>
      </c>
      <c r="N404" s="954"/>
      <c r="O404" s="53">
        <f t="shared" si="70"/>
        <v>1</v>
      </c>
      <c r="P404" s="954"/>
      <c r="Q404" s="53">
        <f t="shared" si="71"/>
        <v>1</v>
      </c>
      <c r="R404" s="490">
        <f t="shared" si="72"/>
        <v>0</v>
      </c>
      <c r="S404" s="799">
        <f t="shared" si="73"/>
        <v>0</v>
      </c>
    </row>
    <row r="405" spans="1:19">
      <c r="A405" s="956"/>
      <c r="B405" s="137"/>
      <c r="C405" s="53">
        <f t="shared" si="64"/>
        <v>1</v>
      </c>
      <c r="D405" s="954"/>
      <c r="E405" s="53">
        <f t="shared" si="65"/>
        <v>1</v>
      </c>
      <c r="F405" s="954"/>
      <c r="G405" s="53">
        <f t="shared" si="66"/>
        <v>1</v>
      </c>
      <c r="H405" s="954"/>
      <c r="I405" s="53">
        <f t="shared" si="67"/>
        <v>1</v>
      </c>
      <c r="J405" s="954"/>
      <c r="K405" s="53">
        <f t="shared" si="68"/>
        <v>1</v>
      </c>
      <c r="L405" s="954"/>
      <c r="M405" s="53">
        <f t="shared" si="69"/>
        <v>1</v>
      </c>
      <c r="N405" s="954"/>
      <c r="O405" s="53">
        <f t="shared" si="70"/>
        <v>1</v>
      </c>
      <c r="P405" s="954"/>
      <c r="Q405" s="53">
        <f t="shared" si="71"/>
        <v>1</v>
      </c>
      <c r="R405" s="490">
        <f t="shared" si="72"/>
        <v>0</v>
      </c>
      <c r="S405" s="799">
        <f t="shared" si="73"/>
        <v>0</v>
      </c>
    </row>
    <row r="406" spans="1:19">
      <c r="A406" s="956"/>
      <c r="B406" s="137"/>
      <c r="C406" s="53">
        <f t="shared" si="64"/>
        <v>1</v>
      </c>
      <c r="D406" s="954"/>
      <c r="E406" s="53">
        <f t="shared" si="65"/>
        <v>1</v>
      </c>
      <c r="F406" s="954"/>
      <c r="G406" s="53">
        <f t="shared" si="66"/>
        <v>1</v>
      </c>
      <c r="H406" s="954"/>
      <c r="I406" s="53">
        <f t="shared" si="67"/>
        <v>1</v>
      </c>
      <c r="J406" s="954"/>
      <c r="K406" s="53">
        <f t="shared" si="68"/>
        <v>1</v>
      </c>
      <c r="L406" s="954"/>
      <c r="M406" s="53">
        <f t="shared" si="69"/>
        <v>1</v>
      </c>
      <c r="N406" s="954"/>
      <c r="O406" s="53">
        <f t="shared" si="70"/>
        <v>1</v>
      </c>
      <c r="P406" s="954"/>
      <c r="Q406" s="53">
        <f t="shared" si="71"/>
        <v>1</v>
      </c>
      <c r="R406" s="490">
        <f t="shared" si="72"/>
        <v>0</v>
      </c>
      <c r="S406" s="799">
        <f t="shared" si="73"/>
        <v>0</v>
      </c>
    </row>
    <row r="407" spans="1:19">
      <c r="A407" s="956"/>
      <c r="B407" s="137"/>
      <c r="C407" s="53">
        <f t="shared" si="64"/>
        <v>1</v>
      </c>
      <c r="D407" s="954"/>
      <c r="E407" s="53">
        <f t="shared" si="65"/>
        <v>1</v>
      </c>
      <c r="F407" s="954"/>
      <c r="G407" s="53">
        <f t="shared" si="66"/>
        <v>1</v>
      </c>
      <c r="H407" s="954"/>
      <c r="I407" s="53">
        <f t="shared" si="67"/>
        <v>1</v>
      </c>
      <c r="J407" s="954"/>
      <c r="K407" s="53">
        <f t="shared" si="68"/>
        <v>1</v>
      </c>
      <c r="L407" s="954"/>
      <c r="M407" s="53">
        <f t="shared" si="69"/>
        <v>1</v>
      </c>
      <c r="N407" s="954"/>
      <c r="O407" s="53">
        <f t="shared" si="70"/>
        <v>1</v>
      </c>
      <c r="P407" s="954"/>
      <c r="Q407" s="53">
        <f t="shared" si="71"/>
        <v>1</v>
      </c>
      <c r="R407" s="490">
        <f t="shared" si="72"/>
        <v>0</v>
      </c>
      <c r="S407" s="799">
        <f t="shared" si="73"/>
        <v>0</v>
      </c>
    </row>
    <row r="408" spans="1:19">
      <c r="A408" s="956"/>
      <c r="B408" s="137"/>
      <c r="C408" s="53">
        <f t="shared" si="64"/>
        <v>1</v>
      </c>
      <c r="D408" s="954"/>
      <c r="E408" s="53">
        <f t="shared" si="65"/>
        <v>1</v>
      </c>
      <c r="F408" s="954"/>
      <c r="G408" s="53">
        <f t="shared" si="66"/>
        <v>1</v>
      </c>
      <c r="H408" s="954"/>
      <c r="I408" s="53">
        <f t="shared" si="67"/>
        <v>1</v>
      </c>
      <c r="J408" s="954"/>
      <c r="K408" s="53">
        <f t="shared" si="68"/>
        <v>1</v>
      </c>
      <c r="L408" s="954"/>
      <c r="M408" s="53">
        <f t="shared" si="69"/>
        <v>1</v>
      </c>
      <c r="N408" s="954"/>
      <c r="O408" s="53">
        <f t="shared" si="70"/>
        <v>1</v>
      </c>
      <c r="P408" s="954"/>
      <c r="Q408" s="53">
        <f t="shared" si="71"/>
        <v>1</v>
      </c>
      <c r="R408" s="490">
        <f t="shared" si="72"/>
        <v>0</v>
      </c>
      <c r="S408" s="799">
        <f t="shared" si="73"/>
        <v>0</v>
      </c>
    </row>
    <row r="409" spans="1:19">
      <c r="A409" s="956"/>
      <c r="B409" s="137"/>
      <c r="C409" s="53">
        <f t="shared" si="64"/>
        <v>1</v>
      </c>
      <c r="D409" s="954"/>
      <c r="E409" s="53">
        <f t="shared" si="65"/>
        <v>1</v>
      </c>
      <c r="F409" s="954"/>
      <c r="G409" s="53">
        <f t="shared" si="66"/>
        <v>1</v>
      </c>
      <c r="H409" s="954"/>
      <c r="I409" s="53">
        <f t="shared" si="67"/>
        <v>1</v>
      </c>
      <c r="J409" s="954"/>
      <c r="K409" s="53">
        <f t="shared" si="68"/>
        <v>1</v>
      </c>
      <c r="L409" s="954"/>
      <c r="M409" s="53">
        <f t="shared" si="69"/>
        <v>1</v>
      </c>
      <c r="N409" s="954"/>
      <c r="O409" s="53">
        <f t="shared" si="70"/>
        <v>1</v>
      </c>
      <c r="P409" s="954"/>
      <c r="Q409" s="53">
        <f t="shared" si="71"/>
        <v>1</v>
      </c>
      <c r="R409" s="490">
        <f t="shared" si="72"/>
        <v>0</v>
      </c>
      <c r="S409" s="799">
        <f t="shared" si="73"/>
        <v>0</v>
      </c>
    </row>
    <row r="410" spans="1:19">
      <c r="A410" s="956"/>
      <c r="B410" s="137"/>
      <c r="C410" s="53">
        <f t="shared" ref="C410:C473" si="74">IF(B410="",1,(LOOKUP(B410,$3:$3,$4:$4)-LOOKUP($B$24,$3:$3,$4:$4)+100)/100)</f>
        <v>1</v>
      </c>
      <c r="D410" s="954"/>
      <c r="E410" s="53">
        <f t="shared" ref="E410:E473" si="75">(SUMIF($5:$5,D410,$6:$6)-SUMIF($5:$5,$D$24,$6:$6)+100)/100</f>
        <v>1</v>
      </c>
      <c r="F410" s="954"/>
      <c r="G410" s="53">
        <f t="shared" ref="G410:G473" si="76">(SUMIF($7:$7,F410,$8:$8)-SUMIF($7:$7,$F$24,$8:$8)+100)/100</f>
        <v>1</v>
      </c>
      <c r="H410" s="954"/>
      <c r="I410" s="53">
        <f t="shared" ref="I410:I473" si="77">(SUMIF($9:$9,H410,$10:$10)-SUMIF($9:$9,$H$24,$10:$10)+100)/100</f>
        <v>1</v>
      </c>
      <c r="J410" s="954"/>
      <c r="K410" s="53">
        <f t="shared" ref="K410:K473" si="78">(SUMIF($11:$11,J410,$12:$12)-SUMIF($11:$11,$J$24,$12:$12)+100)/100</f>
        <v>1</v>
      </c>
      <c r="L410" s="954"/>
      <c r="M410" s="53">
        <f t="shared" ref="M410:M473" si="79">(SUMIF($13:$13,L410,$14:$14)-SUMIF($13:$13,$L$24,$14:$14)+100)/100</f>
        <v>1</v>
      </c>
      <c r="N410" s="954"/>
      <c r="O410" s="53">
        <f t="shared" ref="O410:O473" si="80">(SUMIF($15:$15,N410,$16:$16)-SUMIF($15:$15,$N$24,$16:$16)+100)/100</f>
        <v>1</v>
      </c>
      <c r="P410" s="954"/>
      <c r="Q410" s="53">
        <f t="shared" ref="Q410:Q473" si="81">(SUMIF($17:$17,P410,$18:$18)-SUMIF($17:$17,$P$24,$18:$18)+100)/100</f>
        <v>1</v>
      </c>
      <c r="R410" s="490">
        <f t="shared" ref="R410:R473" si="82">IF(B410="",0,ROUND($R$24*C410*E410*G410*I410*K410*M410*O410*Q410,0))</f>
        <v>0</v>
      </c>
      <c r="S410" s="799">
        <f t="shared" si="73"/>
        <v>0</v>
      </c>
    </row>
    <row r="411" spans="1:19">
      <c r="A411" s="956"/>
      <c r="B411" s="137"/>
      <c r="C411" s="53">
        <f t="shared" si="74"/>
        <v>1</v>
      </c>
      <c r="D411" s="954"/>
      <c r="E411" s="53">
        <f t="shared" si="75"/>
        <v>1</v>
      </c>
      <c r="F411" s="954"/>
      <c r="G411" s="53">
        <f t="shared" si="76"/>
        <v>1</v>
      </c>
      <c r="H411" s="954"/>
      <c r="I411" s="53">
        <f t="shared" si="77"/>
        <v>1</v>
      </c>
      <c r="J411" s="954"/>
      <c r="K411" s="53">
        <f t="shared" si="78"/>
        <v>1</v>
      </c>
      <c r="L411" s="954"/>
      <c r="M411" s="53">
        <f t="shared" si="79"/>
        <v>1</v>
      </c>
      <c r="N411" s="954"/>
      <c r="O411" s="53">
        <f t="shared" si="80"/>
        <v>1</v>
      </c>
      <c r="P411" s="954"/>
      <c r="Q411" s="53">
        <f t="shared" si="81"/>
        <v>1</v>
      </c>
      <c r="R411" s="490">
        <f t="shared" si="82"/>
        <v>0</v>
      </c>
      <c r="S411" s="799">
        <f t="shared" si="73"/>
        <v>0</v>
      </c>
    </row>
    <row r="412" spans="1:19">
      <c r="A412" s="956"/>
      <c r="B412" s="137"/>
      <c r="C412" s="53">
        <f t="shared" si="74"/>
        <v>1</v>
      </c>
      <c r="D412" s="954"/>
      <c r="E412" s="53">
        <f t="shared" si="75"/>
        <v>1</v>
      </c>
      <c r="F412" s="954"/>
      <c r="G412" s="53">
        <f t="shared" si="76"/>
        <v>1</v>
      </c>
      <c r="H412" s="954"/>
      <c r="I412" s="53">
        <f t="shared" si="77"/>
        <v>1</v>
      </c>
      <c r="J412" s="954"/>
      <c r="K412" s="53">
        <f t="shared" si="78"/>
        <v>1</v>
      </c>
      <c r="L412" s="954"/>
      <c r="M412" s="53">
        <f t="shared" si="79"/>
        <v>1</v>
      </c>
      <c r="N412" s="954"/>
      <c r="O412" s="53">
        <f t="shared" si="80"/>
        <v>1</v>
      </c>
      <c r="P412" s="954"/>
      <c r="Q412" s="53">
        <f t="shared" si="81"/>
        <v>1</v>
      </c>
      <c r="R412" s="490">
        <f t="shared" si="82"/>
        <v>0</v>
      </c>
      <c r="S412" s="799">
        <f t="shared" si="73"/>
        <v>0</v>
      </c>
    </row>
    <row r="413" spans="1:19">
      <c r="A413" s="956"/>
      <c r="B413" s="137"/>
      <c r="C413" s="53">
        <f t="shared" si="74"/>
        <v>1</v>
      </c>
      <c r="D413" s="954"/>
      <c r="E413" s="53">
        <f t="shared" si="75"/>
        <v>1</v>
      </c>
      <c r="F413" s="954"/>
      <c r="G413" s="53">
        <f t="shared" si="76"/>
        <v>1</v>
      </c>
      <c r="H413" s="954"/>
      <c r="I413" s="53">
        <f t="shared" si="77"/>
        <v>1</v>
      </c>
      <c r="J413" s="954"/>
      <c r="K413" s="53">
        <f t="shared" si="78"/>
        <v>1</v>
      </c>
      <c r="L413" s="954"/>
      <c r="M413" s="53">
        <f t="shared" si="79"/>
        <v>1</v>
      </c>
      <c r="N413" s="954"/>
      <c r="O413" s="53">
        <f t="shared" si="80"/>
        <v>1</v>
      </c>
      <c r="P413" s="954"/>
      <c r="Q413" s="53">
        <f t="shared" si="81"/>
        <v>1</v>
      </c>
      <c r="R413" s="490">
        <f t="shared" si="82"/>
        <v>0</v>
      </c>
      <c r="S413" s="799">
        <f t="shared" si="73"/>
        <v>0</v>
      </c>
    </row>
    <row r="414" spans="1:19">
      <c r="A414" s="956"/>
      <c r="B414" s="137"/>
      <c r="C414" s="53">
        <f t="shared" si="74"/>
        <v>1</v>
      </c>
      <c r="D414" s="954"/>
      <c r="E414" s="53">
        <f t="shared" si="75"/>
        <v>1</v>
      </c>
      <c r="F414" s="954"/>
      <c r="G414" s="53">
        <f t="shared" si="76"/>
        <v>1</v>
      </c>
      <c r="H414" s="954"/>
      <c r="I414" s="53">
        <f t="shared" si="77"/>
        <v>1</v>
      </c>
      <c r="J414" s="954"/>
      <c r="K414" s="53">
        <f t="shared" si="78"/>
        <v>1</v>
      </c>
      <c r="L414" s="954"/>
      <c r="M414" s="53">
        <f t="shared" si="79"/>
        <v>1</v>
      </c>
      <c r="N414" s="954"/>
      <c r="O414" s="53">
        <f t="shared" si="80"/>
        <v>1</v>
      </c>
      <c r="P414" s="954"/>
      <c r="Q414" s="53">
        <f t="shared" si="81"/>
        <v>1</v>
      </c>
      <c r="R414" s="490">
        <f t="shared" si="82"/>
        <v>0</v>
      </c>
      <c r="S414" s="799">
        <f t="shared" si="73"/>
        <v>0</v>
      </c>
    </row>
    <row r="415" spans="1:19">
      <c r="A415" s="956"/>
      <c r="B415" s="137"/>
      <c r="C415" s="53">
        <f t="shared" si="74"/>
        <v>1</v>
      </c>
      <c r="D415" s="954"/>
      <c r="E415" s="53">
        <f t="shared" si="75"/>
        <v>1</v>
      </c>
      <c r="F415" s="954"/>
      <c r="G415" s="53">
        <f t="shared" si="76"/>
        <v>1</v>
      </c>
      <c r="H415" s="954"/>
      <c r="I415" s="53">
        <f t="shared" si="77"/>
        <v>1</v>
      </c>
      <c r="J415" s="954"/>
      <c r="K415" s="53">
        <f t="shared" si="78"/>
        <v>1</v>
      </c>
      <c r="L415" s="954"/>
      <c r="M415" s="53">
        <f t="shared" si="79"/>
        <v>1</v>
      </c>
      <c r="N415" s="954"/>
      <c r="O415" s="53">
        <f t="shared" si="80"/>
        <v>1</v>
      </c>
      <c r="P415" s="954"/>
      <c r="Q415" s="53">
        <f t="shared" si="81"/>
        <v>1</v>
      </c>
      <c r="R415" s="490">
        <f t="shared" si="82"/>
        <v>0</v>
      </c>
      <c r="S415" s="799">
        <f t="shared" si="73"/>
        <v>0</v>
      </c>
    </row>
    <row r="416" spans="1:19">
      <c r="A416" s="956"/>
      <c r="B416" s="137"/>
      <c r="C416" s="53">
        <f t="shared" si="74"/>
        <v>1</v>
      </c>
      <c r="D416" s="954"/>
      <c r="E416" s="53">
        <f t="shared" si="75"/>
        <v>1</v>
      </c>
      <c r="F416" s="954"/>
      <c r="G416" s="53">
        <f t="shared" si="76"/>
        <v>1</v>
      </c>
      <c r="H416" s="954"/>
      <c r="I416" s="53">
        <f t="shared" si="77"/>
        <v>1</v>
      </c>
      <c r="J416" s="954"/>
      <c r="K416" s="53">
        <f t="shared" si="78"/>
        <v>1</v>
      </c>
      <c r="L416" s="954"/>
      <c r="M416" s="53">
        <f t="shared" si="79"/>
        <v>1</v>
      </c>
      <c r="N416" s="954"/>
      <c r="O416" s="53">
        <f t="shared" si="80"/>
        <v>1</v>
      </c>
      <c r="P416" s="954"/>
      <c r="Q416" s="53">
        <f t="shared" si="81"/>
        <v>1</v>
      </c>
      <c r="R416" s="490">
        <f t="shared" si="82"/>
        <v>0</v>
      </c>
      <c r="S416" s="799">
        <f t="shared" si="73"/>
        <v>0</v>
      </c>
    </row>
    <row r="417" spans="1:19">
      <c r="A417" s="956"/>
      <c r="B417" s="137"/>
      <c r="C417" s="53">
        <f t="shared" si="74"/>
        <v>1</v>
      </c>
      <c r="D417" s="954"/>
      <c r="E417" s="53">
        <f t="shared" si="75"/>
        <v>1</v>
      </c>
      <c r="F417" s="954"/>
      <c r="G417" s="53">
        <f t="shared" si="76"/>
        <v>1</v>
      </c>
      <c r="H417" s="954"/>
      <c r="I417" s="53">
        <f t="shared" si="77"/>
        <v>1</v>
      </c>
      <c r="J417" s="954"/>
      <c r="K417" s="53">
        <f t="shared" si="78"/>
        <v>1</v>
      </c>
      <c r="L417" s="954"/>
      <c r="M417" s="53">
        <f t="shared" si="79"/>
        <v>1</v>
      </c>
      <c r="N417" s="954"/>
      <c r="O417" s="53">
        <f t="shared" si="80"/>
        <v>1</v>
      </c>
      <c r="P417" s="954"/>
      <c r="Q417" s="53">
        <f t="shared" si="81"/>
        <v>1</v>
      </c>
      <c r="R417" s="490">
        <f t="shared" si="82"/>
        <v>0</v>
      </c>
      <c r="S417" s="799">
        <f t="shared" si="73"/>
        <v>0</v>
      </c>
    </row>
    <row r="418" spans="1:19">
      <c r="A418" s="956"/>
      <c r="B418" s="137"/>
      <c r="C418" s="53">
        <f t="shared" si="74"/>
        <v>1</v>
      </c>
      <c r="D418" s="954"/>
      <c r="E418" s="53">
        <f t="shared" si="75"/>
        <v>1</v>
      </c>
      <c r="F418" s="954"/>
      <c r="G418" s="53">
        <f t="shared" si="76"/>
        <v>1</v>
      </c>
      <c r="H418" s="954"/>
      <c r="I418" s="53">
        <f t="shared" si="77"/>
        <v>1</v>
      </c>
      <c r="J418" s="954"/>
      <c r="K418" s="53">
        <f t="shared" si="78"/>
        <v>1</v>
      </c>
      <c r="L418" s="954"/>
      <c r="M418" s="53">
        <f t="shared" si="79"/>
        <v>1</v>
      </c>
      <c r="N418" s="954"/>
      <c r="O418" s="53">
        <f t="shared" si="80"/>
        <v>1</v>
      </c>
      <c r="P418" s="954"/>
      <c r="Q418" s="53">
        <f t="shared" si="81"/>
        <v>1</v>
      </c>
      <c r="R418" s="490">
        <f t="shared" si="82"/>
        <v>0</v>
      </c>
      <c r="S418" s="799">
        <f t="shared" si="73"/>
        <v>0</v>
      </c>
    </row>
    <row r="419" spans="1:19">
      <c r="A419" s="956"/>
      <c r="B419" s="137"/>
      <c r="C419" s="53">
        <f t="shared" si="74"/>
        <v>1</v>
      </c>
      <c r="D419" s="954"/>
      <c r="E419" s="53">
        <f t="shared" si="75"/>
        <v>1</v>
      </c>
      <c r="F419" s="954"/>
      <c r="G419" s="53">
        <f t="shared" si="76"/>
        <v>1</v>
      </c>
      <c r="H419" s="954"/>
      <c r="I419" s="53">
        <f t="shared" si="77"/>
        <v>1</v>
      </c>
      <c r="J419" s="954"/>
      <c r="K419" s="53">
        <f t="shared" si="78"/>
        <v>1</v>
      </c>
      <c r="L419" s="954"/>
      <c r="M419" s="53">
        <f t="shared" si="79"/>
        <v>1</v>
      </c>
      <c r="N419" s="954"/>
      <c r="O419" s="53">
        <f t="shared" si="80"/>
        <v>1</v>
      </c>
      <c r="P419" s="954"/>
      <c r="Q419" s="53">
        <f t="shared" si="81"/>
        <v>1</v>
      </c>
      <c r="R419" s="490">
        <f t="shared" si="82"/>
        <v>0</v>
      </c>
      <c r="S419" s="799">
        <f t="shared" si="73"/>
        <v>0</v>
      </c>
    </row>
    <row r="420" spans="1:19">
      <c r="A420" s="956"/>
      <c r="B420" s="137"/>
      <c r="C420" s="53">
        <f t="shared" si="74"/>
        <v>1</v>
      </c>
      <c r="D420" s="954"/>
      <c r="E420" s="53">
        <f t="shared" si="75"/>
        <v>1</v>
      </c>
      <c r="F420" s="954"/>
      <c r="G420" s="53">
        <f t="shared" si="76"/>
        <v>1</v>
      </c>
      <c r="H420" s="954"/>
      <c r="I420" s="53">
        <f t="shared" si="77"/>
        <v>1</v>
      </c>
      <c r="J420" s="954"/>
      <c r="K420" s="53">
        <f t="shared" si="78"/>
        <v>1</v>
      </c>
      <c r="L420" s="954"/>
      <c r="M420" s="53">
        <f t="shared" si="79"/>
        <v>1</v>
      </c>
      <c r="N420" s="954"/>
      <c r="O420" s="53">
        <f t="shared" si="80"/>
        <v>1</v>
      </c>
      <c r="P420" s="954"/>
      <c r="Q420" s="53">
        <f t="shared" si="81"/>
        <v>1</v>
      </c>
      <c r="R420" s="490">
        <f t="shared" si="82"/>
        <v>0</v>
      </c>
      <c r="S420" s="799">
        <f t="shared" si="73"/>
        <v>0</v>
      </c>
    </row>
    <row r="421" spans="1:19">
      <c r="A421" s="956"/>
      <c r="B421" s="137"/>
      <c r="C421" s="53">
        <f t="shared" si="74"/>
        <v>1</v>
      </c>
      <c r="D421" s="954"/>
      <c r="E421" s="53">
        <f t="shared" si="75"/>
        <v>1</v>
      </c>
      <c r="F421" s="954"/>
      <c r="G421" s="53">
        <f t="shared" si="76"/>
        <v>1</v>
      </c>
      <c r="H421" s="954"/>
      <c r="I421" s="53">
        <f t="shared" si="77"/>
        <v>1</v>
      </c>
      <c r="J421" s="954"/>
      <c r="K421" s="53">
        <f t="shared" si="78"/>
        <v>1</v>
      </c>
      <c r="L421" s="954"/>
      <c r="M421" s="53">
        <f t="shared" si="79"/>
        <v>1</v>
      </c>
      <c r="N421" s="954"/>
      <c r="O421" s="53">
        <f t="shared" si="80"/>
        <v>1</v>
      </c>
      <c r="P421" s="954"/>
      <c r="Q421" s="53">
        <f t="shared" si="81"/>
        <v>1</v>
      </c>
      <c r="R421" s="490">
        <f t="shared" si="82"/>
        <v>0</v>
      </c>
      <c r="S421" s="799">
        <f t="shared" si="73"/>
        <v>0</v>
      </c>
    </row>
    <row r="422" spans="1:19">
      <c r="A422" s="956"/>
      <c r="B422" s="137"/>
      <c r="C422" s="53">
        <f t="shared" si="74"/>
        <v>1</v>
      </c>
      <c r="D422" s="954"/>
      <c r="E422" s="53">
        <f t="shared" si="75"/>
        <v>1</v>
      </c>
      <c r="F422" s="954"/>
      <c r="G422" s="53">
        <f t="shared" si="76"/>
        <v>1</v>
      </c>
      <c r="H422" s="954"/>
      <c r="I422" s="53">
        <f t="shared" si="77"/>
        <v>1</v>
      </c>
      <c r="J422" s="954"/>
      <c r="K422" s="53">
        <f t="shared" si="78"/>
        <v>1</v>
      </c>
      <c r="L422" s="954"/>
      <c r="M422" s="53">
        <f t="shared" si="79"/>
        <v>1</v>
      </c>
      <c r="N422" s="954"/>
      <c r="O422" s="53">
        <f t="shared" si="80"/>
        <v>1</v>
      </c>
      <c r="P422" s="954"/>
      <c r="Q422" s="53">
        <f t="shared" si="81"/>
        <v>1</v>
      </c>
      <c r="R422" s="490">
        <f t="shared" si="82"/>
        <v>0</v>
      </c>
      <c r="S422" s="799">
        <f t="shared" si="73"/>
        <v>0</v>
      </c>
    </row>
    <row r="423" spans="1:19">
      <c r="A423" s="956"/>
      <c r="B423" s="137"/>
      <c r="C423" s="53">
        <f t="shared" si="74"/>
        <v>1</v>
      </c>
      <c r="D423" s="954"/>
      <c r="E423" s="53">
        <f t="shared" si="75"/>
        <v>1</v>
      </c>
      <c r="F423" s="954"/>
      <c r="G423" s="53">
        <f t="shared" si="76"/>
        <v>1</v>
      </c>
      <c r="H423" s="954"/>
      <c r="I423" s="53">
        <f t="shared" si="77"/>
        <v>1</v>
      </c>
      <c r="J423" s="954"/>
      <c r="K423" s="53">
        <f t="shared" si="78"/>
        <v>1</v>
      </c>
      <c r="L423" s="954"/>
      <c r="M423" s="53">
        <f t="shared" si="79"/>
        <v>1</v>
      </c>
      <c r="N423" s="954"/>
      <c r="O423" s="53">
        <f t="shared" si="80"/>
        <v>1</v>
      </c>
      <c r="P423" s="954"/>
      <c r="Q423" s="53">
        <f t="shared" si="81"/>
        <v>1</v>
      </c>
      <c r="R423" s="490">
        <f t="shared" si="82"/>
        <v>0</v>
      </c>
      <c r="S423" s="799">
        <f t="shared" ref="S423:S467" si="83">ROUND(R423*B423/10000,0)</f>
        <v>0</v>
      </c>
    </row>
    <row r="424" spans="1:19">
      <c r="A424" s="956"/>
      <c r="B424" s="137"/>
      <c r="C424" s="53">
        <f t="shared" si="74"/>
        <v>1</v>
      </c>
      <c r="D424" s="954"/>
      <c r="E424" s="53">
        <f t="shared" si="75"/>
        <v>1</v>
      </c>
      <c r="F424" s="954"/>
      <c r="G424" s="53">
        <f t="shared" si="76"/>
        <v>1</v>
      </c>
      <c r="H424" s="954"/>
      <c r="I424" s="53">
        <f t="shared" si="77"/>
        <v>1</v>
      </c>
      <c r="J424" s="954"/>
      <c r="K424" s="53">
        <f t="shared" si="78"/>
        <v>1</v>
      </c>
      <c r="L424" s="954"/>
      <c r="M424" s="53">
        <f t="shared" si="79"/>
        <v>1</v>
      </c>
      <c r="N424" s="954"/>
      <c r="O424" s="53">
        <f t="shared" si="80"/>
        <v>1</v>
      </c>
      <c r="P424" s="954"/>
      <c r="Q424" s="53">
        <f t="shared" si="81"/>
        <v>1</v>
      </c>
      <c r="R424" s="490">
        <f t="shared" si="82"/>
        <v>0</v>
      </c>
      <c r="S424" s="799">
        <f t="shared" si="83"/>
        <v>0</v>
      </c>
    </row>
    <row r="425" spans="1:19">
      <c r="A425" s="956"/>
      <c r="B425" s="137"/>
      <c r="C425" s="53">
        <f t="shared" si="74"/>
        <v>1</v>
      </c>
      <c r="D425" s="954"/>
      <c r="E425" s="53">
        <f t="shared" si="75"/>
        <v>1</v>
      </c>
      <c r="F425" s="954"/>
      <c r="G425" s="53">
        <f t="shared" si="76"/>
        <v>1</v>
      </c>
      <c r="H425" s="954"/>
      <c r="I425" s="53">
        <f t="shared" si="77"/>
        <v>1</v>
      </c>
      <c r="J425" s="954"/>
      <c r="K425" s="53">
        <f t="shared" si="78"/>
        <v>1</v>
      </c>
      <c r="L425" s="954"/>
      <c r="M425" s="53">
        <f t="shared" si="79"/>
        <v>1</v>
      </c>
      <c r="N425" s="954"/>
      <c r="O425" s="53">
        <f t="shared" si="80"/>
        <v>1</v>
      </c>
      <c r="P425" s="954"/>
      <c r="Q425" s="53">
        <f t="shared" si="81"/>
        <v>1</v>
      </c>
      <c r="R425" s="490">
        <f t="shared" si="82"/>
        <v>0</v>
      </c>
      <c r="S425" s="799">
        <f t="shared" si="83"/>
        <v>0</v>
      </c>
    </row>
    <row r="426" spans="1:19">
      <c r="A426" s="956"/>
      <c r="B426" s="137"/>
      <c r="C426" s="53">
        <f t="shared" si="74"/>
        <v>1</v>
      </c>
      <c r="D426" s="954"/>
      <c r="E426" s="53">
        <f t="shared" si="75"/>
        <v>1</v>
      </c>
      <c r="F426" s="954"/>
      <c r="G426" s="53">
        <f t="shared" si="76"/>
        <v>1</v>
      </c>
      <c r="H426" s="954"/>
      <c r="I426" s="53">
        <f t="shared" si="77"/>
        <v>1</v>
      </c>
      <c r="J426" s="954"/>
      <c r="K426" s="53">
        <f t="shared" si="78"/>
        <v>1</v>
      </c>
      <c r="L426" s="954"/>
      <c r="M426" s="53">
        <f t="shared" si="79"/>
        <v>1</v>
      </c>
      <c r="N426" s="954"/>
      <c r="O426" s="53">
        <f t="shared" si="80"/>
        <v>1</v>
      </c>
      <c r="P426" s="954"/>
      <c r="Q426" s="53">
        <f t="shared" si="81"/>
        <v>1</v>
      </c>
      <c r="R426" s="490">
        <f t="shared" si="82"/>
        <v>0</v>
      </c>
      <c r="S426" s="799">
        <f t="shared" si="83"/>
        <v>0</v>
      </c>
    </row>
    <row r="427" spans="1:19">
      <c r="A427" s="956"/>
      <c r="B427" s="137"/>
      <c r="C427" s="53">
        <f t="shared" si="74"/>
        <v>1</v>
      </c>
      <c r="D427" s="954"/>
      <c r="E427" s="53">
        <f t="shared" si="75"/>
        <v>1</v>
      </c>
      <c r="F427" s="954"/>
      <c r="G427" s="53">
        <f t="shared" si="76"/>
        <v>1</v>
      </c>
      <c r="H427" s="954"/>
      <c r="I427" s="53">
        <f t="shared" si="77"/>
        <v>1</v>
      </c>
      <c r="J427" s="954"/>
      <c r="K427" s="53">
        <f t="shared" si="78"/>
        <v>1</v>
      </c>
      <c r="L427" s="954"/>
      <c r="M427" s="53">
        <f t="shared" si="79"/>
        <v>1</v>
      </c>
      <c r="N427" s="954"/>
      <c r="O427" s="53">
        <f t="shared" si="80"/>
        <v>1</v>
      </c>
      <c r="P427" s="954"/>
      <c r="Q427" s="53">
        <f t="shared" si="81"/>
        <v>1</v>
      </c>
      <c r="R427" s="490">
        <f t="shared" si="82"/>
        <v>0</v>
      </c>
      <c r="S427" s="799">
        <f t="shared" si="83"/>
        <v>0</v>
      </c>
    </row>
    <row r="428" spans="1:19">
      <c r="A428" s="956"/>
      <c r="B428" s="137"/>
      <c r="C428" s="53">
        <f t="shared" si="74"/>
        <v>1</v>
      </c>
      <c r="D428" s="954"/>
      <c r="E428" s="53">
        <f t="shared" si="75"/>
        <v>1</v>
      </c>
      <c r="F428" s="954"/>
      <c r="G428" s="53">
        <f t="shared" si="76"/>
        <v>1</v>
      </c>
      <c r="H428" s="954"/>
      <c r="I428" s="53">
        <f t="shared" si="77"/>
        <v>1</v>
      </c>
      <c r="J428" s="954"/>
      <c r="K428" s="53">
        <f t="shared" si="78"/>
        <v>1</v>
      </c>
      <c r="L428" s="954"/>
      <c r="M428" s="53">
        <f t="shared" si="79"/>
        <v>1</v>
      </c>
      <c r="N428" s="954"/>
      <c r="O428" s="53">
        <f t="shared" si="80"/>
        <v>1</v>
      </c>
      <c r="P428" s="954"/>
      <c r="Q428" s="53">
        <f t="shared" si="81"/>
        <v>1</v>
      </c>
      <c r="R428" s="490">
        <f t="shared" si="82"/>
        <v>0</v>
      </c>
      <c r="S428" s="799">
        <f t="shared" si="83"/>
        <v>0</v>
      </c>
    </row>
    <row r="429" spans="1:19">
      <c r="A429" s="956"/>
      <c r="B429" s="137"/>
      <c r="C429" s="53">
        <f t="shared" si="74"/>
        <v>1</v>
      </c>
      <c r="D429" s="954"/>
      <c r="E429" s="53">
        <f t="shared" si="75"/>
        <v>1</v>
      </c>
      <c r="F429" s="954"/>
      <c r="G429" s="53">
        <f t="shared" si="76"/>
        <v>1</v>
      </c>
      <c r="H429" s="954"/>
      <c r="I429" s="53">
        <f t="shared" si="77"/>
        <v>1</v>
      </c>
      <c r="J429" s="954"/>
      <c r="K429" s="53">
        <f t="shared" si="78"/>
        <v>1</v>
      </c>
      <c r="L429" s="954"/>
      <c r="M429" s="53">
        <f t="shared" si="79"/>
        <v>1</v>
      </c>
      <c r="N429" s="954"/>
      <c r="O429" s="53">
        <f t="shared" si="80"/>
        <v>1</v>
      </c>
      <c r="P429" s="954"/>
      <c r="Q429" s="53">
        <f t="shared" si="81"/>
        <v>1</v>
      </c>
      <c r="R429" s="490">
        <f t="shared" si="82"/>
        <v>0</v>
      </c>
      <c r="S429" s="799">
        <f t="shared" si="83"/>
        <v>0</v>
      </c>
    </row>
    <row r="430" spans="1:19">
      <c r="A430" s="956"/>
      <c r="B430" s="137"/>
      <c r="C430" s="53">
        <f t="shared" si="74"/>
        <v>1</v>
      </c>
      <c r="D430" s="954"/>
      <c r="E430" s="53">
        <f t="shared" si="75"/>
        <v>1</v>
      </c>
      <c r="F430" s="954"/>
      <c r="G430" s="53">
        <f t="shared" si="76"/>
        <v>1</v>
      </c>
      <c r="H430" s="954"/>
      <c r="I430" s="53">
        <f t="shared" si="77"/>
        <v>1</v>
      </c>
      <c r="J430" s="954"/>
      <c r="K430" s="53">
        <f t="shared" si="78"/>
        <v>1</v>
      </c>
      <c r="L430" s="954"/>
      <c r="M430" s="53">
        <f t="shared" si="79"/>
        <v>1</v>
      </c>
      <c r="N430" s="954"/>
      <c r="O430" s="53">
        <f t="shared" si="80"/>
        <v>1</v>
      </c>
      <c r="P430" s="954"/>
      <c r="Q430" s="53">
        <f t="shared" si="81"/>
        <v>1</v>
      </c>
      <c r="R430" s="490">
        <f t="shared" si="82"/>
        <v>0</v>
      </c>
      <c r="S430" s="799">
        <f t="shared" si="83"/>
        <v>0</v>
      </c>
    </row>
    <row r="431" spans="1:19">
      <c r="A431" s="956"/>
      <c r="B431" s="137"/>
      <c r="C431" s="53">
        <f t="shared" si="74"/>
        <v>1</v>
      </c>
      <c r="D431" s="954"/>
      <c r="E431" s="53">
        <f t="shared" si="75"/>
        <v>1</v>
      </c>
      <c r="F431" s="954"/>
      <c r="G431" s="53">
        <f t="shared" si="76"/>
        <v>1</v>
      </c>
      <c r="H431" s="954"/>
      <c r="I431" s="53">
        <f t="shared" si="77"/>
        <v>1</v>
      </c>
      <c r="J431" s="954"/>
      <c r="K431" s="53">
        <f t="shared" si="78"/>
        <v>1</v>
      </c>
      <c r="L431" s="954"/>
      <c r="M431" s="53">
        <f t="shared" si="79"/>
        <v>1</v>
      </c>
      <c r="N431" s="954"/>
      <c r="O431" s="53">
        <f t="shared" si="80"/>
        <v>1</v>
      </c>
      <c r="P431" s="954"/>
      <c r="Q431" s="53">
        <f t="shared" si="81"/>
        <v>1</v>
      </c>
      <c r="R431" s="490">
        <f t="shared" si="82"/>
        <v>0</v>
      </c>
      <c r="S431" s="799">
        <f t="shared" si="83"/>
        <v>0</v>
      </c>
    </row>
    <row r="432" spans="1:19">
      <c r="A432" s="956"/>
      <c r="B432" s="137"/>
      <c r="C432" s="53">
        <f t="shared" si="74"/>
        <v>1</v>
      </c>
      <c r="D432" s="954"/>
      <c r="E432" s="53">
        <f t="shared" si="75"/>
        <v>1</v>
      </c>
      <c r="F432" s="954"/>
      <c r="G432" s="53">
        <f t="shared" si="76"/>
        <v>1</v>
      </c>
      <c r="H432" s="954"/>
      <c r="I432" s="53">
        <f t="shared" si="77"/>
        <v>1</v>
      </c>
      <c r="J432" s="954"/>
      <c r="K432" s="53">
        <f t="shared" si="78"/>
        <v>1</v>
      </c>
      <c r="L432" s="954"/>
      <c r="M432" s="53">
        <f t="shared" si="79"/>
        <v>1</v>
      </c>
      <c r="N432" s="954"/>
      <c r="O432" s="53">
        <f t="shared" si="80"/>
        <v>1</v>
      </c>
      <c r="P432" s="954"/>
      <c r="Q432" s="53">
        <f t="shared" si="81"/>
        <v>1</v>
      </c>
      <c r="R432" s="490">
        <f t="shared" si="82"/>
        <v>0</v>
      </c>
      <c r="S432" s="799">
        <f t="shared" si="83"/>
        <v>0</v>
      </c>
    </row>
    <row r="433" spans="1:19">
      <c r="A433" s="956"/>
      <c r="B433" s="137"/>
      <c r="C433" s="53">
        <f t="shared" si="74"/>
        <v>1</v>
      </c>
      <c r="D433" s="954"/>
      <c r="E433" s="53">
        <f t="shared" si="75"/>
        <v>1</v>
      </c>
      <c r="F433" s="954"/>
      <c r="G433" s="53">
        <f t="shared" si="76"/>
        <v>1</v>
      </c>
      <c r="H433" s="954"/>
      <c r="I433" s="53">
        <f t="shared" si="77"/>
        <v>1</v>
      </c>
      <c r="J433" s="954"/>
      <c r="K433" s="53">
        <f t="shared" si="78"/>
        <v>1</v>
      </c>
      <c r="L433" s="954"/>
      <c r="M433" s="53">
        <f t="shared" si="79"/>
        <v>1</v>
      </c>
      <c r="N433" s="954"/>
      <c r="O433" s="53">
        <f t="shared" si="80"/>
        <v>1</v>
      </c>
      <c r="P433" s="954"/>
      <c r="Q433" s="53">
        <f t="shared" si="81"/>
        <v>1</v>
      </c>
      <c r="R433" s="490">
        <f t="shared" si="82"/>
        <v>0</v>
      </c>
      <c r="S433" s="799">
        <f t="shared" si="83"/>
        <v>0</v>
      </c>
    </row>
    <row r="434" spans="1:19">
      <c r="A434" s="956"/>
      <c r="B434" s="137"/>
      <c r="C434" s="53">
        <f t="shared" si="74"/>
        <v>1</v>
      </c>
      <c r="D434" s="954"/>
      <c r="E434" s="53">
        <f t="shared" si="75"/>
        <v>1</v>
      </c>
      <c r="F434" s="954"/>
      <c r="G434" s="53">
        <f t="shared" si="76"/>
        <v>1</v>
      </c>
      <c r="H434" s="954"/>
      <c r="I434" s="53">
        <f t="shared" si="77"/>
        <v>1</v>
      </c>
      <c r="J434" s="954"/>
      <c r="K434" s="53">
        <f t="shared" si="78"/>
        <v>1</v>
      </c>
      <c r="L434" s="954"/>
      <c r="M434" s="53">
        <f t="shared" si="79"/>
        <v>1</v>
      </c>
      <c r="N434" s="954"/>
      <c r="O434" s="53">
        <f t="shared" si="80"/>
        <v>1</v>
      </c>
      <c r="P434" s="954"/>
      <c r="Q434" s="53">
        <f t="shared" si="81"/>
        <v>1</v>
      </c>
      <c r="R434" s="490">
        <f t="shared" si="82"/>
        <v>0</v>
      </c>
      <c r="S434" s="799">
        <f t="shared" si="83"/>
        <v>0</v>
      </c>
    </row>
    <row r="435" spans="1:19">
      <c r="A435" s="956"/>
      <c r="B435" s="137"/>
      <c r="C435" s="53">
        <f t="shared" si="74"/>
        <v>1</v>
      </c>
      <c r="D435" s="954"/>
      <c r="E435" s="53">
        <f t="shared" si="75"/>
        <v>1</v>
      </c>
      <c r="F435" s="954"/>
      <c r="G435" s="53">
        <f t="shared" si="76"/>
        <v>1</v>
      </c>
      <c r="H435" s="954"/>
      <c r="I435" s="53">
        <f t="shared" si="77"/>
        <v>1</v>
      </c>
      <c r="J435" s="954"/>
      <c r="K435" s="53">
        <f t="shared" si="78"/>
        <v>1</v>
      </c>
      <c r="L435" s="954"/>
      <c r="M435" s="53">
        <f t="shared" si="79"/>
        <v>1</v>
      </c>
      <c r="N435" s="954"/>
      <c r="O435" s="53">
        <f t="shared" si="80"/>
        <v>1</v>
      </c>
      <c r="P435" s="954"/>
      <c r="Q435" s="53">
        <f t="shared" si="81"/>
        <v>1</v>
      </c>
      <c r="R435" s="490">
        <f t="shared" si="82"/>
        <v>0</v>
      </c>
      <c r="S435" s="799">
        <f t="shared" si="83"/>
        <v>0</v>
      </c>
    </row>
    <row r="436" spans="1:19">
      <c r="A436" s="956"/>
      <c r="B436" s="137"/>
      <c r="C436" s="53">
        <f t="shared" si="74"/>
        <v>1</v>
      </c>
      <c r="D436" s="954"/>
      <c r="E436" s="53">
        <f t="shared" si="75"/>
        <v>1</v>
      </c>
      <c r="F436" s="954"/>
      <c r="G436" s="53">
        <f t="shared" si="76"/>
        <v>1</v>
      </c>
      <c r="H436" s="954"/>
      <c r="I436" s="53">
        <f t="shared" si="77"/>
        <v>1</v>
      </c>
      <c r="J436" s="954"/>
      <c r="K436" s="53">
        <f t="shared" si="78"/>
        <v>1</v>
      </c>
      <c r="L436" s="954"/>
      <c r="M436" s="53">
        <f t="shared" si="79"/>
        <v>1</v>
      </c>
      <c r="N436" s="954"/>
      <c r="O436" s="53">
        <f t="shared" si="80"/>
        <v>1</v>
      </c>
      <c r="P436" s="954"/>
      <c r="Q436" s="53">
        <f t="shared" si="81"/>
        <v>1</v>
      </c>
      <c r="R436" s="490">
        <f t="shared" si="82"/>
        <v>0</v>
      </c>
      <c r="S436" s="799">
        <f t="shared" si="83"/>
        <v>0</v>
      </c>
    </row>
    <row r="437" spans="1:19">
      <c r="A437" s="956"/>
      <c r="B437" s="137"/>
      <c r="C437" s="53">
        <f t="shared" si="74"/>
        <v>1</v>
      </c>
      <c r="D437" s="954"/>
      <c r="E437" s="53">
        <f t="shared" si="75"/>
        <v>1</v>
      </c>
      <c r="F437" s="954"/>
      <c r="G437" s="53">
        <f t="shared" si="76"/>
        <v>1</v>
      </c>
      <c r="H437" s="954"/>
      <c r="I437" s="53">
        <f t="shared" si="77"/>
        <v>1</v>
      </c>
      <c r="J437" s="954"/>
      <c r="K437" s="53">
        <f t="shared" si="78"/>
        <v>1</v>
      </c>
      <c r="L437" s="954"/>
      <c r="M437" s="53">
        <f t="shared" si="79"/>
        <v>1</v>
      </c>
      <c r="N437" s="954"/>
      <c r="O437" s="53">
        <f t="shared" si="80"/>
        <v>1</v>
      </c>
      <c r="P437" s="954"/>
      <c r="Q437" s="53">
        <f t="shared" si="81"/>
        <v>1</v>
      </c>
      <c r="R437" s="490">
        <f t="shared" si="82"/>
        <v>0</v>
      </c>
      <c r="S437" s="799">
        <f t="shared" si="83"/>
        <v>0</v>
      </c>
    </row>
    <row r="438" spans="1:19">
      <c r="A438" s="956"/>
      <c r="B438" s="137"/>
      <c r="C438" s="53">
        <f t="shared" si="74"/>
        <v>1</v>
      </c>
      <c r="D438" s="954"/>
      <c r="E438" s="53">
        <f t="shared" si="75"/>
        <v>1</v>
      </c>
      <c r="F438" s="954"/>
      <c r="G438" s="53">
        <f t="shared" si="76"/>
        <v>1</v>
      </c>
      <c r="H438" s="954"/>
      <c r="I438" s="53">
        <f t="shared" si="77"/>
        <v>1</v>
      </c>
      <c r="J438" s="954"/>
      <c r="K438" s="53">
        <f t="shared" si="78"/>
        <v>1</v>
      </c>
      <c r="L438" s="954"/>
      <c r="M438" s="53">
        <f t="shared" si="79"/>
        <v>1</v>
      </c>
      <c r="N438" s="954"/>
      <c r="O438" s="53">
        <f t="shared" si="80"/>
        <v>1</v>
      </c>
      <c r="P438" s="954"/>
      <c r="Q438" s="53">
        <f t="shared" si="81"/>
        <v>1</v>
      </c>
      <c r="R438" s="490">
        <f t="shared" si="82"/>
        <v>0</v>
      </c>
      <c r="S438" s="799">
        <f t="shared" si="83"/>
        <v>0</v>
      </c>
    </row>
    <row r="439" spans="1:19">
      <c r="A439" s="956"/>
      <c r="B439" s="137"/>
      <c r="C439" s="53">
        <f t="shared" si="74"/>
        <v>1</v>
      </c>
      <c r="D439" s="954"/>
      <c r="E439" s="53">
        <f t="shared" si="75"/>
        <v>1</v>
      </c>
      <c r="F439" s="954"/>
      <c r="G439" s="53">
        <f t="shared" si="76"/>
        <v>1</v>
      </c>
      <c r="H439" s="954"/>
      <c r="I439" s="53">
        <f t="shared" si="77"/>
        <v>1</v>
      </c>
      <c r="J439" s="954"/>
      <c r="K439" s="53">
        <f t="shared" si="78"/>
        <v>1</v>
      </c>
      <c r="L439" s="954"/>
      <c r="M439" s="53">
        <f t="shared" si="79"/>
        <v>1</v>
      </c>
      <c r="N439" s="954"/>
      <c r="O439" s="53">
        <f t="shared" si="80"/>
        <v>1</v>
      </c>
      <c r="P439" s="954"/>
      <c r="Q439" s="53">
        <f t="shared" si="81"/>
        <v>1</v>
      </c>
      <c r="R439" s="490">
        <f t="shared" si="82"/>
        <v>0</v>
      </c>
      <c r="S439" s="799">
        <f t="shared" si="83"/>
        <v>0</v>
      </c>
    </row>
    <row r="440" spans="1:19">
      <c r="A440" s="956"/>
      <c r="B440" s="137"/>
      <c r="C440" s="53">
        <f t="shared" si="74"/>
        <v>1</v>
      </c>
      <c r="D440" s="954"/>
      <c r="E440" s="53">
        <f t="shared" si="75"/>
        <v>1</v>
      </c>
      <c r="F440" s="954"/>
      <c r="G440" s="53">
        <f t="shared" si="76"/>
        <v>1</v>
      </c>
      <c r="H440" s="954"/>
      <c r="I440" s="53">
        <f t="shared" si="77"/>
        <v>1</v>
      </c>
      <c r="J440" s="954"/>
      <c r="K440" s="53">
        <f t="shared" si="78"/>
        <v>1</v>
      </c>
      <c r="L440" s="954"/>
      <c r="M440" s="53">
        <f t="shared" si="79"/>
        <v>1</v>
      </c>
      <c r="N440" s="954"/>
      <c r="O440" s="53">
        <f t="shared" si="80"/>
        <v>1</v>
      </c>
      <c r="P440" s="954"/>
      <c r="Q440" s="53">
        <f t="shared" si="81"/>
        <v>1</v>
      </c>
      <c r="R440" s="490">
        <f t="shared" si="82"/>
        <v>0</v>
      </c>
      <c r="S440" s="799">
        <f t="shared" si="83"/>
        <v>0</v>
      </c>
    </row>
    <row r="441" spans="1:19">
      <c r="A441" s="956"/>
      <c r="B441" s="137"/>
      <c r="C441" s="53">
        <f t="shared" si="74"/>
        <v>1</v>
      </c>
      <c r="D441" s="954"/>
      <c r="E441" s="53">
        <f t="shared" si="75"/>
        <v>1</v>
      </c>
      <c r="F441" s="954"/>
      <c r="G441" s="53">
        <f t="shared" si="76"/>
        <v>1</v>
      </c>
      <c r="H441" s="954"/>
      <c r="I441" s="53">
        <f t="shared" si="77"/>
        <v>1</v>
      </c>
      <c r="J441" s="954"/>
      <c r="K441" s="53">
        <f t="shared" si="78"/>
        <v>1</v>
      </c>
      <c r="L441" s="954"/>
      <c r="M441" s="53">
        <f t="shared" si="79"/>
        <v>1</v>
      </c>
      <c r="N441" s="954"/>
      <c r="O441" s="53">
        <f t="shared" si="80"/>
        <v>1</v>
      </c>
      <c r="P441" s="954"/>
      <c r="Q441" s="53">
        <f t="shared" si="81"/>
        <v>1</v>
      </c>
      <c r="R441" s="490">
        <f t="shared" si="82"/>
        <v>0</v>
      </c>
      <c r="S441" s="799">
        <f t="shared" si="83"/>
        <v>0</v>
      </c>
    </row>
    <row r="442" spans="1:19">
      <c r="A442" s="956"/>
      <c r="B442" s="137"/>
      <c r="C442" s="53">
        <f t="shared" si="74"/>
        <v>1</v>
      </c>
      <c r="D442" s="954"/>
      <c r="E442" s="53">
        <f t="shared" si="75"/>
        <v>1</v>
      </c>
      <c r="F442" s="954"/>
      <c r="G442" s="53">
        <f t="shared" si="76"/>
        <v>1</v>
      </c>
      <c r="H442" s="954"/>
      <c r="I442" s="53">
        <f t="shared" si="77"/>
        <v>1</v>
      </c>
      <c r="J442" s="954"/>
      <c r="K442" s="53">
        <f t="shared" si="78"/>
        <v>1</v>
      </c>
      <c r="L442" s="954"/>
      <c r="M442" s="53">
        <f t="shared" si="79"/>
        <v>1</v>
      </c>
      <c r="N442" s="954"/>
      <c r="O442" s="53">
        <f t="shared" si="80"/>
        <v>1</v>
      </c>
      <c r="P442" s="954"/>
      <c r="Q442" s="53">
        <f t="shared" si="81"/>
        <v>1</v>
      </c>
      <c r="R442" s="490">
        <f t="shared" si="82"/>
        <v>0</v>
      </c>
      <c r="S442" s="799">
        <f t="shared" si="83"/>
        <v>0</v>
      </c>
    </row>
    <row r="443" spans="1:19">
      <c r="A443" s="956"/>
      <c r="B443" s="137"/>
      <c r="C443" s="53">
        <f t="shared" si="74"/>
        <v>1</v>
      </c>
      <c r="D443" s="954"/>
      <c r="E443" s="53">
        <f t="shared" si="75"/>
        <v>1</v>
      </c>
      <c r="F443" s="954"/>
      <c r="G443" s="53">
        <f t="shared" si="76"/>
        <v>1</v>
      </c>
      <c r="H443" s="954"/>
      <c r="I443" s="53">
        <f t="shared" si="77"/>
        <v>1</v>
      </c>
      <c r="J443" s="954"/>
      <c r="K443" s="53">
        <f t="shared" si="78"/>
        <v>1</v>
      </c>
      <c r="L443" s="954"/>
      <c r="M443" s="53">
        <f t="shared" si="79"/>
        <v>1</v>
      </c>
      <c r="N443" s="954"/>
      <c r="O443" s="53">
        <f t="shared" si="80"/>
        <v>1</v>
      </c>
      <c r="P443" s="954"/>
      <c r="Q443" s="53">
        <f t="shared" si="81"/>
        <v>1</v>
      </c>
      <c r="R443" s="490">
        <f t="shared" si="82"/>
        <v>0</v>
      </c>
      <c r="S443" s="799">
        <f t="shared" si="83"/>
        <v>0</v>
      </c>
    </row>
    <row r="444" spans="1:19">
      <c r="A444" s="956"/>
      <c r="B444" s="137"/>
      <c r="C444" s="53">
        <f t="shared" si="74"/>
        <v>1</v>
      </c>
      <c r="D444" s="954"/>
      <c r="E444" s="53">
        <f t="shared" si="75"/>
        <v>1</v>
      </c>
      <c r="F444" s="954"/>
      <c r="G444" s="53">
        <f t="shared" si="76"/>
        <v>1</v>
      </c>
      <c r="H444" s="954"/>
      <c r="I444" s="53">
        <f t="shared" si="77"/>
        <v>1</v>
      </c>
      <c r="J444" s="954"/>
      <c r="K444" s="53">
        <f t="shared" si="78"/>
        <v>1</v>
      </c>
      <c r="L444" s="954"/>
      <c r="M444" s="53">
        <f t="shared" si="79"/>
        <v>1</v>
      </c>
      <c r="N444" s="954"/>
      <c r="O444" s="53">
        <f t="shared" si="80"/>
        <v>1</v>
      </c>
      <c r="P444" s="954"/>
      <c r="Q444" s="53">
        <f t="shared" si="81"/>
        <v>1</v>
      </c>
      <c r="R444" s="490">
        <f t="shared" si="82"/>
        <v>0</v>
      </c>
      <c r="S444" s="799">
        <f t="shared" si="83"/>
        <v>0</v>
      </c>
    </row>
    <row r="445" spans="1:19">
      <c r="A445" s="956"/>
      <c r="B445" s="137"/>
      <c r="C445" s="53">
        <f t="shared" si="74"/>
        <v>1</v>
      </c>
      <c r="D445" s="954"/>
      <c r="E445" s="53">
        <f t="shared" si="75"/>
        <v>1</v>
      </c>
      <c r="F445" s="954"/>
      <c r="G445" s="53">
        <f t="shared" si="76"/>
        <v>1</v>
      </c>
      <c r="H445" s="954"/>
      <c r="I445" s="53">
        <f t="shared" si="77"/>
        <v>1</v>
      </c>
      <c r="J445" s="954"/>
      <c r="K445" s="53">
        <f t="shared" si="78"/>
        <v>1</v>
      </c>
      <c r="L445" s="954"/>
      <c r="M445" s="53">
        <f t="shared" si="79"/>
        <v>1</v>
      </c>
      <c r="N445" s="954"/>
      <c r="O445" s="53">
        <f t="shared" si="80"/>
        <v>1</v>
      </c>
      <c r="P445" s="954"/>
      <c r="Q445" s="53">
        <f t="shared" si="81"/>
        <v>1</v>
      </c>
      <c r="R445" s="490">
        <f t="shared" si="82"/>
        <v>0</v>
      </c>
      <c r="S445" s="799">
        <f t="shared" si="83"/>
        <v>0</v>
      </c>
    </row>
    <row r="446" spans="1:19">
      <c r="A446" s="956"/>
      <c r="B446" s="137"/>
      <c r="C446" s="53">
        <f t="shared" si="74"/>
        <v>1</v>
      </c>
      <c r="D446" s="954"/>
      <c r="E446" s="53">
        <f t="shared" si="75"/>
        <v>1</v>
      </c>
      <c r="F446" s="954"/>
      <c r="G446" s="53">
        <f t="shared" si="76"/>
        <v>1</v>
      </c>
      <c r="H446" s="954"/>
      <c r="I446" s="53">
        <f t="shared" si="77"/>
        <v>1</v>
      </c>
      <c r="J446" s="954"/>
      <c r="K446" s="53">
        <f t="shared" si="78"/>
        <v>1</v>
      </c>
      <c r="L446" s="954"/>
      <c r="M446" s="53">
        <f t="shared" si="79"/>
        <v>1</v>
      </c>
      <c r="N446" s="954"/>
      <c r="O446" s="53">
        <f t="shared" si="80"/>
        <v>1</v>
      </c>
      <c r="P446" s="954"/>
      <c r="Q446" s="53">
        <f t="shared" si="81"/>
        <v>1</v>
      </c>
      <c r="R446" s="490">
        <f t="shared" si="82"/>
        <v>0</v>
      </c>
      <c r="S446" s="799">
        <f t="shared" si="83"/>
        <v>0</v>
      </c>
    </row>
    <row r="447" spans="1:19">
      <c r="A447" s="956"/>
      <c r="B447" s="137"/>
      <c r="C447" s="53">
        <f t="shared" si="74"/>
        <v>1</v>
      </c>
      <c r="D447" s="954"/>
      <c r="E447" s="53">
        <f t="shared" si="75"/>
        <v>1</v>
      </c>
      <c r="F447" s="954"/>
      <c r="G447" s="53">
        <f t="shared" si="76"/>
        <v>1</v>
      </c>
      <c r="H447" s="954"/>
      <c r="I447" s="53">
        <f t="shared" si="77"/>
        <v>1</v>
      </c>
      <c r="J447" s="954"/>
      <c r="K447" s="53">
        <f t="shared" si="78"/>
        <v>1</v>
      </c>
      <c r="L447" s="954"/>
      <c r="M447" s="53">
        <f t="shared" si="79"/>
        <v>1</v>
      </c>
      <c r="N447" s="954"/>
      <c r="O447" s="53">
        <f t="shared" si="80"/>
        <v>1</v>
      </c>
      <c r="P447" s="954"/>
      <c r="Q447" s="53">
        <f t="shared" si="81"/>
        <v>1</v>
      </c>
      <c r="R447" s="490">
        <f t="shared" si="82"/>
        <v>0</v>
      </c>
      <c r="S447" s="799">
        <f t="shared" si="83"/>
        <v>0</v>
      </c>
    </row>
    <row r="448" spans="1:19">
      <c r="A448" s="956"/>
      <c r="B448" s="137"/>
      <c r="C448" s="53">
        <f t="shared" si="74"/>
        <v>1</v>
      </c>
      <c r="D448" s="954"/>
      <c r="E448" s="53">
        <f t="shared" si="75"/>
        <v>1</v>
      </c>
      <c r="F448" s="954"/>
      <c r="G448" s="53">
        <f t="shared" si="76"/>
        <v>1</v>
      </c>
      <c r="H448" s="954"/>
      <c r="I448" s="53">
        <f t="shared" si="77"/>
        <v>1</v>
      </c>
      <c r="J448" s="954"/>
      <c r="K448" s="53">
        <f t="shared" si="78"/>
        <v>1</v>
      </c>
      <c r="L448" s="954"/>
      <c r="M448" s="53">
        <f t="shared" si="79"/>
        <v>1</v>
      </c>
      <c r="N448" s="954"/>
      <c r="O448" s="53">
        <f t="shared" si="80"/>
        <v>1</v>
      </c>
      <c r="P448" s="954"/>
      <c r="Q448" s="53">
        <f t="shared" si="81"/>
        <v>1</v>
      </c>
      <c r="R448" s="490">
        <f t="shared" si="82"/>
        <v>0</v>
      </c>
      <c r="S448" s="799">
        <f t="shared" si="83"/>
        <v>0</v>
      </c>
    </row>
    <row r="449" spans="1:19">
      <c r="A449" s="956"/>
      <c r="B449" s="137"/>
      <c r="C449" s="53">
        <f t="shared" si="74"/>
        <v>1</v>
      </c>
      <c r="D449" s="954"/>
      <c r="E449" s="53">
        <f t="shared" si="75"/>
        <v>1</v>
      </c>
      <c r="F449" s="954"/>
      <c r="G449" s="53">
        <f t="shared" si="76"/>
        <v>1</v>
      </c>
      <c r="H449" s="954"/>
      <c r="I449" s="53">
        <f t="shared" si="77"/>
        <v>1</v>
      </c>
      <c r="J449" s="954"/>
      <c r="K449" s="53">
        <f t="shared" si="78"/>
        <v>1</v>
      </c>
      <c r="L449" s="954"/>
      <c r="M449" s="53">
        <f t="shared" si="79"/>
        <v>1</v>
      </c>
      <c r="N449" s="954"/>
      <c r="O449" s="53">
        <f t="shared" si="80"/>
        <v>1</v>
      </c>
      <c r="P449" s="954"/>
      <c r="Q449" s="53">
        <f t="shared" si="81"/>
        <v>1</v>
      </c>
      <c r="R449" s="490">
        <f t="shared" si="82"/>
        <v>0</v>
      </c>
      <c r="S449" s="799">
        <f t="shared" si="83"/>
        <v>0</v>
      </c>
    </row>
    <row r="450" spans="1:19">
      <c r="A450" s="956"/>
      <c r="B450" s="137"/>
      <c r="C450" s="53">
        <f t="shared" si="74"/>
        <v>1</v>
      </c>
      <c r="D450" s="954"/>
      <c r="E450" s="53">
        <f t="shared" si="75"/>
        <v>1</v>
      </c>
      <c r="F450" s="954"/>
      <c r="G450" s="53">
        <f t="shared" si="76"/>
        <v>1</v>
      </c>
      <c r="H450" s="954"/>
      <c r="I450" s="53">
        <f t="shared" si="77"/>
        <v>1</v>
      </c>
      <c r="J450" s="954"/>
      <c r="K450" s="53">
        <f t="shared" si="78"/>
        <v>1</v>
      </c>
      <c r="L450" s="954"/>
      <c r="M450" s="53">
        <f t="shared" si="79"/>
        <v>1</v>
      </c>
      <c r="N450" s="954"/>
      <c r="O450" s="53">
        <f t="shared" si="80"/>
        <v>1</v>
      </c>
      <c r="P450" s="954"/>
      <c r="Q450" s="53">
        <f t="shared" si="81"/>
        <v>1</v>
      </c>
      <c r="R450" s="490">
        <f t="shared" si="82"/>
        <v>0</v>
      </c>
      <c r="S450" s="799">
        <f t="shared" si="83"/>
        <v>0</v>
      </c>
    </row>
    <row r="451" spans="1:19">
      <c r="A451" s="956"/>
      <c r="B451" s="137"/>
      <c r="C451" s="53">
        <f t="shared" si="74"/>
        <v>1</v>
      </c>
      <c r="D451" s="954"/>
      <c r="E451" s="53">
        <f t="shared" si="75"/>
        <v>1</v>
      </c>
      <c r="F451" s="954"/>
      <c r="G451" s="53">
        <f t="shared" si="76"/>
        <v>1</v>
      </c>
      <c r="H451" s="954"/>
      <c r="I451" s="53">
        <f t="shared" si="77"/>
        <v>1</v>
      </c>
      <c r="J451" s="954"/>
      <c r="K451" s="53">
        <f t="shared" si="78"/>
        <v>1</v>
      </c>
      <c r="L451" s="954"/>
      <c r="M451" s="53">
        <f t="shared" si="79"/>
        <v>1</v>
      </c>
      <c r="N451" s="954"/>
      <c r="O451" s="53">
        <f t="shared" si="80"/>
        <v>1</v>
      </c>
      <c r="P451" s="954"/>
      <c r="Q451" s="53">
        <f t="shared" si="81"/>
        <v>1</v>
      </c>
      <c r="R451" s="490">
        <f t="shared" si="82"/>
        <v>0</v>
      </c>
      <c r="S451" s="799">
        <f t="shared" si="83"/>
        <v>0</v>
      </c>
    </row>
    <row r="452" spans="1:19">
      <c r="A452" s="956"/>
      <c r="B452" s="137"/>
      <c r="C452" s="53">
        <f t="shared" si="74"/>
        <v>1</v>
      </c>
      <c r="D452" s="954"/>
      <c r="E452" s="53">
        <f t="shared" si="75"/>
        <v>1</v>
      </c>
      <c r="F452" s="954"/>
      <c r="G452" s="53">
        <f t="shared" si="76"/>
        <v>1</v>
      </c>
      <c r="H452" s="954"/>
      <c r="I452" s="53">
        <f t="shared" si="77"/>
        <v>1</v>
      </c>
      <c r="J452" s="954"/>
      <c r="K452" s="53">
        <f t="shared" si="78"/>
        <v>1</v>
      </c>
      <c r="L452" s="954"/>
      <c r="M452" s="53">
        <f t="shared" si="79"/>
        <v>1</v>
      </c>
      <c r="N452" s="954"/>
      <c r="O452" s="53">
        <f t="shared" si="80"/>
        <v>1</v>
      </c>
      <c r="P452" s="954"/>
      <c r="Q452" s="53">
        <f t="shared" si="81"/>
        <v>1</v>
      </c>
      <c r="R452" s="490">
        <f t="shared" si="82"/>
        <v>0</v>
      </c>
      <c r="S452" s="799">
        <f t="shared" si="83"/>
        <v>0</v>
      </c>
    </row>
    <row r="453" spans="1:19">
      <c r="A453" s="956"/>
      <c r="B453" s="137"/>
      <c r="C453" s="53">
        <f t="shared" si="74"/>
        <v>1</v>
      </c>
      <c r="D453" s="954"/>
      <c r="E453" s="53">
        <f t="shared" si="75"/>
        <v>1</v>
      </c>
      <c r="F453" s="954"/>
      <c r="G453" s="53">
        <f t="shared" si="76"/>
        <v>1</v>
      </c>
      <c r="H453" s="954"/>
      <c r="I453" s="53">
        <f t="shared" si="77"/>
        <v>1</v>
      </c>
      <c r="J453" s="954"/>
      <c r="K453" s="53">
        <f t="shared" si="78"/>
        <v>1</v>
      </c>
      <c r="L453" s="954"/>
      <c r="M453" s="53">
        <f t="shared" si="79"/>
        <v>1</v>
      </c>
      <c r="N453" s="954"/>
      <c r="O453" s="53">
        <f t="shared" si="80"/>
        <v>1</v>
      </c>
      <c r="P453" s="954"/>
      <c r="Q453" s="53">
        <f t="shared" si="81"/>
        <v>1</v>
      </c>
      <c r="R453" s="490">
        <f t="shared" si="82"/>
        <v>0</v>
      </c>
      <c r="S453" s="799">
        <f t="shared" si="83"/>
        <v>0</v>
      </c>
    </row>
    <row r="454" spans="1:19">
      <c r="A454" s="956"/>
      <c r="B454" s="137"/>
      <c r="C454" s="53">
        <f t="shared" si="74"/>
        <v>1</v>
      </c>
      <c r="D454" s="954"/>
      <c r="E454" s="53">
        <f t="shared" si="75"/>
        <v>1</v>
      </c>
      <c r="F454" s="954"/>
      <c r="G454" s="53">
        <f t="shared" si="76"/>
        <v>1</v>
      </c>
      <c r="H454" s="954"/>
      <c r="I454" s="53">
        <f t="shared" si="77"/>
        <v>1</v>
      </c>
      <c r="J454" s="954"/>
      <c r="K454" s="53">
        <f t="shared" si="78"/>
        <v>1</v>
      </c>
      <c r="L454" s="954"/>
      <c r="M454" s="53">
        <f t="shared" si="79"/>
        <v>1</v>
      </c>
      <c r="N454" s="954"/>
      <c r="O454" s="53">
        <f t="shared" si="80"/>
        <v>1</v>
      </c>
      <c r="P454" s="954"/>
      <c r="Q454" s="53">
        <f t="shared" si="81"/>
        <v>1</v>
      </c>
      <c r="R454" s="490">
        <f t="shared" si="82"/>
        <v>0</v>
      </c>
      <c r="S454" s="799">
        <f t="shared" si="83"/>
        <v>0</v>
      </c>
    </row>
    <row r="455" spans="1:19">
      <c r="A455" s="956"/>
      <c r="B455" s="137"/>
      <c r="C455" s="53">
        <f t="shared" si="74"/>
        <v>1</v>
      </c>
      <c r="D455" s="954"/>
      <c r="E455" s="53">
        <f t="shared" si="75"/>
        <v>1</v>
      </c>
      <c r="F455" s="954"/>
      <c r="G455" s="53">
        <f t="shared" si="76"/>
        <v>1</v>
      </c>
      <c r="H455" s="954"/>
      <c r="I455" s="53">
        <f t="shared" si="77"/>
        <v>1</v>
      </c>
      <c r="J455" s="954"/>
      <c r="K455" s="53">
        <f t="shared" si="78"/>
        <v>1</v>
      </c>
      <c r="L455" s="954"/>
      <c r="M455" s="53">
        <f t="shared" si="79"/>
        <v>1</v>
      </c>
      <c r="N455" s="954"/>
      <c r="O455" s="53">
        <f t="shared" si="80"/>
        <v>1</v>
      </c>
      <c r="P455" s="954"/>
      <c r="Q455" s="53">
        <f t="shared" si="81"/>
        <v>1</v>
      </c>
      <c r="R455" s="490">
        <f t="shared" si="82"/>
        <v>0</v>
      </c>
      <c r="S455" s="799">
        <f t="shared" si="83"/>
        <v>0</v>
      </c>
    </row>
    <row r="456" spans="1:19">
      <c r="A456" s="956"/>
      <c r="B456" s="137"/>
      <c r="C456" s="53">
        <f t="shared" si="74"/>
        <v>1</v>
      </c>
      <c r="D456" s="954"/>
      <c r="E456" s="53">
        <f t="shared" si="75"/>
        <v>1</v>
      </c>
      <c r="F456" s="954"/>
      <c r="G456" s="53">
        <f t="shared" si="76"/>
        <v>1</v>
      </c>
      <c r="H456" s="954"/>
      <c r="I456" s="53">
        <f t="shared" si="77"/>
        <v>1</v>
      </c>
      <c r="J456" s="954"/>
      <c r="K456" s="53">
        <f t="shared" si="78"/>
        <v>1</v>
      </c>
      <c r="L456" s="954"/>
      <c r="M456" s="53">
        <f t="shared" si="79"/>
        <v>1</v>
      </c>
      <c r="N456" s="954"/>
      <c r="O456" s="53">
        <f t="shared" si="80"/>
        <v>1</v>
      </c>
      <c r="P456" s="954"/>
      <c r="Q456" s="53">
        <f t="shared" si="81"/>
        <v>1</v>
      </c>
      <c r="R456" s="490">
        <f t="shared" si="82"/>
        <v>0</v>
      </c>
      <c r="S456" s="799">
        <f t="shared" si="83"/>
        <v>0</v>
      </c>
    </row>
    <row r="457" spans="1:19">
      <c r="A457" s="956"/>
      <c r="B457" s="137"/>
      <c r="C457" s="53">
        <f t="shared" si="74"/>
        <v>1</v>
      </c>
      <c r="D457" s="954"/>
      <c r="E457" s="53">
        <f t="shared" si="75"/>
        <v>1</v>
      </c>
      <c r="F457" s="954"/>
      <c r="G457" s="53">
        <f t="shared" si="76"/>
        <v>1</v>
      </c>
      <c r="H457" s="954"/>
      <c r="I457" s="53">
        <f t="shared" si="77"/>
        <v>1</v>
      </c>
      <c r="J457" s="954"/>
      <c r="K457" s="53">
        <f t="shared" si="78"/>
        <v>1</v>
      </c>
      <c r="L457" s="954"/>
      <c r="M457" s="53">
        <f t="shared" si="79"/>
        <v>1</v>
      </c>
      <c r="N457" s="954"/>
      <c r="O457" s="53">
        <f t="shared" si="80"/>
        <v>1</v>
      </c>
      <c r="P457" s="954"/>
      <c r="Q457" s="53">
        <f t="shared" si="81"/>
        <v>1</v>
      </c>
      <c r="R457" s="490">
        <f t="shared" si="82"/>
        <v>0</v>
      </c>
      <c r="S457" s="799">
        <f t="shared" si="83"/>
        <v>0</v>
      </c>
    </row>
    <row r="458" spans="1:19">
      <c r="A458" s="956"/>
      <c r="B458" s="137"/>
      <c r="C458" s="53">
        <f t="shared" si="74"/>
        <v>1</v>
      </c>
      <c r="D458" s="954"/>
      <c r="E458" s="53">
        <f t="shared" si="75"/>
        <v>1</v>
      </c>
      <c r="F458" s="954"/>
      <c r="G458" s="53">
        <f t="shared" si="76"/>
        <v>1</v>
      </c>
      <c r="H458" s="954"/>
      <c r="I458" s="53">
        <f t="shared" si="77"/>
        <v>1</v>
      </c>
      <c r="J458" s="954"/>
      <c r="K458" s="53">
        <f t="shared" si="78"/>
        <v>1</v>
      </c>
      <c r="L458" s="954"/>
      <c r="M458" s="53">
        <f t="shared" si="79"/>
        <v>1</v>
      </c>
      <c r="N458" s="954"/>
      <c r="O458" s="53">
        <f t="shared" si="80"/>
        <v>1</v>
      </c>
      <c r="P458" s="954"/>
      <c r="Q458" s="53">
        <f t="shared" si="81"/>
        <v>1</v>
      </c>
      <c r="R458" s="490">
        <f t="shared" si="82"/>
        <v>0</v>
      </c>
      <c r="S458" s="799">
        <f t="shared" si="83"/>
        <v>0</v>
      </c>
    </row>
    <row r="459" spans="1:19">
      <c r="A459" s="956"/>
      <c r="B459" s="137"/>
      <c r="C459" s="53">
        <f t="shared" si="74"/>
        <v>1</v>
      </c>
      <c r="D459" s="954"/>
      <c r="E459" s="53">
        <f t="shared" si="75"/>
        <v>1</v>
      </c>
      <c r="F459" s="954"/>
      <c r="G459" s="53">
        <f t="shared" si="76"/>
        <v>1</v>
      </c>
      <c r="H459" s="954"/>
      <c r="I459" s="53">
        <f t="shared" si="77"/>
        <v>1</v>
      </c>
      <c r="J459" s="954"/>
      <c r="K459" s="53">
        <f t="shared" si="78"/>
        <v>1</v>
      </c>
      <c r="L459" s="954"/>
      <c r="M459" s="53">
        <f t="shared" si="79"/>
        <v>1</v>
      </c>
      <c r="N459" s="954"/>
      <c r="O459" s="53">
        <f t="shared" si="80"/>
        <v>1</v>
      </c>
      <c r="P459" s="954"/>
      <c r="Q459" s="53">
        <f t="shared" si="81"/>
        <v>1</v>
      </c>
      <c r="R459" s="490">
        <f t="shared" si="82"/>
        <v>0</v>
      </c>
      <c r="S459" s="799">
        <f t="shared" si="83"/>
        <v>0</v>
      </c>
    </row>
    <row r="460" spans="1:19">
      <c r="A460" s="956"/>
      <c r="B460" s="137"/>
      <c r="C460" s="53">
        <f t="shared" si="74"/>
        <v>1</v>
      </c>
      <c r="D460" s="954"/>
      <c r="E460" s="53">
        <f t="shared" si="75"/>
        <v>1</v>
      </c>
      <c r="F460" s="954"/>
      <c r="G460" s="53">
        <f t="shared" si="76"/>
        <v>1</v>
      </c>
      <c r="H460" s="954"/>
      <c r="I460" s="53">
        <f t="shared" si="77"/>
        <v>1</v>
      </c>
      <c r="J460" s="954"/>
      <c r="K460" s="53">
        <f t="shared" si="78"/>
        <v>1</v>
      </c>
      <c r="L460" s="954"/>
      <c r="M460" s="53">
        <f t="shared" si="79"/>
        <v>1</v>
      </c>
      <c r="N460" s="954"/>
      <c r="O460" s="53">
        <f t="shared" si="80"/>
        <v>1</v>
      </c>
      <c r="P460" s="954"/>
      <c r="Q460" s="53">
        <f t="shared" si="81"/>
        <v>1</v>
      </c>
      <c r="R460" s="490">
        <f t="shared" si="82"/>
        <v>0</v>
      </c>
      <c r="S460" s="799">
        <f t="shared" si="83"/>
        <v>0</v>
      </c>
    </row>
    <row r="461" spans="1:19">
      <c r="A461" s="956"/>
      <c r="B461" s="137"/>
      <c r="C461" s="53">
        <f t="shared" si="74"/>
        <v>1</v>
      </c>
      <c r="D461" s="954"/>
      <c r="E461" s="53">
        <f t="shared" si="75"/>
        <v>1</v>
      </c>
      <c r="F461" s="954"/>
      <c r="G461" s="53">
        <f t="shared" si="76"/>
        <v>1</v>
      </c>
      <c r="H461" s="954"/>
      <c r="I461" s="53">
        <f t="shared" si="77"/>
        <v>1</v>
      </c>
      <c r="J461" s="954"/>
      <c r="K461" s="53">
        <f t="shared" si="78"/>
        <v>1</v>
      </c>
      <c r="L461" s="954"/>
      <c r="M461" s="53">
        <f t="shared" si="79"/>
        <v>1</v>
      </c>
      <c r="N461" s="954"/>
      <c r="O461" s="53">
        <f t="shared" si="80"/>
        <v>1</v>
      </c>
      <c r="P461" s="954"/>
      <c r="Q461" s="53">
        <f t="shared" si="81"/>
        <v>1</v>
      </c>
      <c r="R461" s="490">
        <f t="shared" si="82"/>
        <v>0</v>
      </c>
      <c r="S461" s="799">
        <f t="shared" si="83"/>
        <v>0</v>
      </c>
    </row>
    <row r="462" spans="1:19">
      <c r="A462" s="956"/>
      <c r="B462" s="137"/>
      <c r="C462" s="53">
        <f t="shared" si="74"/>
        <v>1</v>
      </c>
      <c r="D462" s="954"/>
      <c r="E462" s="53">
        <f t="shared" si="75"/>
        <v>1</v>
      </c>
      <c r="F462" s="954"/>
      <c r="G462" s="53">
        <f t="shared" si="76"/>
        <v>1</v>
      </c>
      <c r="H462" s="954"/>
      <c r="I462" s="53">
        <f t="shared" si="77"/>
        <v>1</v>
      </c>
      <c r="J462" s="954"/>
      <c r="K462" s="53">
        <f t="shared" si="78"/>
        <v>1</v>
      </c>
      <c r="L462" s="954"/>
      <c r="M462" s="53">
        <f t="shared" si="79"/>
        <v>1</v>
      </c>
      <c r="N462" s="954"/>
      <c r="O462" s="53">
        <f t="shared" si="80"/>
        <v>1</v>
      </c>
      <c r="P462" s="954"/>
      <c r="Q462" s="53">
        <f t="shared" si="81"/>
        <v>1</v>
      </c>
      <c r="R462" s="490">
        <f t="shared" si="82"/>
        <v>0</v>
      </c>
      <c r="S462" s="799">
        <f t="shared" si="83"/>
        <v>0</v>
      </c>
    </row>
    <row r="463" spans="1:19">
      <c r="A463" s="956"/>
      <c r="B463" s="137"/>
      <c r="C463" s="53">
        <f t="shared" si="74"/>
        <v>1</v>
      </c>
      <c r="D463" s="954"/>
      <c r="E463" s="53">
        <f t="shared" si="75"/>
        <v>1</v>
      </c>
      <c r="F463" s="954"/>
      <c r="G463" s="53">
        <f t="shared" si="76"/>
        <v>1</v>
      </c>
      <c r="H463" s="954"/>
      <c r="I463" s="53">
        <f t="shared" si="77"/>
        <v>1</v>
      </c>
      <c r="J463" s="954"/>
      <c r="K463" s="53">
        <f t="shared" si="78"/>
        <v>1</v>
      </c>
      <c r="L463" s="954"/>
      <c r="M463" s="53">
        <f t="shared" si="79"/>
        <v>1</v>
      </c>
      <c r="N463" s="954"/>
      <c r="O463" s="53">
        <f t="shared" si="80"/>
        <v>1</v>
      </c>
      <c r="P463" s="954"/>
      <c r="Q463" s="53">
        <f t="shared" si="81"/>
        <v>1</v>
      </c>
      <c r="R463" s="490">
        <f t="shared" si="82"/>
        <v>0</v>
      </c>
      <c r="S463" s="799">
        <f t="shared" si="83"/>
        <v>0</v>
      </c>
    </row>
    <row r="464" spans="1:19">
      <c r="A464" s="956"/>
      <c r="B464" s="137"/>
      <c r="C464" s="53">
        <f t="shared" si="74"/>
        <v>1</v>
      </c>
      <c r="D464" s="954"/>
      <c r="E464" s="53">
        <f t="shared" si="75"/>
        <v>1</v>
      </c>
      <c r="F464" s="954"/>
      <c r="G464" s="53">
        <f t="shared" si="76"/>
        <v>1</v>
      </c>
      <c r="H464" s="954"/>
      <c r="I464" s="53">
        <f t="shared" si="77"/>
        <v>1</v>
      </c>
      <c r="J464" s="954"/>
      <c r="K464" s="53">
        <f t="shared" si="78"/>
        <v>1</v>
      </c>
      <c r="L464" s="954"/>
      <c r="M464" s="53">
        <f t="shared" si="79"/>
        <v>1</v>
      </c>
      <c r="N464" s="954"/>
      <c r="O464" s="53">
        <f t="shared" si="80"/>
        <v>1</v>
      </c>
      <c r="P464" s="954"/>
      <c r="Q464" s="53">
        <f t="shared" si="81"/>
        <v>1</v>
      </c>
      <c r="R464" s="490">
        <f t="shared" si="82"/>
        <v>0</v>
      </c>
      <c r="S464" s="799">
        <f t="shared" si="83"/>
        <v>0</v>
      </c>
    </row>
    <row r="465" spans="1:19">
      <c r="A465" s="956"/>
      <c r="B465" s="137"/>
      <c r="C465" s="53">
        <f t="shared" si="74"/>
        <v>1</v>
      </c>
      <c r="D465" s="954"/>
      <c r="E465" s="53">
        <f t="shared" si="75"/>
        <v>1</v>
      </c>
      <c r="F465" s="954"/>
      <c r="G465" s="53">
        <f t="shared" si="76"/>
        <v>1</v>
      </c>
      <c r="H465" s="954"/>
      <c r="I465" s="53">
        <f t="shared" si="77"/>
        <v>1</v>
      </c>
      <c r="J465" s="954"/>
      <c r="K465" s="53">
        <f t="shared" si="78"/>
        <v>1</v>
      </c>
      <c r="L465" s="954"/>
      <c r="M465" s="53">
        <f t="shared" si="79"/>
        <v>1</v>
      </c>
      <c r="N465" s="954"/>
      <c r="O465" s="53">
        <f t="shared" si="80"/>
        <v>1</v>
      </c>
      <c r="P465" s="954"/>
      <c r="Q465" s="53">
        <f t="shared" si="81"/>
        <v>1</v>
      </c>
      <c r="R465" s="490">
        <f t="shared" si="82"/>
        <v>0</v>
      </c>
      <c r="S465" s="799">
        <f t="shared" si="83"/>
        <v>0</v>
      </c>
    </row>
    <row r="466" spans="1:19">
      <c r="A466" s="956"/>
      <c r="B466" s="137"/>
      <c r="C466" s="53">
        <f t="shared" si="74"/>
        <v>1</v>
      </c>
      <c r="D466" s="954"/>
      <c r="E466" s="53">
        <f t="shared" si="75"/>
        <v>1</v>
      </c>
      <c r="F466" s="954"/>
      <c r="G466" s="53">
        <f t="shared" si="76"/>
        <v>1</v>
      </c>
      <c r="H466" s="954"/>
      <c r="I466" s="53">
        <f t="shared" si="77"/>
        <v>1</v>
      </c>
      <c r="J466" s="954"/>
      <c r="K466" s="53">
        <f t="shared" si="78"/>
        <v>1</v>
      </c>
      <c r="L466" s="954"/>
      <c r="M466" s="53">
        <f t="shared" si="79"/>
        <v>1</v>
      </c>
      <c r="N466" s="954"/>
      <c r="O466" s="53">
        <f t="shared" si="80"/>
        <v>1</v>
      </c>
      <c r="P466" s="954"/>
      <c r="Q466" s="53">
        <f t="shared" si="81"/>
        <v>1</v>
      </c>
      <c r="R466" s="490">
        <f t="shared" si="82"/>
        <v>0</v>
      </c>
      <c r="S466" s="799">
        <f t="shared" si="83"/>
        <v>0</v>
      </c>
    </row>
    <row r="467" spans="1:19">
      <c r="A467" s="956"/>
      <c r="B467" s="137"/>
      <c r="C467" s="53">
        <f t="shared" si="74"/>
        <v>1</v>
      </c>
      <c r="D467" s="954"/>
      <c r="E467" s="53">
        <f t="shared" si="75"/>
        <v>1</v>
      </c>
      <c r="F467" s="954"/>
      <c r="G467" s="53">
        <f t="shared" si="76"/>
        <v>1</v>
      </c>
      <c r="H467" s="954"/>
      <c r="I467" s="53">
        <f t="shared" si="77"/>
        <v>1</v>
      </c>
      <c r="J467" s="954"/>
      <c r="K467" s="53">
        <f t="shared" si="78"/>
        <v>1</v>
      </c>
      <c r="L467" s="954"/>
      <c r="M467" s="53">
        <f t="shared" si="79"/>
        <v>1</v>
      </c>
      <c r="N467" s="954"/>
      <c r="O467" s="53">
        <f t="shared" si="80"/>
        <v>1</v>
      </c>
      <c r="P467" s="954"/>
      <c r="Q467" s="53">
        <f t="shared" si="81"/>
        <v>1</v>
      </c>
      <c r="R467" s="490">
        <f t="shared" si="82"/>
        <v>0</v>
      </c>
      <c r="S467" s="799">
        <f t="shared" si="83"/>
        <v>0</v>
      </c>
    </row>
    <row r="468" spans="1:19">
      <c r="A468" s="956"/>
      <c r="B468" s="137"/>
      <c r="C468" s="53">
        <f t="shared" si="74"/>
        <v>1</v>
      </c>
      <c r="D468" s="954"/>
      <c r="E468" s="53">
        <f t="shared" si="75"/>
        <v>1</v>
      </c>
      <c r="F468" s="954"/>
      <c r="G468" s="53">
        <f t="shared" si="76"/>
        <v>1</v>
      </c>
      <c r="H468" s="954"/>
      <c r="I468" s="53">
        <f t="shared" si="77"/>
        <v>1</v>
      </c>
      <c r="J468" s="954"/>
      <c r="K468" s="53">
        <f t="shared" si="78"/>
        <v>1</v>
      </c>
      <c r="L468" s="954"/>
      <c r="M468" s="53">
        <f t="shared" si="79"/>
        <v>1</v>
      </c>
      <c r="N468" s="954"/>
      <c r="O468" s="53">
        <f t="shared" si="80"/>
        <v>1</v>
      </c>
      <c r="P468" s="954"/>
      <c r="Q468" s="53">
        <f t="shared" si="81"/>
        <v>1</v>
      </c>
      <c r="R468" s="490">
        <f t="shared" si="82"/>
        <v>0</v>
      </c>
      <c r="S468" s="799">
        <f t="shared" ref="S468:S497" si="84">ROUND(R468*B468/10000,0)</f>
        <v>0</v>
      </c>
    </row>
    <row r="469" spans="1:19">
      <c r="A469" s="956"/>
      <c r="B469" s="137"/>
      <c r="C469" s="53">
        <f t="shared" si="74"/>
        <v>1</v>
      </c>
      <c r="D469" s="954"/>
      <c r="E469" s="53">
        <f t="shared" si="75"/>
        <v>1</v>
      </c>
      <c r="F469" s="954"/>
      <c r="G469" s="53">
        <f t="shared" si="76"/>
        <v>1</v>
      </c>
      <c r="H469" s="954"/>
      <c r="I469" s="53">
        <f t="shared" si="77"/>
        <v>1</v>
      </c>
      <c r="J469" s="954"/>
      <c r="K469" s="53">
        <f t="shared" si="78"/>
        <v>1</v>
      </c>
      <c r="L469" s="954"/>
      <c r="M469" s="53">
        <f t="shared" si="79"/>
        <v>1</v>
      </c>
      <c r="N469" s="954"/>
      <c r="O469" s="53">
        <f t="shared" si="80"/>
        <v>1</v>
      </c>
      <c r="P469" s="954"/>
      <c r="Q469" s="53">
        <f t="shared" si="81"/>
        <v>1</v>
      </c>
      <c r="R469" s="490">
        <f t="shared" si="82"/>
        <v>0</v>
      </c>
      <c r="S469" s="799">
        <f t="shared" si="84"/>
        <v>0</v>
      </c>
    </row>
    <row r="470" spans="1:19">
      <c r="A470" s="956"/>
      <c r="B470" s="137"/>
      <c r="C470" s="53">
        <f t="shared" si="74"/>
        <v>1</v>
      </c>
      <c r="D470" s="954"/>
      <c r="E470" s="53">
        <f t="shared" si="75"/>
        <v>1</v>
      </c>
      <c r="F470" s="954"/>
      <c r="G470" s="53">
        <f t="shared" si="76"/>
        <v>1</v>
      </c>
      <c r="H470" s="954"/>
      <c r="I470" s="53">
        <f t="shared" si="77"/>
        <v>1</v>
      </c>
      <c r="J470" s="954"/>
      <c r="K470" s="53">
        <f t="shared" si="78"/>
        <v>1</v>
      </c>
      <c r="L470" s="954"/>
      <c r="M470" s="53">
        <f t="shared" si="79"/>
        <v>1</v>
      </c>
      <c r="N470" s="954"/>
      <c r="O470" s="53">
        <f t="shared" si="80"/>
        <v>1</v>
      </c>
      <c r="P470" s="954"/>
      <c r="Q470" s="53">
        <f t="shared" si="81"/>
        <v>1</v>
      </c>
      <c r="R470" s="490">
        <f t="shared" si="82"/>
        <v>0</v>
      </c>
      <c r="S470" s="799">
        <f t="shared" si="84"/>
        <v>0</v>
      </c>
    </row>
    <row r="471" spans="1:19">
      <c r="A471" s="956"/>
      <c r="B471" s="137"/>
      <c r="C471" s="53">
        <f t="shared" si="74"/>
        <v>1</v>
      </c>
      <c r="D471" s="954"/>
      <c r="E471" s="53">
        <f t="shared" si="75"/>
        <v>1</v>
      </c>
      <c r="F471" s="954"/>
      <c r="G471" s="53">
        <f t="shared" si="76"/>
        <v>1</v>
      </c>
      <c r="H471" s="954"/>
      <c r="I471" s="53">
        <f t="shared" si="77"/>
        <v>1</v>
      </c>
      <c r="J471" s="954"/>
      <c r="K471" s="53">
        <f t="shared" si="78"/>
        <v>1</v>
      </c>
      <c r="L471" s="954"/>
      <c r="M471" s="53">
        <f t="shared" si="79"/>
        <v>1</v>
      </c>
      <c r="N471" s="954"/>
      <c r="O471" s="53">
        <f t="shared" si="80"/>
        <v>1</v>
      </c>
      <c r="P471" s="954"/>
      <c r="Q471" s="53">
        <f t="shared" si="81"/>
        <v>1</v>
      </c>
      <c r="R471" s="490">
        <f t="shared" si="82"/>
        <v>0</v>
      </c>
      <c r="S471" s="799">
        <f t="shared" si="84"/>
        <v>0</v>
      </c>
    </row>
    <row r="472" spans="1:19">
      <c r="A472" s="956"/>
      <c r="B472" s="137"/>
      <c r="C472" s="53">
        <f t="shared" si="74"/>
        <v>1</v>
      </c>
      <c r="D472" s="954"/>
      <c r="E472" s="53">
        <f t="shared" si="75"/>
        <v>1</v>
      </c>
      <c r="F472" s="954"/>
      <c r="G472" s="53">
        <f t="shared" si="76"/>
        <v>1</v>
      </c>
      <c r="H472" s="954"/>
      <c r="I472" s="53">
        <f t="shared" si="77"/>
        <v>1</v>
      </c>
      <c r="J472" s="954"/>
      <c r="K472" s="53">
        <f t="shared" si="78"/>
        <v>1</v>
      </c>
      <c r="L472" s="954"/>
      <c r="M472" s="53">
        <f t="shared" si="79"/>
        <v>1</v>
      </c>
      <c r="N472" s="954"/>
      <c r="O472" s="53">
        <f t="shared" si="80"/>
        <v>1</v>
      </c>
      <c r="P472" s="954"/>
      <c r="Q472" s="53">
        <f t="shared" si="81"/>
        <v>1</v>
      </c>
      <c r="R472" s="490">
        <f t="shared" si="82"/>
        <v>0</v>
      </c>
      <c r="S472" s="799">
        <f t="shared" si="84"/>
        <v>0</v>
      </c>
    </row>
    <row r="473" spans="1:19">
      <c r="A473" s="956"/>
      <c r="B473" s="137"/>
      <c r="C473" s="53">
        <f t="shared" si="74"/>
        <v>1</v>
      </c>
      <c r="D473" s="954"/>
      <c r="E473" s="53">
        <f t="shared" si="75"/>
        <v>1</v>
      </c>
      <c r="F473" s="954"/>
      <c r="G473" s="53">
        <f t="shared" si="76"/>
        <v>1</v>
      </c>
      <c r="H473" s="954"/>
      <c r="I473" s="53">
        <f t="shared" si="77"/>
        <v>1</v>
      </c>
      <c r="J473" s="954"/>
      <c r="K473" s="53">
        <f t="shared" si="78"/>
        <v>1</v>
      </c>
      <c r="L473" s="954"/>
      <c r="M473" s="53">
        <f t="shared" si="79"/>
        <v>1</v>
      </c>
      <c r="N473" s="954"/>
      <c r="O473" s="53">
        <f t="shared" si="80"/>
        <v>1</v>
      </c>
      <c r="P473" s="954"/>
      <c r="Q473" s="53">
        <f t="shared" si="81"/>
        <v>1</v>
      </c>
      <c r="R473" s="490">
        <f t="shared" si="82"/>
        <v>0</v>
      </c>
      <c r="S473" s="799">
        <f t="shared" si="84"/>
        <v>0</v>
      </c>
    </row>
    <row r="474" spans="1:19">
      <c r="A474" s="956"/>
      <c r="B474" s="137"/>
      <c r="C474" s="53">
        <f t="shared" ref="C474:C524" si="85">IF(B474="",1,(LOOKUP(B474,$3:$3,$4:$4)-LOOKUP($B$24,$3:$3,$4:$4)+100)/100)</f>
        <v>1</v>
      </c>
      <c r="D474" s="954"/>
      <c r="E474" s="53">
        <f t="shared" ref="E474:E524" si="86">(SUMIF($5:$5,D474,$6:$6)-SUMIF($5:$5,$D$24,$6:$6)+100)/100</f>
        <v>1</v>
      </c>
      <c r="F474" s="954"/>
      <c r="G474" s="53">
        <f t="shared" ref="G474:G524" si="87">(SUMIF($7:$7,F474,$8:$8)-SUMIF($7:$7,$F$24,$8:$8)+100)/100</f>
        <v>1</v>
      </c>
      <c r="H474" s="954"/>
      <c r="I474" s="53">
        <f t="shared" ref="I474:I524" si="88">(SUMIF($9:$9,H474,$10:$10)-SUMIF($9:$9,$H$24,$10:$10)+100)/100</f>
        <v>1</v>
      </c>
      <c r="J474" s="954"/>
      <c r="K474" s="53">
        <f t="shared" ref="K474:K524" si="89">(SUMIF($11:$11,J474,$12:$12)-SUMIF($11:$11,$J$24,$12:$12)+100)/100</f>
        <v>1</v>
      </c>
      <c r="L474" s="954"/>
      <c r="M474" s="53">
        <f t="shared" ref="M474:M524" si="90">(SUMIF($13:$13,L474,$14:$14)-SUMIF($13:$13,$L$24,$14:$14)+100)/100</f>
        <v>1</v>
      </c>
      <c r="N474" s="954"/>
      <c r="O474" s="53">
        <f t="shared" ref="O474:O524" si="91">(SUMIF($15:$15,N474,$16:$16)-SUMIF($15:$15,$N$24,$16:$16)+100)/100</f>
        <v>1</v>
      </c>
      <c r="P474" s="954"/>
      <c r="Q474" s="53">
        <f t="shared" ref="Q474:Q524" si="92">(SUMIF($17:$17,P474,$18:$18)-SUMIF($17:$17,$P$24,$18:$18)+100)/100</f>
        <v>1</v>
      </c>
      <c r="R474" s="490">
        <f t="shared" ref="R474:R524" si="93">IF(B474="",0,ROUND($R$24*C474*E474*G474*I474*K474*M474*O474*Q474,0))</f>
        <v>0</v>
      </c>
      <c r="S474" s="799">
        <f t="shared" si="84"/>
        <v>0</v>
      </c>
    </row>
    <row r="475" spans="1:19">
      <c r="A475" s="956"/>
      <c r="B475" s="137"/>
      <c r="C475" s="53">
        <f t="shared" si="85"/>
        <v>1</v>
      </c>
      <c r="D475" s="954"/>
      <c r="E475" s="53">
        <f t="shared" si="86"/>
        <v>1</v>
      </c>
      <c r="F475" s="954"/>
      <c r="G475" s="53">
        <f t="shared" si="87"/>
        <v>1</v>
      </c>
      <c r="H475" s="954"/>
      <c r="I475" s="53">
        <f t="shared" si="88"/>
        <v>1</v>
      </c>
      <c r="J475" s="954"/>
      <c r="K475" s="53">
        <f t="shared" si="89"/>
        <v>1</v>
      </c>
      <c r="L475" s="954"/>
      <c r="M475" s="53">
        <f t="shared" si="90"/>
        <v>1</v>
      </c>
      <c r="N475" s="954"/>
      <c r="O475" s="53">
        <f t="shared" si="91"/>
        <v>1</v>
      </c>
      <c r="P475" s="954"/>
      <c r="Q475" s="53">
        <f t="shared" si="92"/>
        <v>1</v>
      </c>
      <c r="R475" s="490">
        <f t="shared" si="93"/>
        <v>0</v>
      </c>
      <c r="S475" s="799">
        <f t="shared" si="84"/>
        <v>0</v>
      </c>
    </row>
    <row r="476" spans="1:19">
      <c r="A476" s="956"/>
      <c r="B476" s="137"/>
      <c r="C476" s="53">
        <f t="shared" si="85"/>
        <v>1</v>
      </c>
      <c r="D476" s="954"/>
      <c r="E476" s="53">
        <f t="shared" si="86"/>
        <v>1</v>
      </c>
      <c r="F476" s="954"/>
      <c r="G476" s="53">
        <f t="shared" si="87"/>
        <v>1</v>
      </c>
      <c r="H476" s="954"/>
      <c r="I476" s="53">
        <f t="shared" si="88"/>
        <v>1</v>
      </c>
      <c r="J476" s="954"/>
      <c r="K476" s="53">
        <f t="shared" si="89"/>
        <v>1</v>
      </c>
      <c r="L476" s="954"/>
      <c r="M476" s="53">
        <f t="shared" si="90"/>
        <v>1</v>
      </c>
      <c r="N476" s="954"/>
      <c r="O476" s="53">
        <f t="shared" si="91"/>
        <v>1</v>
      </c>
      <c r="P476" s="954"/>
      <c r="Q476" s="53">
        <f t="shared" si="92"/>
        <v>1</v>
      </c>
      <c r="R476" s="490">
        <f t="shared" si="93"/>
        <v>0</v>
      </c>
      <c r="S476" s="799">
        <f t="shared" si="84"/>
        <v>0</v>
      </c>
    </row>
    <row r="477" spans="1:19">
      <c r="A477" s="956"/>
      <c r="B477" s="137"/>
      <c r="C477" s="53">
        <f t="shared" si="85"/>
        <v>1</v>
      </c>
      <c r="D477" s="954"/>
      <c r="E477" s="53">
        <f t="shared" si="86"/>
        <v>1</v>
      </c>
      <c r="F477" s="954"/>
      <c r="G477" s="53">
        <f t="shared" si="87"/>
        <v>1</v>
      </c>
      <c r="H477" s="954"/>
      <c r="I477" s="53">
        <f t="shared" si="88"/>
        <v>1</v>
      </c>
      <c r="J477" s="954"/>
      <c r="K477" s="53">
        <f t="shared" si="89"/>
        <v>1</v>
      </c>
      <c r="L477" s="954"/>
      <c r="M477" s="53">
        <f t="shared" si="90"/>
        <v>1</v>
      </c>
      <c r="N477" s="954"/>
      <c r="O477" s="53">
        <f t="shared" si="91"/>
        <v>1</v>
      </c>
      <c r="P477" s="954"/>
      <c r="Q477" s="53">
        <f t="shared" si="92"/>
        <v>1</v>
      </c>
      <c r="R477" s="490">
        <f t="shared" si="93"/>
        <v>0</v>
      </c>
      <c r="S477" s="799">
        <f t="shared" si="84"/>
        <v>0</v>
      </c>
    </row>
    <row r="478" spans="1:19">
      <c r="A478" s="956"/>
      <c r="B478" s="137"/>
      <c r="C478" s="53">
        <f t="shared" si="85"/>
        <v>1</v>
      </c>
      <c r="D478" s="954"/>
      <c r="E478" s="53">
        <f t="shared" si="86"/>
        <v>1</v>
      </c>
      <c r="F478" s="954"/>
      <c r="G478" s="53">
        <f t="shared" si="87"/>
        <v>1</v>
      </c>
      <c r="H478" s="954"/>
      <c r="I478" s="53">
        <f t="shared" si="88"/>
        <v>1</v>
      </c>
      <c r="J478" s="954"/>
      <c r="K478" s="53">
        <f t="shared" si="89"/>
        <v>1</v>
      </c>
      <c r="L478" s="954"/>
      <c r="M478" s="53">
        <f t="shared" si="90"/>
        <v>1</v>
      </c>
      <c r="N478" s="954"/>
      <c r="O478" s="53">
        <f t="shared" si="91"/>
        <v>1</v>
      </c>
      <c r="P478" s="954"/>
      <c r="Q478" s="53">
        <f t="shared" si="92"/>
        <v>1</v>
      </c>
      <c r="R478" s="490">
        <f t="shared" si="93"/>
        <v>0</v>
      </c>
      <c r="S478" s="799">
        <f t="shared" si="84"/>
        <v>0</v>
      </c>
    </row>
    <row r="479" spans="1:19">
      <c r="A479" s="956"/>
      <c r="B479" s="137"/>
      <c r="C479" s="53">
        <f t="shared" si="85"/>
        <v>1</v>
      </c>
      <c r="D479" s="954"/>
      <c r="E479" s="53">
        <f t="shared" si="86"/>
        <v>1</v>
      </c>
      <c r="F479" s="954"/>
      <c r="G479" s="53">
        <f t="shared" si="87"/>
        <v>1</v>
      </c>
      <c r="H479" s="954"/>
      <c r="I479" s="53">
        <f t="shared" si="88"/>
        <v>1</v>
      </c>
      <c r="J479" s="954"/>
      <c r="K479" s="53">
        <f t="shared" si="89"/>
        <v>1</v>
      </c>
      <c r="L479" s="954"/>
      <c r="M479" s="53">
        <f t="shared" si="90"/>
        <v>1</v>
      </c>
      <c r="N479" s="954"/>
      <c r="O479" s="53">
        <f t="shared" si="91"/>
        <v>1</v>
      </c>
      <c r="P479" s="954"/>
      <c r="Q479" s="53">
        <f t="shared" si="92"/>
        <v>1</v>
      </c>
      <c r="R479" s="490">
        <f t="shared" si="93"/>
        <v>0</v>
      </c>
      <c r="S479" s="799">
        <f t="shared" si="84"/>
        <v>0</v>
      </c>
    </row>
    <row r="480" spans="1:19">
      <c r="A480" s="956"/>
      <c r="B480" s="137"/>
      <c r="C480" s="53">
        <f t="shared" si="85"/>
        <v>1</v>
      </c>
      <c r="D480" s="954"/>
      <c r="E480" s="53">
        <f t="shared" si="86"/>
        <v>1</v>
      </c>
      <c r="F480" s="954"/>
      <c r="G480" s="53">
        <f t="shared" si="87"/>
        <v>1</v>
      </c>
      <c r="H480" s="954"/>
      <c r="I480" s="53">
        <f t="shared" si="88"/>
        <v>1</v>
      </c>
      <c r="J480" s="954"/>
      <c r="K480" s="53">
        <f t="shared" si="89"/>
        <v>1</v>
      </c>
      <c r="L480" s="954"/>
      <c r="M480" s="53">
        <f t="shared" si="90"/>
        <v>1</v>
      </c>
      <c r="N480" s="954"/>
      <c r="O480" s="53">
        <f t="shared" si="91"/>
        <v>1</v>
      </c>
      <c r="P480" s="954"/>
      <c r="Q480" s="53">
        <f t="shared" si="92"/>
        <v>1</v>
      </c>
      <c r="R480" s="490">
        <f t="shared" si="93"/>
        <v>0</v>
      </c>
      <c r="S480" s="799">
        <f t="shared" si="84"/>
        <v>0</v>
      </c>
    </row>
    <row r="481" spans="1:19">
      <c r="A481" s="956"/>
      <c r="B481" s="137"/>
      <c r="C481" s="53">
        <f t="shared" si="85"/>
        <v>1</v>
      </c>
      <c r="D481" s="954"/>
      <c r="E481" s="53">
        <f t="shared" si="86"/>
        <v>1</v>
      </c>
      <c r="F481" s="954"/>
      <c r="G481" s="53">
        <f t="shared" si="87"/>
        <v>1</v>
      </c>
      <c r="H481" s="954"/>
      <c r="I481" s="53">
        <f t="shared" si="88"/>
        <v>1</v>
      </c>
      <c r="J481" s="954"/>
      <c r="K481" s="53">
        <f t="shared" si="89"/>
        <v>1</v>
      </c>
      <c r="L481" s="954"/>
      <c r="M481" s="53">
        <f t="shared" si="90"/>
        <v>1</v>
      </c>
      <c r="N481" s="954"/>
      <c r="O481" s="53">
        <f t="shared" si="91"/>
        <v>1</v>
      </c>
      <c r="P481" s="954"/>
      <c r="Q481" s="53">
        <f t="shared" si="92"/>
        <v>1</v>
      </c>
      <c r="R481" s="490">
        <f t="shared" si="93"/>
        <v>0</v>
      </c>
      <c r="S481" s="799">
        <f t="shared" si="84"/>
        <v>0</v>
      </c>
    </row>
    <row r="482" spans="1:19">
      <c r="A482" s="956"/>
      <c r="B482" s="137"/>
      <c r="C482" s="53">
        <f t="shared" si="85"/>
        <v>1</v>
      </c>
      <c r="D482" s="954"/>
      <c r="E482" s="53">
        <f t="shared" si="86"/>
        <v>1</v>
      </c>
      <c r="F482" s="954"/>
      <c r="G482" s="53">
        <f t="shared" si="87"/>
        <v>1</v>
      </c>
      <c r="H482" s="954"/>
      <c r="I482" s="53">
        <f t="shared" si="88"/>
        <v>1</v>
      </c>
      <c r="J482" s="954"/>
      <c r="K482" s="53">
        <f t="shared" si="89"/>
        <v>1</v>
      </c>
      <c r="L482" s="954"/>
      <c r="M482" s="53">
        <f t="shared" si="90"/>
        <v>1</v>
      </c>
      <c r="N482" s="954"/>
      <c r="O482" s="53">
        <f t="shared" si="91"/>
        <v>1</v>
      </c>
      <c r="P482" s="954"/>
      <c r="Q482" s="53">
        <f t="shared" si="92"/>
        <v>1</v>
      </c>
      <c r="R482" s="490">
        <f t="shared" si="93"/>
        <v>0</v>
      </c>
      <c r="S482" s="799">
        <f t="shared" si="84"/>
        <v>0</v>
      </c>
    </row>
    <row r="483" spans="1:19">
      <c r="A483" s="956"/>
      <c r="B483" s="137"/>
      <c r="C483" s="53">
        <f t="shared" si="85"/>
        <v>1</v>
      </c>
      <c r="D483" s="954"/>
      <c r="E483" s="53">
        <f t="shared" si="86"/>
        <v>1</v>
      </c>
      <c r="F483" s="954"/>
      <c r="G483" s="53">
        <f t="shared" si="87"/>
        <v>1</v>
      </c>
      <c r="H483" s="954"/>
      <c r="I483" s="53">
        <f t="shared" si="88"/>
        <v>1</v>
      </c>
      <c r="J483" s="954"/>
      <c r="K483" s="53">
        <f t="shared" si="89"/>
        <v>1</v>
      </c>
      <c r="L483" s="954"/>
      <c r="M483" s="53">
        <f t="shared" si="90"/>
        <v>1</v>
      </c>
      <c r="N483" s="954"/>
      <c r="O483" s="53">
        <f t="shared" si="91"/>
        <v>1</v>
      </c>
      <c r="P483" s="954"/>
      <c r="Q483" s="53">
        <f t="shared" si="92"/>
        <v>1</v>
      </c>
      <c r="R483" s="490">
        <f t="shared" si="93"/>
        <v>0</v>
      </c>
      <c r="S483" s="799">
        <f t="shared" si="84"/>
        <v>0</v>
      </c>
    </row>
    <row r="484" spans="1:19">
      <c r="A484" s="956"/>
      <c r="B484" s="137"/>
      <c r="C484" s="53">
        <f t="shared" si="85"/>
        <v>1</v>
      </c>
      <c r="D484" s="954"/>
      <c r="E484" s="53">
        <f t="shared" si="86"/>
        <v>1</v>
      </c>
      <c r="F484" s="954"/>
      <c r="G484" s="53">
        <f t="shared" si="87"/>
        <v>1</v>
      </c>
      <c r="H484" s="954"/>
      <c r="I484" s="53">
        <f t="shared" si="88"/>
        <v>1</v>
      </c>
      <c r="J484" s="954"/>
      <c r="K484" s="53">
        <f t="shared" si="89"/>
        <v>1</v>
      </c>
      <c r="L484" s="954"/>
      <c r="M484" s="53">
        <f t="shared" si="90"/>
        <v>1</v>
      </c>
      <c r="N484" s="954"/>
      <c r="O484" s="53">
        <f t="shared" si="91"/>
        <v>1</v>
      </c>
      <c r="P484" s="954"/>
      <c r="Q484" s="53">
        <f t="shared" si="92"/>
        <v>1</v>
      </c>
      <c r="R484" s="490">
        <f t="shared" si="93"/>
        <v>0</v>
      </c>
      <c r="S484" s="799">
        <f t="shared" si="84"/>
        <v>0</v>
      </c>
    </row>
    <row r="485" spans="1:19">
      <c r="A485" s="956"/>
      <c r="B485" s="137"/>
      <c r="C485" s="53">
        <f t="shared" si="85"/>
        <v>1</v>
      </c>
      <c r="D485" s="954"/>
      <c r="E485" s="53">
        <f t="shared" si="86"/>
        <v>1</v>
      </c>
      <c r="F485" s="954"/>
      <c r="G485" s="53">
        <f t="shared" si="87"/>
        <v>1</v>
      </c>
      <c r="H485" s="954"/>
      <c r="I485" s="53">
        <f t="shared" si="88"/>
        <v>1</v>
      </c>
      <c r="J485" s="954"/>
      <c r="K485" s="53">
        <f t="shared" si="89"/>
        <v>1</v>
      </c>
      <c r="L485" s="954"/>
      <c r="M485" s="53">
        <f t="shared" si="90"/>
        <v>1</v>
      </c>
      <c r="N485" s="954"/>
      <c r="O485" s="53">
        <f t="shared" si="91"/>
        <v>1</v>
      </c>
      <c r="P485" s="954"/>
      <c r="Q485" s="53">
        <f t="shared" si="92"/>
        <v>1</v>
      </c>
      <c r="R485" s="490">
        <f t="shared" si="93"/>
        <v>0</v>
      </c>
      <c r="S485" s="799">
        <f t="shared" si="84"/>
        <v>0</v>
      </c>
    </row>
    <row r="486" spans="1:19">
      <c r="A486" s="956"/>
      <c r="B486" s="137"/>
      <c r="C486" s="53">
        <f t="shared" si="85"/>
        <v>1</v>
      </c>
      <c r="D486" s="954"/>
      <c r="E486" s="53">
        <f t="shared" si="86"/>
        <v>1</v>
      </c>
      <c r="F486" s="954"/>
      <c r="G486" s="53">
        <f t="shared" si="87"/>
        <v>1</v>
      </c>
      <c r="H486" s="954"/>
      <c r="I486" s="53">
        <f t="shared" si="88"/>
        <v>1</v>
      </c>
      <c r="J486" s="954"/>
      <c r="K486" s="53">
        <f t="shared" si="89"/>
        <v>1</v>
      </c>
      <c r="L486" s="954"/>
      <c r="M486" s="53">
        <f t="shared" si="90"/>
        <v>1</v>
      </c>
      <c r="N486" s="954"/>
      <c r="O486" s="53">
        <f t="shared" si="91"/>
        <v>1</v>
      </c>
      <c r="P486" s="954"/>
      <c r="Q486" s="53">
        <f t="shared" si="92"/>
        <v>1</v>
      </c>
      <c r="R486" s="490">
        <f t="shared" si="93"/>
        <v>0</v>
      </c>
      <c r="S486" s="799">
        <f t="shared" si="84"/>
        <v>0</v>
      </c>
    </row>
    <row r="487" spans="1:19">
      <c r="A487" s="956"/>
      <c r="B487" s="137"/>
      <c r="C487" s="53">
        <f t="shared" si="85"/>
        <v>1</v>
      </c>
      <c r="D487" s="954"/>
      <c r="E487" s="53">
        <f t="shared" si="86"/>
        <v>1</v>
      </c>
      <c r="F487" s="954"/>
      <c r="G487" s="53">
        <f t="shared" si="87"/>
        <v>1</v>
      </c>
      <c r="H487" s="954"/>
      <c r="I487" s="53">
        <f t="shared" si="88"/>
        <v>1</v>
      </c>
      <c r="J487" s="954"/>
      <c r="K487" s="53">
        <f t="shared" si="89"/>
        <v>1</v>
      </c>
      <c r="L487" s="954"/>
      <c r="M487" s="53">
        <f t="shared" si="90"/>
        <v>1</v>
      </c>
      <c r="N487" s="954"/>
      <c r="O487" s="53">
        <f t="shared" si="91"/>
        <v>1</v>
      </c>
      <c r="P487" s="954"/>
      <c r="Q487" s="53">
        <f t="shared" si="92"/>
        <v>1</v>
      </c>
      <c r="R487" s="490">
        <f t="shared" si="93"/>
        <v>0</v>
      </c>
      <c r="S487" s="799">
        <f t="shared" si="84"/>
        <v>0</v>
      </c>
    </row>
    <row r="488" spans="1:19">
      <c r="A488" s="956"/>
      <c r="B488" s="137"/>
      <c r="C488" s="53">
        <f t="shared" si="85"/>
        <v>1</v>
      </c>
      <c r="D488" s="954"/>
      <c r="E488" s="53">
        <f t="shared" si="86"/>
        <v>1</v>
      </c>
      <c r="F488" s="954"/>
      <c r="G488" s="53">
        <f t="shared" si="87"/>
        <v>1</v>
      </c>
      <c r="H488" s="954"/>
      <c r="I488" s="53">
        <f t="shared" si="88"/>
        <v>1</v>
      </c>
      <c r="J488" s="954"/>
      <c r="K488" s="53">
        <f t="shared" si="89"/>
        <v>1</v>
      </c>
      <c r="L488" s="954"/>
      <c r="M488" s="53">
        <f t="shared" si="90"/>
        <v>1</v>
      </c>
      <c r="N488" s="954"/>
      <c r="O488" s="53">
        <f t="shared" si="91"/>
        <v>1</v>
      </c>
      <c r="P488" s="954"/>
      <c r="Q488" s="53">
        <f t="shared" si="92"/>
        <v>1</v>
      </c>
      <c r="R488" s="490">
        <f t="shared" si="93"/>
        <v>0</v>
      </c>
      <c r="S488" s="799">
        <f t="shared" si="84"/>
        <v>0</v>
      </c>
    </row>
    <row r="489" spans="1:19">
      <c r="A489" s="956"/>
      <c r="B489" s="137"/>
      <c r="C489" s="53">
        <f t="shared" si="85"/>
        <v>1</v>
      </c>
      <c r="D489" s="954"/>
      <c r="E489" s="53">
        <f t="shared" si="86"/>
        <v>1</v>
      </c>
      <c r="F489" s="954"/>
      <c r="G489" s="53">
        <f t="shared" si="87"/>
        <v>1</v>
      </c>
      <c r="H489" s="954"/>
      <c r="I489" s="53">
        <f t="shared" si="88"/>
        <v>1</v>
      </c>
      <c r="J489" s="954"/>
      <c r="K489" s="53">
        <f t="shared" si="89"/>
        <v>1</v>
      </c>
      <c r="L489" s="954"/>
      <c r="M489" s="53">
        <f t="shared" si="90"/>
        <v>1</v>
      </c>
      <c r="N489" s="954"/>
      <c r="O489" s="53">
        <f t="shared" si="91"/>
        <v>1</v>
      </c>
      <c r="P489" s="954"/>
      <c r="Q489" s="53">
        <f t="shared" si="92"/>
        <v>1</v>
      </c>
      <c r="R489" s="490">
        <f t="shared" si="93"/>
        <v>0</v>
      </c>
      <c r="S489" s="799">
        <f t="shared" si="84"/>
        <v>0</v>
      </c>
    </row>
    <row r="490" spans="1:19">
      <c r="A490" s="956"/>
      <c r="B490" s="137"/>
      <c r="C490" s="53">
        <f t="shared" si="85"/>
        <v>1</v>
      </c>
      <c r="D490" s="954"/>
      <c r="E490" s="53">
        <f t="shared" si="86"/>
        <v>1</v>
      </c>
      <c r="F490" s="954"/>
      <c r="G490" s="53">
        <f t="shared" si="87"/>
        <v>1</v>
      </c>
      <c r="H490" s="954"/>
      <c r="I490" s="53">
        <f t="shared" si="88"/>
        <v>1</v>
      </c>
      <c r="J490" s="954"/>
      <c r="K490" s="53">
        <f t="shared" si="89"/>
        <v>1</v>
      </c>
      <c r="L490" s="954"/>
      <c r="M490" s="53">
        <f t="shared" si="90"/>
        <v>1</v>
      </c>
      <c r="N490" s="954"/>
      <c r="O490" s="53">
        <f t="shared" si="91"/>
        <v>1</v>
      </c>
      <c r="P490" s="954"/>
      <c r="Q490" s="53">
        <f t="shared" si="92"/>
        <v>1</v>
      </c>
      <c r="R490" s="490">
        <f t="shared" si="93"/>
        <v>0</v>
      </c>
      <c r="S490" s="799">
        <f t="shared" si="84"/>
        <v>0</v>
      </c>
    </row>
    <row r="491" spans="1:19">
      <c r="A491" s="956"/>
      <c r="B491" s="137"/>
      <c r="C491" s="53">
        <f t="shared" si="85"/>
        <v>1</v>
      </c>
      <c r="D491" s="954"/>
      <c r="E491" s="53">
        <f t="shared" si="86"/>
        <v>1</v>
      </c>
      <c r="F491" s="954"/>
      <c r="G491" s="53">
        <f t="shared" si="87"/>
        <v>1</v>
      </c>
      <c r="H491" s="954"/>
      <c r="I491" s="53">
        <f t="shared" si="88"/>
        <v>1</v>
      </c>
      <c r="J491" s="954"/>
      <c r="K491" s="53">
        <f t="shared" si="89"/>
        <v>1</v>
      </c>
      <c r="L491" s="954"/>
      <c r="M491" s="53">
        <f t="shared" si="90"/>
        <v>1</v>
      </c>
      <c r="N491" s="954"/>
      <c r="O491" s="53">
        <f t="shared" si="91"/>
        <v>1</v>
      </c>
      <c r="P491" s="954"/>
      <c r="Q491" s="53">
        <f t="shared" si="92"/>
        <v>1</v>
      </c>
      <c r="R491" s="490">
        <f t="shared" si="93"/>
        <v>0</v>
      </c>
      <c r="S491" s="799">
        <f t="shared" si="84"/>
        <v>0</v>
      </c>
    </row>
    <row r="492" spans="1:19">
      <c r="A492" s="956"/>
      <c r="B492" s="137"/>
      <c r="C492" s="53">
        <f t="shared" si="85"/>
        <v>1</v>
      </c>
      <c r="D492" s="954"/>
      <c r="E492" s="53">
        <f t="shared" si="86"/>
        <v>1</v>
      </c>
      <c r="F492" s="954"/>
      <c r="G492" s="53">
        <f t="shared" si="87"/>
        <v>1</v>
      </c>
      <c r="H492" s="954"/>
      <c r="I492" s="53">
        <f t="shared" si="88"/>
        <v>1</v>
      </c>
      <c r="J492" s="954"/>
      <c r="K492" s="53">
        <f t="shared" si="89"/>
        <v>1</v>
      </c>
      <c r="L492" s="954"/>
      <c r="M492" s="53">
        <f t="shared" si="90"/>
        <v>1</v>
      </c>
      <c r="N492" s="954"/>
      <c r="O492" s="53">
        <f t="shared" si="91"/>
        <v>1</v>
      </c>
      <c r="P492" s="954"/>
      <c r="Q492" s="53">
        <f t="shared" si="92"/>
        <v>1</v>
      </c>
      <c r="R492" s="490">
        <f t="shared" si="93"/>
        <v>0</v>
      </c>
      <c r="S492" s="799">
        <f t="shared" si="84"/>
        <v>0</v>
      </c>
    </row>
    <row r="493" spans="1:19">
      <c r="A493" s="956"/>
      <c r="B493" s="137"/>
      <c r="C493" s="53">
        <f t="shared" si="85"/>
        <v>1</v>
      </c>
      <c r="D493" s="954"/>
      <c r="E493" s="53">
        <f t="shared" si="86"/>
        <v>1</v>
      </c>
      <c r="F493" s="954"/>
      <c r="G493" s="53">
        <f t="shared" si="87"/>
        <v>1</v>
      </c>
      <c r="H493" s="954"/>
      <c r="I493" s="53">
        <f t="shared" si="88"/>
        <v>1</v>
      </c>
      <c r="J493" s="954"/>
      <c r="K493" s="53">
        <f t="shared" si="89"/>
        <v>1</v>
      </c>
      <c r="L493" s="954"/>
      <c r="M493" s="53">
        <f t="shared" si="90"/>
        <v>1</v>
      </c>
      <c r="N493" s="954"/>
      <c r="O493" s="53">
        <f t="shared" si="91"/>
        <v>1</v>
      </c>
      <c r="P493" s="954"/>
      <c r="Q493" s="53">
        <f t="shared" si="92"/>
        <v>1</v>
      </c>
      <c r="R493" s="490">
        <f t="shared" si="93"/>
        <v>0</v>
      </c>
      <c r="S493" s="799">
        <f t="shared" si="84"/>
        <v>0</v>
      </c>
    </row>
    <row r="494" spans="1:19">
      <c r="A494" s="956"/>
      <c r="B494" s="137"/>
      <c r="C494" s="53">
        <f t="shared" si="85"/>
        <v>1</v>
      </c>
      <c r="D494" s="954"/>
      <c r="E494" s="53">
        <f t="shared" si="86"/>
        <v>1</v>
      </c>
      <c r="F494" s="954"/>
      <c r="G494" s="53">
        <f t="shared" si="87"/>
        <v>1</v>
      </c>
      <c r="H494" s="954"/>
      <c r="I494" s="53">
        <f t="shared" si="88"/>
        <v>1</v>
      </c>
      <c r="J494" s="954"/>
      <c r="K494" s="53">
        <f t="shared" si="89"/>
        <v>1</v>
      </c>
      <c r="L494" s="954"/>
      <c r="M494" s="53">
        <f t="shared" si="90"/>
        <v>1</v>
      </c>
      <c r="N494" s="954"/>
      <c r="O494" s="53">
        <f t="shared" si="91"/>
        <v>1</v>
      </c>
      <c r="P494" s="954"/>
      <c r="Q494" s="53">
        <f t="shared" si="92"/>
        <v>1</v>
      </c>
      <c r="R494" s="490">
        <f t="shared" si="93"/>
        <v>0</v>
      </c>
      <c r="S494" s="799">
        <f t="shared" si="84"/>
        <v>0</v>
      </c>
    </row>
    <row r="495" spans="1:19">
      <c r="A495" s="956"/>
      <c r="B495" s="137"/>
      <c r="C495" s="53">
        <f t="shared" si="85"/>
        <v>1</v>
      </c>
      <c r="D495" s="954"/>
      <c r="E495" s="53">
        <f t="shared" si="86"/>
        <v>1</v>
      </c>
      <c r="F495" s="954"/>
      <c r="G495" s="53">
        <f t="shared" si="87"/>
        <v>1</v>
      </c>
      <c r="H495" s="954"/>
      <c r="I495" s="53">
        <f t="shared" si="88"/>
        <v>1</v>
      </c>
      <c r="J495" s="954"/>
      <c r="K495" s="53">
        <f t="shared" si="89"/>
        <v>1</v>
      </c>
      <c r="L495" s="954"/>
      <c r="M495" s="53">
        <f t="shared" si="90"/>
        <v>1</v>
      </c>
      <c r="N495" s="954"/>
      <c r="O495" s="53">
        <f t="shared" si="91"/>
        <v>1</v>
      </c>
      <c r="P495" s="954"/>
      <c r="Q495" s="53">
        <f t="shared" si="92"/>
        <v>1</v>
      </c>
      <c r="R495" s="490">
        <f t="shared" si="93"/>
        <v>0</v>
      </c>
      <c r="S495" s="799">
        <f t="shared" si="84"/>
        <v>0</v>
      </c>
    </row>
    <row r="496" spans="1:19">
      <c r="A496" s="956"/>
      <c r="B496" s="137"/>
      <c r="C496" s="53">
        <f t="shared" si="85"/>
        <v>1</v>
      </c>
      <c r="D496" s="954"/>
      <c r="E496" s="53">
        <f t="shared" si="86"/>
        <v>1</v>
      </c>
      <c r="F496" s="954"/>
      <c r="G496" s="53">
        <f t="shared" si="87"/>
        <v>1</v>
      </c>
      <c r="H496" s="954"/>
      <c r="I496" s="53">
        <f t="shared" si="88"/>
        <v>1</v>
      </c>
      <c r="J496" s="954"/>
      <c r="K496" s="53">
        <f t="shared" si="89"/>
        <v>1</v>
      </c>
      <c r="L496" s="954"/>
      <c r="M496" s="53">
        <f t="shared" si="90"/>
        <v>1</v>
      </c>
      <c r="N496" s="954"/>
      <c r="O496" s="53">
        <f t="shared" si="91"/>
        <v>1</v>
      </c>
      <c r="P496" s="954"/>
      <c r="Q496" s="53">
        <f t="shared" si="92"/>
        <v>1</v>
      </c>
      <c r="R496" s="490">
        <f t="shared" si="93"/>
        <v>0</v>
      </c>
      <c r="S496" s="799">
        <f t="shared" si="84"/>
        <v>0</v>
      </c>
    </row>
    <row r="497" spans="1:19">
      <c r="A497" s="956"/>
      <c r="B497" s="137"/>
      <c r="C497" s="53">
        <f t="shared" si="85"/>
        <v>1</v>
      </c>
      <c r="D497" s="954"/>
      <c r="E497" s="53">
        <f t="shared" si="86"/>
        <v>1</v>
      </c>
      <c r="F497" s="954"/>
      <c r="G497" s="53">
        <f t="shared" si="87"/>
        <v>1</v>
      </c>
      <c r="H497" s="954"/>
      <c r="I497" s="53">
        <f t="shared" si="88"/>
        <v>1</v>
      </c>
      <c r="J497" s="954"/>
      <c r="K497" s="53">
        <f t="shared" si="89"/>
        <v>1</v>
      </c>
      <c r="L497" s="954"/>
      <c r="M497" s="53">
        <f t="shared" si="90"/>
        <v>1</v>
      </c>
      <c r="N497" s="954"/>
      <c r="O497" s="53">
        <f t="shared" si="91"/>
        <v>1</v>
      </c>
      <c r="P497" s="954"/>
      <c r="Q497" s="53">
        <f t="shared" si="92"/>
        <v>1</v>
      </c>
      <c r="R497" s="490">
        <f t="shared" si="93"/>
        <v>0</v>
      </c>
      <c r="S497" s="799">
        <f t="shared" si="84"/>
        <v>0</v>
      </c>
    </row>
    <row r="498" spans="1:19">
      <c r="A498" s="956"/>
      <c r="B498" s="137"/>
      <c r="C498" s="53">
        <f t="shared" si="85"/>
        <v>1</v>
      </c>
      <c r="D498" s="954"/>
      <c r="E498" s="53">
        <f t="shared" si="86"/>
        <v>1</v>
      </c>
      <c r="F498" s="954"/>
      <c r="G498" s="53">
        <f t="shared" si="87"/>
        <v>1</v>
      </c>
      <c r="H498" s="954"/>
      <c r="I498" s="53">
        <f t="shared" si="88"/>
        <v>1</v>
      </c>
      <c r="J498" s="954"/>
      <c r="K498" s="53">
        <f t="shared" si="89"/>
        <v>1</v>
      </c>
      <c r="L498" s="954"/>
      <c r="M498" s="53">
        <f t="shared" si="90"/>
        <v>1</v>
      </c>
      <c r="N498" s="954"/>
      <c r="O498" s="53">
        <f t="shared" si="91"/>
        <v>1</v>
      </c>
      <c r="P498" s="954"/>
      <c r="Q498" s="53">
        <f t="shared" si="92"/>
        <v>1</v>
      </c>
      <c r="R498" s="490">
        <f t="shared" si="93"/>
        <v>0</v>
      </c>
      <c r="S498" s="799">
        <f t="shared" ref="S498:S524" si="94">ROUND(R498*B498/10000,0)</f>
        <v>0</v>
      </c>
    </row>
    <row r="499" spans="1:19">
      <c r="A499" s="956"/>
      <c r="B499" s="137"/>
      <c r="C499" s="53">
        <f t="shared" si="85"/>
        <v>1</v>
      </c>
      <c r="D499" s="954"/>
      <c r="E499" s="53">
        <f t="shared" si="86"/>
        <v>1</v>
      </c>
      <c r="F499" s="954"/>
      <c r="G499" s="53">
        <f t="shared" si="87"/>
        <v>1</v>
      </c>
      <c r="H499" s="954"/>
      <c r="I499" s="53">
        <f t="shared" si="88"/>
        <v>1</v>
      </c>
      <c r="J499" s="954"/>
      <c r="K499" s="53">
        <f t="shared" si="89"/>
        <v>1</v>
      </c>
      <c r="L499" s="954"/>
      <c r="M499" s="53">
        <f t="shared" si="90"/>
        <v>1</v>
      </c>
      <c r="N499" s="954"/>
      <c r="O499" s="53">
        <f t="shared" si="91"/>
        <v>1</v>
      </c>
      <c r="P499" s="954"/>
      <c r="Q499" s="53">
        <f t="shared" si="92"/>
        <v>1</v>
      </c>
      <c r="R499" s="490">
        <f t="shared" si="93"/>
        <v>0</v>
      </c>
      <c r="S499" s="799">
        <f t="shared" si="94"/>
        <v>0</v>
      </c>
    </row>
    <row r="500" spans="1:19">
      <c r="A500" s="956"/>
      <c r="B500" s="137"/>
      <c r="C500" s="53">
        <f t="shared" si="85"/>
        <v>1</v>
      </c>
      <c r="D500" s="954"/>
      <c r="E500" s="53">
        <f t="shared" si="86"/>
        <v>1</v>
      </c>
      <c r="F500" s="954"/>
      <c r="G500" s="53">
        <f t="shared" si="87"/>
        <v>1</v>
      </c>
      <c r="H500" s="954"/>
      <c r="I500" s="53">
        <f t="shared" si="88"/>
        <v>1</v>
      </c>
      <c r="J500" s="954"/>
      <c r="K500" s="53">
        <f t="shared" si="89"/>
        <v>1</v>
      </c>
      <c r="L500" s="954"/>
      <c r="M500" s="53">
        <f t="shared" si="90"/>
        <v>1</v>
      </c>
      <c r="N500" s="954"/>
      <c r="O500" s="53">
        <f t="shared" si="91"/>
        <v>1</v>
      </c>
      <c r="P500" s="954"/>
      <c r="Q500" s="53">
        <f t="shared" si="92"/>
        <v>1</v>
      </c>
      <c r="R500" s="490">
        <f t="shared" si="93"/>
        <v>0</v>
      </c>
      <c r="S500" s="799">
        <f t="shared" si="94"/>
        <v>0</v>
      </c>
    </row>
    <row r="501" spans="1:19">
      <c r="A501" s="956"/>
      <c r="B501" s="137"/>
      <c r="C501" s="53">
        <f t="shared" si="85"/>
        <v>1</v>
      </c>
      <c r="D501" s="954"/>
      <c r="E501" s="53">
        <f t="shared" si="86"/>
        <v>1</v>
      </c>
      <c r="F501" s="954"/>
      <c r="G501" s="53">
        <f t="shared" si="87"/>
        <v>1</v>
      </c>
      <c r="H501" s="954"/>
      <c r="I501" s="53">
        <f t="shared" si="88"/>
        <v>1</v>
      </c>
      <c r="J501" s="954"/>
      <c r="K501" s="53">
        <f t="shared" si="89"/>
        <v>1</v>
      </c>
      <c r="L501" s="954"/>
      <c r="M501" s="53">
        <f t="shared" si="90"/>
        <v>1</v>
      </c>
      <c r="N501" s="954"/>
      <c r="O501" s="53">
        <f t="shared" si="91"/>
        <v>1</v>
      </c>
      <c r="P501" s="954"/>
      <c r="Q501" s="53">
        <f t="shared" si="92"/>
        <v>1</v>
      </c>
      <c r="R501" s="490">
        <f t="shared" si="93"/>
        <v>0</v>
      </c>
      <c r="S501" s="799">
        <f t="shared" si="94"/>
        <v>0</v>
      </c>
    </row>
    <row r="502" spans="1:19">
      <c r="A502" s="956"/>
      <c r="B502" s="137"/>
      <c r="C502" s="53">
        <f t="shared" si="85"/>
        <v>1</v>
      </c>
      <c r="D502" s="954"/>
      <c r="E502" s="53">
        <f t="shared" si="86"/>
        <v>1</v>
      </c>
      <c r="F502" s="954"/>
      <c r="G502" s="53">
        <f t="shared" si="87"/>
        <v>1</v>
      </c>
      <c r="H502" s="954"/>
      <c r="I502" s="53">
        <f t="shared" si="88"/>
        <v>1</v>
      </c>
      <c r="J502" s="954"/>
      <c r="K502" s="53">
        <f t="shared" si="89"/>
        <v>1</v>
      </c>
      <c r="L502" s="954"/>
      <c r="M502" s="53">
        <f t="shared" si="90"/>
        <v>1</v>
      </c>
      <c r="N502" s="954"/>
      <c r="O502" s="53">
        <f t="shared" si="91"/>
        <v>1</v>
      </c>
      <c r="P502" s="954"/>
      <c r="Q502" s="53">
        <f t="shared" si="92"/>
        <v>1</v>
      </c>
      <c r="R502" s="490">
        <f t="shared" si="93"/>
        <v>0</v>
      </c>
      <c r="S502" s="799">
        <f t="shared" si="94"/>
        <v>0</v>
      </c>
    </row>
    <row r="503" spans="1:19">
      <c r="A503" s="956"/>
      <c r="B503" s="137"/>
      <c r="C503" s="53">
        <f t="shared" si="85"/>
        <v>1</v>
      </c>
      <c r="D503" s="954"/>
      <c r="E503" s="53">
        <f t="shared" si="86"/>
        <v>1</v>
      </c>
      <c r="F503" s="954"/>
      <c r="G503" s="53">
        <f t="shared" si="87"/>
        <v>1</v>
      </c>
      <c r="H503" s="954"/>
      <c r="I503" s="53">
        <f t="shared" si="88"/>
        <v>1</v>
      </c>
      <c r="J503" s="954"/>
      <c r="K503" s="53">
        <f t="shared" si="89"/>
        <v>1</v>
      </c>
      <c r="L503" s="954"/>
      <c r="M503" s="53">
        <f t="shared" si="90"/>
        <v>1</v>
      </c>
      <c r="N503" s="954"/>
      <c r="O503" s="53">
        <f t="shared" si="91"/>
        <v>1</v>
      </c>
      <c r="P503" s="954"/>
      <c r="Q503" s="53">
        <f t="shared" si="92"/>
        <v>1</v>
      </c>
      <c r="R503" s="490">
        <f t="shared" si="93"/>
        <v>0</v>
      </c>
      <c r="S503" s="799">
        <f t="shared" si="94"/>
        <v>0</v>
      </c>
    </row>
    <row r="504" spans="1:19">
      <c r="A504" s="956"/>
      <c r="B504" s="137"/>
      <c r="C504" s="53">
        <f t="shared" si="85"/>
        <v>1</v>
      </c>
      <c r="D504" s="954"/>
      <c r="E504" s="53">
        <f t="shared" si="86"/>
        <v>1</v>
      </c>
      <c r="F504" s="954"/>
      <c r="G504" s="53">
        <f t="shared" si="87"/>
        <v>1</v>
      </c>
      <c r="H504" s="954"/>
      <c r="I504" s="53">
        <f t="shared" si="88"/>
        <v>1</v>
      </c>
      <c r="J504" s="954"/>
      <c r="K504" s="53">
        <f t="shared" si="89"/>
        <v>1</v>
      </c>
      <c r="L504" s="954"/>
      <c r="M504" s="53">
        <f t="shared" si="90"/>
        <v>1</v>
      </c>
      <c r="N504" s="954"/>
      <c r="O504" s="53">
        <f t="shared" si="91"/>
        <v>1</v>
      </c>
      <c r="P504" s="954"/>
      <c r="Q504" s="53">
        <f t="shared" si="92"/>
        <v>1</v>
      </c>
      <c r="R504" s="490">
        <f t="shared" si="93"/>
        <v>0</v>
      </c>
      <c r="S504" s="799">
        <f t="shared" si="94"/>
        <v>0</v>
      </c>
    </row>
    <row r="505" spans="1:19">
      <c r="A505" s="956"/>
      <c r="B505" s="137"/>
      <c r="C505" s="53">
        <f t="shared" si="85"/>
        <v>1</v>
      </c>
      <c r="D505" s="954"/>
      <c r="E505" s="53">
        <f t="shared" si="86"/>
        <v>1</v>
      </c>
      <c r="F505" s="954"/>
      <c r="G505" s="53">
        <f t="shared" si="87"/>
        <v>1</v>
      </c>
      <c r="H505" s="954"/>
      <c r="I505" s="53">
        <f t="shared" si="88"/>
        <v>1</v>
      </c>
      <c r="J505" s="954"/>
      <c r="K505" s="53">
        <f t="shared" si="89"/>
        <v>1</v>
      </c>
      <c r="L505" s="954"/>
      <c r="M505" s="53">
        <f t="shared" si="90"/>
        <v>1</v>
      </c>
      <c r="N505" s="954"/>
      <c r="O505" s="53">
        <f t="shared" si="91"/>
        <v>1</v>
      </c>
      <c r="P505" s="954"/>
      <c r="Q505" s="53">
        <f t="shared" si="92"/>
        <v>1</v>
      </c>
      <c r="R505" s="490">
        <f t="shared" si="93"/>
        <v>0</v>
      </c>
      <c r="S505" s="799">
        <f t="shared" si="94"/>
        <v>0</v>
      </c>
    </row>
    <row r="506" spans="1:19">
      <c r="A506" s="956"/>
      <c r="B506" s="137"/>
      <c r="C506" s="53">
        <f t="shared" si="85"/>
        <v>1</v>
      </c>
      <c r="D506" s="954"/>
      <c r="E506" s="53">
        <f t="shared" si="86"/>
        <v>1</v>
      </c>
      <c r="F506" s="954"/>
      <c r="G506" s="53">
        <f t="shared" si="87"/>
        <v>1</v>
      </c>
      <c r="H506" s="954"/>
      <c r="I506" s="53">
        <f t="shared" si="88"/>
        <v>1</v>
      </c>
      <c r="J506" s="954"/>
      <c r="K506" s="53">
        <f t="shared" si="89"/>
        <v>1</v>
      </c>
      <c r="L506" s="954"/>
      <c r="M506" s="53">
        <f t="shared" si="90"/>
        <v>1</v>
      </c>
      <c r="N506" s="954"/>
      <c r="O506" s="53">
        <f t="shared" si="91"/>
        <v>1</v>
      </c>
      <c r="P506" s="954"/>
      <c r="Q506" s="53">
        <f t="shared" si="92"/>
        <v>1</v>
      </c>
      <c r="R506" s="490">
        <f t="shared" si="93"/>
        <v>0</v>
      </c>
      <c r="S506" s="799">
        <f t="shared" si="94"/>
        <v>0</v>
      </c>
    </row>
    <row r="507" spans="1:19">
      <c r="A507" s="956"/>
      <c r="B507" s="137"/>
      <c r="C507" s="53">
        <f t="shared" si="85"/>
        <v>1</v>
      </c>
      <c r="D507" s="954"/>
      <c r="E507" s="53">
        <f t="shared" si="86"/>
        <v>1</v>
      </c>
      <c r="F507" s="954"/>
      <c r="G507" s="53">
        <f t="shared" si="87"/>
        <v>1</v>
      </c>
      <c r="H507" s="954"/>
      <c r="I507" s="53">
        <f t="shared" si="88"/>
        <v>1</v>
      </c>
      <c r="J507" s="954"/>
      <c r="K507" s="53">
        <f t="shared" si="89"/>
        <v>1</v>
      </c>
      <c r="L507" s="954"/>
      <c r="M507" s="53">
        <f t="shared" si="90"/>
        <v>1</v>
      </c>
      <c r="N507" s="954"/>
      <c r="O507" s="53">
        <f t="shared" si="91"/>
        <v>1</v>
      </c>
      <c r="P507" s="954"/>
      <c r="Q507" s="53">
        <f t="shared" si="92"/>
        <v>1</v>
      </c>
      <c r="R507" s="490">
        <f t="shared" si="93"/>
        <v>0</v>
      </c>
      <c r="S507" s="799">
        <f t="shared" si="94"/>
        <v>0</v>
      </c>
    </row>
    <row r="508" spans="1:19">
      <c r="A508" s="956"/>
      <c r="B508" s="137"/>
      <c r="C508" s="53">
        <f t="shared" si="85"/>
        <v>1</v>
      </c>
      <c r="D508" s="954"/>
      <c r="E508" s="53">
        <f t="shared" si="86"/>
        <v>1</v>
      </c>
      <c r="F508" s="954"/>
      <c r="G508" s="53">
        <f t="shared" si="87"/>
        <v>1</v>
      </c>
      <c r="H508" s="954"/>
      <c r="I508" s="53">
        <f t="shared" si="88"/>
        <v>1</v>
      </c>
      <c r="J508" s="954"/>
      <c r="K508" s="53">
        <f t="shared" si="89"/>
        <v>1</v>
      </c>
      <c r="L508" s="954"/>
      <c r="M508" s="53">
        <f t="shared" si="90"/>
        <v>1</v>
      </c>
      <c r="N508" s="954"/>
      <c r="O508" s="53">
        <f t="shared" si="91"/>
        <v>1</v>
      </c>
      <c r="P508" s="954"/>
      <c r="Q508" s="53">
        <f t="shared" si="92"/>
        <v>1</v>
      </c>
      <c r="R508" s="490">
        <f t="shared" si="93"/>
        <v>0</v>
      </c>
      <c r="S508" s="799">
        <f t="shared" si="94"/>
        <v>0</v>
      </c>
    </row>
    <row r="509" spans="1:19">
      <c r="A509" s="956"/>
      <c r="B509" s="137"/>
      <c r="C509" s="53">
        <f t="shared" si="85"/>
        <v>1</v>
      </c>
      <c r="D509" s="954"/>
      <c r="E509" s="53">
        <f t="shared" si="86"/>
        <v>1</v>
      </c>
      <c r="F509" s="954"/>
      <c r="G509" s="53">
        <f t="shared" si="87"/>
        <v>1</v>
      </c>
      <c r="H509" s="954"/>
      <c r="I509" s="53">
        <f t="shared" si="88"/>
        <v>1</v>
      </c>
      <c r="J509" s="954"/>
      <c r="K509" s="53">
        <f t="shared" si="89"/>
        <v>1</v>
      </c>
      <c r="L509" s="954"/>
      <c r="M509" s="53">
        <f t="shared" si="90"/>
        <v>1</v>
      </c>
      <c r="N509" s="954"/>
      <c r="O509" s="53">
        <f t="shared" si="91"/>
        <v>1</v>
      </c>
      <c r="P509" s="954"/>
      <c r="Q509" s="53">
        <f t="shared" si="92"/>
        <v>1</v>
      </c>
      <c r="R509" s="490">
        <f t="shared" si="93"/>
        <v>0</v>
      </c>
      <c r="S509" s="799">
        <f t="shared" si="94"/>
        <v>0</v>
      </c>
    </row>
    <row r="510" spans="1:19">
      <c r="A510" s="956"/>
      <c r="B510" s="137"/>
      <c r="C510" s="53">
        <f t="shared" si="85"/>
        <v>1</v>
      </c>
      <c r="D510" s="954"/>
      <c r="E510" s="53">
        <f t="shared" si="86"/>
        <v>1</v>
      </c>
      <c r="F510" s="954"/>
      <c r="G510" s="53">
        <f t="shared" si="87"/>
        <v>1</v>
      </c>
      <c r="H510" s="954"/>
      <c r="I510" s="53">
        <f t="shared" si="88"/>
        <v>1</v>
      </c>
      <c r="J510" s="954"/>
      <c r="K510" s="53">
        <f t="shared" si="89"/>
        <v>1</v>
      </c>
      <c r="L510" s="954"/>
      <c r="M510" s="53">
        <f t="shared" si="90"/>
        <v>1</v>
      </c>
      <c r="N510" s="954"/>
      <c r="O510" s="53">
        <f t="shared" si="91"/>
        <v>1</v>
      </c>
      <c r="P510" s="954"/>
      <c r="Q510" s="53">
        <f t="shared" si="92"/>
        <v>1</v>
      </c>
      <c r="R510" s="490">
        <f t="shared" si="93"/>
        <v>0</v>
      </c>
      <c r="S510" s="799">
        <f t="shared" si="94"/>
        <v>0</v>
      </c>
    </row>
    <row r="511" spans="1:19">
      <c r="A511" s="956"/>
      <c r="B511" s="137"/>
      <c r="C511" s="53">
        <f t="shared" si="85"/>
        <v>1</v>
      </c>
      <c r="D511" s="954"/>
      <c r="E511" s="53">
        <f t="shared" si="86"/>
        <v>1</v>
      </c>
      <c r="F511" s="954"/>
      <c r="G511" s="53">
        <f t="shared" si="87"/>
        <v>1</v>
      </c>
      <c r="H511" s="954"/>
      <c r="I511" s="53">
        <f t="shared" si="88"/>
        <v>1</v>
      </c>
      <c r="J511" s="954"/>
      <c r="K511" s="53">
        <f t="shared" si="89"/>
        <v>1</v>
      </c>
      <c r="L511" s="954"/>
      <c r="M511" s="53">
        <f t="shared" si="90"/>
        <v>1</v>
      </c>
      <c r="N511" s="954"/>
      <c r="O511" s="53">
        <f t="shared" si="91"/>
        <v>1</v>
      </c>
      <c r="P511" s="954"/>
      <c r="Q511" s="53">
        <f t="shared" si="92"/>
        <v>1</v>
      </c>
      <c r="R511" s="490">
        <f t="shared" si="93"/>
        <v>0</v>
      </c>
      <c r="S511" s="799">
        <f t="shared" si="94"/>
        <v>0</v>
      </c>
    </row>
    <row r="512" spans="1:19">
      <c r="A512" s="956"/>
      <c r="B512" s="137"/>
      <c r="C512" s="53">
        <f t="shared" si="85"/>
        <v>1</v>
      </c>
      <c r="D512" s="954"/>
      <c r="E512" s="53">
        <f t="shared" si="86"/>
        <v>1</v>
      </c>
      <c r="F512" s="954"/>
      <c r="G512" s="53">
        <f t="shared" si="87"/>
        <v>1</v>
      </c>
      <c r="H512" s="954"/>
      <c r="I512" s="53">
        <f t="shared" si="88"/>
        <v>1</v>
      </c>
      <c r="J512" s="954"/>
      <c r="K512" s="53">
        <f t="shared" si="89"/>
        <v>1</v>
      </c>
      <c r="L512" s="954"/>
      <c r="M512" s="53">
        <f t="shared" si="90"/>
        <v>1</v>
      </c>
      <c r="N512" s="954"/>
      <c r="O512" s="53">
        <f t="shared" si="91"/>
        <v>1</v>
      </c>
      <c r="P512" s="954"/>
      <c r="Q512" s="53">
        <f t="shared" si="92"/>
        <v>1</v>
      </c>
      <c r="R512" s="490">
        <f t="shared" si="93"/>
        <v>0</v>
      </c>
      <c r="S512" s="799">
        <f t="shared" si="94"/>
        <v>0</v>
      </c>
    </row>
    <row r="513" spans="1:19">
      <c r="A513" s="956"/>
      <c r="B513" s="137"/>
      <c r="C513" s="53">
        <f t="shared" si="85"/>
        <v>1</v>
      </c>
      <c r="D513" s="954"/>
      <c r="E513" s="53">
        <f t="shared" si="86"/>
        <v>1</v>
      </c>
      <c r="F513" s="954"/>
      <c r="G513" s="53">
        <f t="shared" si="87"/>
        <v>1</v>
      </c>
      <c r="H513" s="954"/>
      <c r="I513" s="53">
        <f t="shared" si="88"/>
        <v>1</v>
      </c>
      <c r="J513" s="954"/>
      <c r="K513" s="53">
        <f t="shared" si="89"/>
        <v>1</v>
      </c>
      <c r="L513" s="954"/>
      <c r="M513" s="53">
        <f t="shared" si="90"/>
        <v>1</v>
      </c>
      <c r="N513" s="954"/>
      <c r="O513" s="53">
        <f t="shared" si="91"/>
        <v>1</v>
      </c>
      <c r="P513" s="954"/>
      <c r="Q513" s="53">
        <f t="shared" si="92"/>
        <v>1</v>
      </c>
      <c r="R513" s="490">
        <f t="shared" si="93"/>
        <v>0</v>
      </c>
      <c r="S513" s="799">
        <f t="shared" si="94"/>
        <v>0</v>
      </c>
    </row>
    <row r="514" spans="1:19">
      <c r="A514" s="956"/>
      <c r="B514" s="137"/>
      <c r="C514" s="53">
        <f t="shared" si="85"/>
        <v>1</v>
      </c>
      <c r="D514" s="954"/>
      <c r="E514" s="53">
        <f t="shared" si="86"/>
        <v>1</v>
      </c>
      <c r="F514" s="954"/>
      <c r="G514" s="53">
        <f t="shared" si="87"/>
        <v>1</v>
      </c>
      <c r="H514" s="954"/>
      <c r="I514" s="53">
        <f t="shared" si="88"/>
        <v>1</v>
      </c>
      <c r="J514" s="954"/>
      <c r="K514" s="53">
        <f t="shared" si="89"/>
        <v>1</v>
      </c>
      <c r="L514" s="954"/>
      <c r="M514" s="53">
        <f t="shared" si="90"/>
        <v>1</v>
      </c>
      <c r="N514" s="954"/>
      <c r="O514" s="53">
        <f t="shared" si="91"/>
        <v>1</v>
      </c>
      <c r="P514" s="954"/>
      <c r="Q514" s="53">
        <f t="shared" si="92"/>
        <v>1</v>
      </c>
      <c r="R514" s="490">
        <f t="shared" si="93"/>
        <v>0</v>
      </c>
      <c r="S514" s="799">
        <f t="shared" si="94"/>
        <v>0</v>
      </c>
    </row>
    <row r="515" spans="1:19">
      <c r="A515" s="956"/>
      <c r="B515" s="137"/>
      <c r="C515" s="53">
        <f t="shared" si="85"/>
        <v>1</v>
      </c>
      <c r="D515" s="954"/>
      <c r="E515" s="53">
        <f t="shared" si="86"/>
        <v>1</v>
      </c>
      <c r="F515" s="954"/>
      <c r="G515" s="53">
        <f t="shared" si="87"/>
        <v>1</v>
      </c>
      <c r="H515" s="954"/>
      <c r="I515" s="53">
        <f t="shared" si="88"/>
        <v>1</v>
      </c>
      <c r="J515" s="954"/>
      <c r="K515" s="53">
        <f t="shared" si="89"/>
        <v>1</v>
      </c>
      <c r="L515" s="954"/>
      <c r="M515" s="53">
        <f t="shared" si="90"/>
        <v>1</v>
      </c>
      <c r="N515" s="954"/>
      <c r="O515" s="53">
        <f t="shared" si="91"/>
        <v>1</v>
      </c>
      <c r="P515" s="954"/>
      <c r="Q515" s="53">
        <f t="shared" si="92"/>
        <v>1</v>
      </c>
      <c r="R515" s="490">
        <f t="shared" si="93"/>
        <v>0</v>
      </c>
      <c r="S515" s="799">
        <f t="shared" si="94"/>
        <v>0</v>
      </c>
    </row>
    <row r="516" spans="1:19">
      <c r="A516" s="956"/>
      <c r="B516" s="137"/>
      <c r="C516" s="53">
        <f t="shared" si="85"/>
        <v>1</v>
      </c>
      <c r="D516" s="954"/>
      <c r="E516" s="53">
        <f t="shared" si="86"/>
        <v>1</v>
      </c>
      <c r="F516" s="954"/>
      <c r="G516" s="53">
        <f t="shared" si="87"/>
        <v>1</v>
      </c>
      <c r="H516" s="954"/>
      <c r="I516" s="53">
        <f t="shared" si="88"/>
        <v>1</v>
      </c>
      <c r="J516" s="954"/>
      <c r="K516" s="53">
        <f t="shared" si="89"/>
        <v>1</v>
      </c>
      <c r="L516" s="954"/>
      <c r="M516" s="53">
        <f t="shared" si="90"/>
        <v>1</v>
      </c>
      <c r="N516" s="954"/>
      <c r="O516" s="53">
        <f t="shared" si="91"/>
        <v>1</v>
      </c>
      <c r="P516" s="954"/>
      <c r="Q516" s="53">
        <f t="shared" si="92"/>
        <v>1</v>
      </c>
      <c r="R516" s="490">
        <f t="shared" si="93"/>
        <v>0</v>
      </c>
      <c r="S516" s="799">
        <f t="shared" si="94"/>
        <v>0</v>
      </c>
    </row>
    <row r="517" spans="1:19">
      <c r="A517" s="956"/>
      <c r="B517" s="137"/>
      <c r="C517" s="53">
        <f t="shared" si="85"/>
        <v>1</v>
      </c>
      <c r="D517" s="954"/>
      <c r="E517" s="53">
        <f t="shared" si="86"/>
        <v>1</v>
      </c>
      <c r="F517" s="954"/>
      <c r="G517" s="53">
        <f t="shared" si="87"/>
        <v>1</v>
      </c>
      <c r="H517" s="954"/>
      <c r="I517" s="53">
        <f t="shared" si="88"/>
        <v>1</v>
      </c>
      <c r="J517" s="954"/>
      <c r="K517" s="53">
        <f t="shared" si="89"/>
        <v>1</v>
      </c>
      <c r="L517" s="954"/>
      <c r="M517" s="53">
        <f t="shared" si="90"/>
        <v>1</v>
      </c>
      <c r="N517" s="954"/>
      <c r="O517" s="53">
        <f t="shared" si="91"/>
        <v>1</v>
      </c>
      <c r="P517" s="954"/>
      <c r="Q517" s="53">
        <f t="shared" si="92"/>
        <v>1</v>
      </c>
      <c r="R517" s="490">
        <f t="shared" si="93"/>
        <v>0</v>
      </c>
      <c r="S517" s="799">
        <f t="shared" si="94"/>
        <v>0</v>
      </c>
    </row>
    <row r="518" spans="1:19">
      <c r="A518" s="956"/>
      <c r="B518" s="137"/>
      <c r="C518" s="53">
        <f t="shared" si="85"/>
        <v>1</v>
      </c>
      <c r="D518" s="954"/>
      <c r="E518" s="53">
        <f t="shared" si="86"/>
        <v>1</v>
      </c>
      <c r="F518" s="954"/>
      <c r="G518" s="53">
        <f t="shared" si="87"/>
        <v>1</v>
      </c>
      <c r="H518" s="954"/>
      <c r="I518" s="53">
        <f t="shared" si="88"/>
        <v>1</v>
      </c>
      <c r="J518" s="954"/>
      <c r="K518" s="53">
        <f t="shared" si="89"/>
        <v>1</v>
      </c>
      <c r="L518" s="954"/>
      <c r="M518" s="53">
        <f t="shared" si="90"/>
        <v>1</v>
      </c>
      <c r="N518" s="954"/>
      <c r="O518" s="53">
        <f t="shared" si="91"/>
        <v>1</v>
      </c>
      <c r="P518" s="954"/>
      <c r="Q518" s="53">
        <f t="shared" si="92"/>
        <v>1</v>
      </c>
      <c r="R518" s="490">
        <f t="shared" si="93"/>
        <v>0</v>
      </c>
      <c r="S518" s="799">
        <f t="shared" si="94"/>
        <v>0</v>
      </c>
    </row>
    <row r="519" spans="1:19">
      <c r="A519" s="956"/>
      <c r="B519" s="137"/>
      <c r="C519" s="53">
        <f t="shared" si="85"/>
        <v>1</v>
      </c>
      <c r="D519" s="954"/>
      <c r="E519" s="53">
        <f t="shared" si="86"/>
        <v>1</v>
      </c>
      <c r="F519" s="954"/>
      <c r="G519" s="53">
        <f t="shared" si="87"/>
        <v>1</v>
      </c>
      <c r="H519" s="954"/>
      <c r="I519" s="53">
        <f t="shared" si="88"/>
        <v>1</v>
      </c>
      <c r="J519" s="954"/>
      <c r="K519" s="53">
        <f t="shared" si="89"/>
        <v>1</v>
      </c>
      <c r="L519" s="954"/>
      <c r="M519" s="53">
        <f t="shared" si="90"/>
        <v>1</v>
      </c>
      <c r="N519" s="954"/>
      <c r="O519" s="53">
        <f t="shared" si="91"/>
        <v>1</v>
      </c>
      <c r="P519" s="954"/>
      <c r="Q519" s="53">
        <f t="shared" si="92"/>
        <v>1</v>
      </c>
      <c r="R519" s="490">
        <f t="shared" si="93"/>
        <v>0</v>
      </c>
      <c r="S519" s="799">
        <f t="shared" si="94"/>
        <v>0</v>
      </c>
    </row>
    <row r="520" spans="1:19">
      <c r="A520" s="956"/>
      <c r="B520" s="137"/>
      <c r="C520" s="53">
        <f t="shared" si="85"/>
        <v>1</v>
      </c>
      <c r="D520" s="954"/>
      <c r="E520" s="53">
        <f t="shared" si="86"/>
        <v>1</v>
      </c>
      <c r="F520" s="954"/>
      <c r="G520" s="53">
        <f t="shared" si="87"/>
        <v>1</v>
      </c>
      <c r="H520" s="954"/>
      <c r="I520" s="53">
        <f t="shared" si="88"/>
        <v>1</v>
      </c>
      <c r="J520" s="954"/>
      <c r="K520" s="53">
        <f t="shared" si="89"/>
        <v>1</v>
      </c>
      <c r="L520" s="954"/>
      <c r="M520" s="53">
        <f t="shared" si="90"/>
        <v>1</v>
      </c>
      <c r="N520" s="954"/>
      <c r="O520" s="53">
        <f t="shared" si="91"/>
        <v>1</v>
      </c>
      <c r="P520" s="954"/>
      <c r="Q520" s="53">
        <f t="shared" si="92"/>
        <v>1</v>
      </c>
      <c r="R520" s="490">
        <f t="shared" si="93"/>
        <v>0</v>
      </c>
      <c r="S520" s="799">
        <f t="shared" si="94"/>
        <v>0</v>
      </c>
    </row>
    <row r="521" spans="1:19">
      <c r="A521" s="956"/>
      <c r="B521" s="137"/>
      <c r="C521" s="53">
        <f t="shared" si="85"/>
        <v>1</v>
      </c>
      <c r="D521" s="954"/>
      <c r="E521" s="53">
        <f t="shared" si="86"/>
        <v>1</v>
      </c>
      <c r="F521" s="954"/>
      <c r="G521" s="53">
        <f t="shared" si="87"/>
        <v>1</v>
      </c>
      <c r="H521" s="954"/>
      <c r="I521" s="53">
        <f t="shared" si="88"/>
        <v>1</v>
      </c>
      <c r="J521" s="954"/>
      <c r="K521" s="53">
        <f t="shared" si="89"/>
        <v>1</v>
      </c>
      <c r="L521" s="954"/>
      <c r="M521" s="53">
        <f t="shared" si="90"/>
        <v>1</v>
      </c>
      <c r="N521" s="954"/>
      <c r="O521" s="53">
        <f t="shared" si="91"/>
        <v>1</v>
      </c>
      <c r="P521" s="954"/>
      <c r="Q521" s="53">
        <f t="shared" si="92"/>
        <v>1</v>
      </c>
      <c r="R521" s="490">
        <f t="shared" si="93"/>
        <v>0</v>
      </c>
      <c r="S521" s="799">
        <f t="shared" si="94"/>
        <v>0</v>
      </c>
    </row>
    <row r="522" spans="1:19">
      <c r="A522" s="956"/>
      <c r="B522" s="137"/>
      <c r="C522" s="53">
        <f t="shared" si="85"/>
        <v>1</v>
      </c>
      <c r="D522" s="954"/>
      <c r="E522" s="53">
        <f t="shared" si="86"/>
        <v>1</v>
      </c>
      <c r="F522" s="954"/>
      <c r="G522" s="53">
        <f t="shared" si="87"/>
        <v>1</v>
      </c>
      <c r="H522" s="954"/>
      <c r="I522" s="53">
        <f t="shared" si="88"/>
        <v>1</v>
      </c>
      <c r="J522" s="954"/>
      <c r="K522" s="53">
        <f t="shared" si="89"/>
        <v>1</v>
      </c>
      <c r="L522" s="954"/>
      <c r="M522" s="53">
        <f t="shared" si="90"/>
        <v>1</v>
      </c>
      <c r="N522" s="954"/>
      <c r="O522" s="53">
        <f t="shared" si="91"/>
        <v>1</v>
      </c>
      <c r="P522" s="954"/>
      <c r="Q522" s="53">
        <f t="shared" si="92"/>
        <v>1</v>
      </c>
      <c r="R522" s="490">
        <f t="shared" si="93"/>
        <v>0</v>
      </c>
      <c r="S522" s="799">
        <f t="shared" si="94"/>
        <v>0</v>
      </c>
    </row>
    <row r="523" spans="1:19">
      <c r="A523" s="956"/>
      <c r="B523" s="137"/>
      <c r="C523" s="53">
        <f t="shared" si="85"/>
        <v>1</v>
      </c>
      <c r="D523" s="954"/>
      <c r="E523" s="53">
        <f t="shared" si="86"/>
        <v>1</v>
      </c>
      <c r="F523" s="954"/>
      <c r="G523" s="53">
        <f t="shared" si="87"/>
        <v>1</v>
      </c>
      <c r="H523" s="954"/>
      <c r="I523" s="53">
        <f t="shared" si="88"/>
        <v>1</v>
      </c>
      <c r="J523" s="954"/>
      <c r="K523" s="53">
        <f t="shared" si="89"/>
        <v>1</v>
      </c>
      <c r="L523" s="954"/>
      <c r="M523" s="53">
        <f t="shared" si="90"/>
        <v>1</v>
      </c>
      <c r="N523" s="954"/>
      <c r="O523" s="53">
        <f t="shared" si="91"/>
        <v>1</v>
      </c>
      <c r="P523" s="954"/>
      <c r="Q523" s="53">
        <f t="shared" si="92"/>
        <v>1</v>
      </c>
      <c r="R523" s="490">
        <f t="shared" si="93"/>
        <v>0</v>
      </c>
      <c r="S523" s="799">
        <f t="shared" si="94"/>
        <v>0</v>
      </c>
    </row>
    <row r="524" spans="1:19">
      <c r="A524" s="956"/>
      <c r="B524" s="137"/>
      <c r="C524" s="53">
        <f t="shared" si="85"/>
        <v>1</v>
      </c>
      <c r="D524" s="954"/>
      <c r="E524" s="53">
        <f t="shared" si="86"/>
        <v>1</v>
      </c>
      <c r="F524" s="954"/>
      <c r="G524" s="53">
        <f t="shared" si="87"/>
        <v>1</v>
      </c>
      <c r="H524" s="954"/>
      <c r="I524" s="53">
        <f t="shared" si="88"/>
        <v>1</v>
      </c>
      <c r="J524" s="954"/>
      <c r="K524" s="53">
        <f t="shared" si="89"/>
        <v>1</v>
      </c>
      <c r="L524" s="954"/>
      <c r="M524" s="53">
        <f t="shared" si="90"/>
        <v>1</v>
      </c>
      <c r="N524" s="954"/>
      <c r="O524" s="53">
        <f t="shared" si="91"/>
        <v>1</v>
      </c>
      <c r="P524" s="954"/>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187"/>
      <c r="S525" s="257"/>
    </row>
    <row r="526" spans="1:19">
      <c r="A526" s="257"/>
      <c r="B526" s="57"/>
      <c r="C526" s="57"/>
      <c r="D526" s="57"/>
      <c r="E526" s="57"/>
      <c r="F526" s="57"/>
      <c r="G526" s="57"/>
      <c r="H526" s="57"/>
      <c r="I526" s="57"/>
      <c r="J526" s="57"/>
      <c r="K526" s="57"/>
      <c r="L526" s="57"/>
      <c r="M526" s="57"/>
      <c r="N526" s="57"/>
      <c r="O526" s="57"/>
      <c r="P526" s="57"/>
      <c r="Q526" s="57"/>
      <c r="R526" s="2187"/>
      <c r="S526" s="257"/>
    </row>
    <row r="527" spans="1:19">
      <c r="A527" s="257"/>
      <c r="B527" s="57"/>
      <c r="C527" s="57"/>
      <c r="D527" s="57"/>
      <c r="E527" s="57"/>
      <c r="F527" s="57"/>
      <c r="G527" s="57"/>
      <c r="H527" s="57"/>
      <c r="I527" s="57"/>
      <c r="J527" s="57"/>
      <c r="K527" s="57"/>
      <c r="L527" s="57"/>
      <c r="M527" s="57"/>
      <c r="N527" s="57"/>
      <c r="O527" s="57"/>
      <c r="P527" s="57"/>
      <c r="Q527" s="57"/>
      <c r="R527" s="2187"/>
      <c r="S527" s="257"/>
    </row>
    <row r="528" spans="1:19">
      <c r="A528" s="257"/>
      <c r="B528" s="57"/>
      <c r="C528" s="57"/>
      <c r="D528" s="57"/>
      <c r="E528" s="57"/>
      <c r="F528" s="57"/>
      <c r="G528" s="57"/>
      <c r="H528" s="57"/>
      <c r="I528" s="57"/>
      <c r="J528" s="57"/>
      <c r="K528" s="57"/>
      <c r="L528" s="57"/>
      <c r="M528" s="57"/>
      <c r="N528" s="57"/>
      <c r="O528" s="57"/>
      <c r="P528" s="57"/>
      <c r="Q528" s="57"/>
      <c r="R528" s="2187"/>
      <c r="S528" s="257"/>
    </row>
    <row r="529" spans="1:19">
      <c r="A529" s="257"/>
      <c r="B529" s="57"/>
      <c r="C529" s="57"/>
      <c r="D529" s="57"/>
      <c r="E529" s="57"/>
      <c r="F529" s="57"/>
      <c r="G529" s="57"/>
      <c r="H529" s="57"/>
      <c r="I529" s="57"/>
      <c r="J529" s="57"/>
      <c r="K529" s="57"/>
      <c r="L529" s="57"/>
      <c r="M529" s="57"/>
      <c r="N529" s="57"/>
      <c r="O529" s="57"/>
      <c r="P529" s="57"/>
      <c r="Q529" s="57"/>
      <c r="R529" s="2187"/>
      <c r="S529" s="257"/>
    </row>
    <row r="530" spans="1:19">
      <c r="A530" s="257"/>
      <c r="B530" s="57"/>
      <c r="C530" s="57"/>
      <c r="D530" s="57"/>
      <c r="E530" s="57"/>
      <c r="F530" s="57"/>
      <c r="G530" s="57"/>
      <c r="H530" s="57"/>
      <c r="I530" s="57"/>
      <c r="J530" s="57"/>
      <c r="K530" s="57"/>
      <c r="L530" s="57"/>
      <c r="M530" s="57"/>
      <c r="N530" s="57"/>
      <c r="O530" s="57"/>
      <c r="P530" s="57"/>
      <c r="Q530" s="57"/>
      <c r="R530" s="2187"/>
      <c r="S530" s="257"/>
    </row>
    <row r="531" spans="1:19">
      <c r="A531" s="257"/>
      <c r="B531" s="57"/>
      <c r="C531" s="57"/>
      <c r="D531" s="57"/>
      <c r="E531" s="57"/>
      <c r="F531" s="57"/>
      <c r="G531" s="57"/>
      <c r="H531" s="57"/>
      <c r="I531" s="57"/>
      <c r="J531" s="57"/>
      <c r="K531" s="57"/>
      <c r="L531" s="57"/>
      <c r="M531" s="57"/>
      <c r="N531" s="57"/>
      <c r="O531" s="57"/>
      <c r="P531" s="57"/>
      <c r="Q531" s="57"/>
      <c r="R531" s="2187"/>
      <c r="S531" s="257"/>
    </row>
    <row r="532" spans="1:19">
      <c r="A532" s="257"/>
      <c r="B532" s="57"/>
      <c r="C532" s="57"/>
      <c r="D532" s="57"/>
      <c r="E532" s="57"/>
      <c r="F532" s="57"/>
      <c r="G532" s="57"/>
      <c r="H532" s="57"/>
      <c r="I532" s="57"/>
      <c r="J532" s="57"/>
      <c r="K532" s="57"/>
      <c r="L532" s="57"/>
      <c r="M532" s="57"/>
      <c r="N532" s="57"/>
      <c r="O532" s="57"/>
      <c r="P532" s="57"/>
      <c r="Q532" s="57"/>
      <c r="R532" s="2187"/>
      <c r="S532" s="257"/>
    </row>
    <row r="533" spans="1:19">
      <c r="A533" s="257"/>
      <c r="B533" s="57"/>
      <c r="C533" s="57"/>
      <c r="D533" s="57"/>
      <c r="E533" s="57"/>
      <c r="F533" s="57"/>
      <c r="G533" s="57"/>
      <c r="H533" s="57"/>
      <c r="I533" s="57"/>
      <c r="J533" s="57"/>
      <c r="K533" s="57"/>
      <c r="L533" s="57"/>
      <c r="M533" s="57"/>
      <c r="N533" s="57"/>
      <c r="O533" s="57"/>
      <c r="P533" s="57"/>
      <c r="Q533" s="57"/>
      <c r="R533" s="2187"/>
      <c r="S533" s="257"/>
    </row>
    <row r="534" spans="1:19">
      <c r="A534" s="257"/>
      <c r="B534" s="57"/>
      <c r="C534" s="57"/>
      <c r="D534" s="57"/>
      <c r="E534" s="57"/>
      <c r="F534" s="57"/>
      <c r="G534" s="57"/>
      <c r="H534" s="57"/>
      <c r="I534" s="57"/>
      <c r="J534" s="57"/>
      <c r="K534" s="57"/>
      <c r="L534" s="57"/>
      <c r="M534" s="57"/>
      <c r="N534" s="57"/>
      <c r="O534" s="57"/>
      <c r="P534" s="57"/>
      <c r="Q534" s="57"/>
      <c r="R534" s="2187"/>
      <c r="S534" s="257"/>
    </row>
    <row r="535" spans="1:19">
      <c r="A535" s="257"/>
      <c r="B535" s="57"/>
      <c r="C535" s="57"/>
      <c r="D535" s="57"/>
      <c r="E535" s="57"/>
      <c r="F535" s="57"/>
      <c r="G535" s="57"/>
      <c r="H535" s="57"/>
      <c r="I535" s="57"/>
      <c r="J535" s="57"/>
      <c r="K535" s="57"/>
      <c r="L535" s="57"/>
      <c r="M535" s="57"/>
      <c r="N535" s="57"/>
      <c r="O535" s="57"/>
      <c r="P535" s="57"/>
      <c r="Q535" s="57"/>
      <c r="R535" s="2187"/>
      <c r="S535" s="257"/>
    </row>
    <row r="536" spans="1:19">
      <c r="A536" s="257"/>
      <c r="B536" s="57"/>
      <c r="C536" s="57"/>
      <c r="D536" s="57"/>
      <c r="E536" s="57"/>
      <c r="F536" s="57"/>
      <c r="G536" s="57"/>
      <c r="H536" s="57"/>
      <c r="I536" s="57"/>
      <c r="J536" s="57"/>
      <c r="K536" s="57"/>
      <c r="L536" s="57"/>
      <c r="M536" s="57"/>
      <c r="N536" s="57"/>
      <c r="O536" s="57"/>
      <c r="P536" s="57"/>
      <c r="Q536" s="57"/>
      <c r="R536" s="2187"/>
      <c r="S536" s="257"/>
    </row>
    <row r="537" spans="1:19">
      <c r="A537" s="257"/>
      <c r="B537" s="57"/>
      <c r="C537" s="57"/>
      <c r="D537" s="57"/>
      <c r="E537" s="57"/>
      <c r="F537" s="57"/>
      <c r="G537" s="57"/>
      <c r="H537" s="57"/>
      <c r="I537" s="57"/>
      <c r="J537" s="57"/>
      <c r="K537" s="57"/>
      <c r="L537" s="57"/>
      <c r="M537" s="57"/>
      <c r="N537" s="57"/>
      <c r="O537" s="57"/>
      <c r="P537" s="57"/>
      <c r="Q537" s="57"/>
      <c r="R537" s="2187"/>
      <c r="S537" s="257"/>
    </row>
    <row r="538" spans="1:19">
      <c r="A538" s="257"/>
      <c r="B538" s="57"/>
      <c r="C538" s="57"/>
      <c r="D538" s="57"/>
      <c r="E538" s="57"/>
      <c r="F538" s="57"/>
      <c r="G538" s="57"/>
      <c r="H538" s="57"/>
      <c r="I538" s="57"/>
      <c r="J538" s="57"/>
      <c r="K538" s="57"/>
      <c r="L538" s="57"/>
      <c r="M538" s="57"/>
      <c r="N538" s="57"/>
      <c r="O538" s="57"/>
      <c r="P538" s="57"/>
      <c r="Q538" s="57"/>
      <c r="R538" s="2187"/>
      <c r="S538" s="257"/>
    </row>
    <row r="539" spans="1:19">
      <c r="A539" s="257"/>
      <c r="B539" s="57"/>
      <c r="C539" s="57"/>
      <c r="D539" s="57"/>
      <c r="E539" s="57"/>
      <c r="F539" s="57"/>
      <c r="G539" s="57"/>
      <c r="H539" s="57"/>
      <c r="I539" s="57"/>
      <c r="J539" s="57"/>
      <c r="K539" s="57"/>
      <c r="L539" s="57"/>
      <c r="M539" s="57"/>
      <c r="N539" s="57"/>
      <c r="O539" s="57"/>
      <c r="P539" s="57"/>
      <c r="Q539" s="57"/>
      <c r="R539" s="2187"/>
      <c r="S539" s="257"/>
    </row>
    <row r="540" spans="1:19">
      <c r="A540" s="257"/>
      <c r="B540" s="57"/>
      <c r="C540" s="57"/>
      <c r="D540" s="57"/>
      <c r="E540" s="57"/>
      <c r="F540" s="57"/>
      <c r="G540" s="57"/>
      <c r="H540" s="57"/>
      <c r="I540" s="57"/>
      <c r="J540" s="57"/>
      <c r="K540" s="57"/>
      <c r="L540" s="57"/>
      <c r="M540" s="57"/>
      <c r="N540" s="57"/>
      <c r="O540" s="57"/>
      <c r="P540" s="57"/>
      <c r="Q540" s="57"/>
      <c r="R540" s="2187"/>
      <c r="S540" s="257"/>
    </row>
    <row r="541" spans="1:19">
      <c r="A541" s="257"/>
      <c r="B541" s="57"/>
      <c r="C541" s="57"/>
      <c r="D541" s="57"/>
      <c r="E541" s="57"/>
      <c r="F541" s="57"/>
      <c r="G541" s="57"/>
      <c r="H541" s="57"/>
      <c r="I541" s="57"/>
      <c r="J541" s="57"/>
      <c r="K541" s="57"/>
      <c r="L541" s="57"/>
      <c r="M541" s="57"/>
      <c r="N541" s="57"/>
      <c r="O541" s="57"/>
      <c r="P541" s="57"/>
      <c r="Q541" s="57"/>
      <c r="R541" s="2187"/>
      <c r="S541" s="257"/>
    </row>
    <row r="542" spans="1:19">
      <c r="A542" s="257"/>
      <c r="B542" s="57"/>
      <c r="C542" s="57"/>
      <c r="D542" s="57"/>
      <c r="E542" s="57"/>
      <c r="F542" s="57"/>
      <c r="G542" s="57"/>
      <c r="H542" s="57"/>
      <c r="I542" s="57"/>
      <c r="J542" s="57"/>
      <c r="K542" s="57"/>
      <c r="L542" s="57"/>
      <c r="M542" s="57"/>
      <c r="N542" s="57"/>
      <c r="O542" s="57"/>
      <c r="P542" s="57"/>
      <c r="Q542" s="57"/>
      <c r="R542" s="2187"/>
      <c r="S542" s="257"/>
    </row>
    <row r="543" spans="1:19">
      <c r="A543" s="257"/>
      <c r="B543" s="57"/>
      <c r="C543" s="57"/>
      <c r="D543" s="57"/>
      <c r="E543" s="57"/>
      <c r="F543" s="57"/>
      <c r="G543" s="57"/>
      <c r="H543" s="57"/>
      <c r="I543" s="57"/>
      <c r="J543" s="57"/>
      <c r="K543" s="57"/>
      <c r="L543" s="57"/>
      <c r="M543" s="57"/>
      <c r="N543" s="57"/>
      <c r="O543" s="57"/>
      <c r="P543" s="57"/>
      <c r="Q543" s="57"/>
      <c r="R543" s="2187"/>
      <c r="S543" s="257"/>
    </row>
    <row r="544" spans="1:19">
      <c r="A544" s="257"/>
      <c r="B544" s="57"/>
      <c r="C544" s="57"/>
      <c r="D544" s="57"/>
      <c r="E544" s="57"/>
      <c r="F544" s="57"/>
      <c r="G544" s="57"/>
      <c r="H544" s="57"/>
      <c r="I544" s="57"/>
      <c r="J544" s="57"/>
      <c r="K544" s="57"/>
      <c r="L544" s="57"/>
      <c r="M544" s="57"/>
      <c r="N544" s="57"/>
      <c r="O544" s="57"/>
      <c r="P544" s="57"/>
      <c r="Q544" s="57"/>
      <c r="R544" s="2187"/>
      <c r="S544" s="257"/>
    </row>
    <row r="545" spans="1:19">
      <c r="A545" s="257"/>
      <c r="B545" s="57"/>
      <c r="C545" s="57"/>
      <c r="D545" s="57"/>
      <c r="E545" s="57"/>
      <c r="F545" s="57"/>
      <c r="G545" s="57"/>
      <c r="H545" s="57"/>
      <c r="I545" s="57"/>
      <c r="J545" s="57"/>
      <c r="K545" s="57"/>
      <c r="L545" s="57"/>
      <c r="M545" s="57"/>
      <c r="N545" s="57"/>
      <c r="O545" s="57"/>
      <c r="P545" s="57"/>
      <c r="Q545" s="57"/>
      <c r="R545" s="2187"/>
      <c r="S545" s="257"/>
    </row>
    <row r="546" spans="1:19">
      <c r="A546" s="257"/>
      <c r="B546" s="57"/>
      <c r="C546" s="57"/>
      <c r="D546" s="57"/>
      <c r="E546" s="57"/>
      <c r="F546" s="57"/>
      <c r="G546" s="57"/>
      <c r="H546" s="57"/>
      <c r="I546" s="57"/>
      <c r="J546" s="57"/>
      <c r="K546" s="57"/>
      <c r="L546" s="57"/>
      <c r="M546" s="57"/>
      <c r="N546" s="57"/>
      <c r="O546" s="57"/>
      <c r="P546" s="57"/>
      <c r="Q546" s="57"/>
      <c r="R546" s="2187"/>
      <c r="S546" s="257"/>
    </row>
    <row r="547" spans="1:19">
      <c r="A547" s="257"/>
      <c r="B547" s="57"/>
      <c r="C547" s="57"/>
      <c r="D547" s="57"/>
      <c r="E547" s="57"/>
      <c r="F547" s="57"/>
      <c r="G547" s="57"/>
      <c r="H547" s="57"/>
      <c r="I547" s="57"/>
      <c r="J547" s="57"/>
      <c r="K547" s="57"/>
      <c r="L547" s="57"/>
      <c r="M547" s="57"/>
      <c r="N547" s="57"/>
      <c r="O547" s="57"/>
      <c r="P547" s="57"/>
      <c r="Q547" s="57"/>
      <c r="R547" s="2187"/>
      <c r="S547" s="257"/>
    </row>
    <row r="548" spans="1:19">
      <c r="A548" s="257"/>
      <c r="B548" s="57"/>
      <c r="C548" s="57"/>
      <c r="D548" s="57"/>
      <c r="E548" s="57"/>
      <c r="F548" s="57"/>
      <c r="G548" s="57"/>
      <c r="H548" s="57"/>
      <c r="I548" s="57"/>
      <c r="J548" s="57"/>
      <c r="K548" s="57"/>
      <c r="L548" s="57"/>
      <c r="M548" s="57"/>
      <c r="N548" s="57"/>
      <c r="O548" s="57"/>
      <c r="P548" s="57"/>
      <c r="Q548" s="57"/>
      <c r="R548" s="2187"/>
      <c r="S548" s="257"/>
    </row>
    <row r="549" spans="1:19">
      <c r="A549" s="257"/>
      <c r="B549" s="57"/>
      <c r="C549" s="57"/>
      <c r="D549" s="57"/>
      <c r="E549" s="57"/>
      <c r="F549" s="57"/>
      <c r="G549" s="57"/>
      <c r="H549" s="57"/>
      <c r="I549" s="57"/>
      <c r="J549" s="57"/>
      <c r="K549" s="57"/>
      <c r="L549" s="57"/>
      <c r="M549" s="57"/>
      <c r="N549" s="57"/>
      <c r="O549" s="57"/>
      <c r="P549" s="57"/>
      <c r="Q549" s="57"/>
      <c r="R549" s="2187"/>
      <c r="S549" s="257"/>
    </row>
    <row r="550" spans="1:19">
      <c r="A550" s="257"/>
      <c r="B550" s="57"/>
      <c r="C550" s="57"/>
      <c r="D550" s="57"/>
      <c r="E550" s="57"/>
      <c r="F550" s="57"/>
      <c r="G550" s="57"/>
      <c r="H550" s="57"/>
      <c r="I550" s="57"/>
      <c r="J550" s="57"/>
      <c r="K550" s="57"/>
      <c r="L550" s="57"/>
      <c r="M550" s="57"/>
      <c r="N550" s="57"/>
      <c r="O550" s="57"/>
      <c r="P550" s="57"/>
      <c r="Q550" s="57"/>
      <c r="R550" s="2187"/>
      <c r="S550" s="257"/>
    </row>
    <row r="551" spans="1:19">
      <c r="A551" s="257"/>
      <c r="B551" s="57"/>
      <c r="C551" s="57"/>
      <c r="D551" s="57"/>
      <c r="E551" s="57"/>
      <c r="F551" s="57"/>
      <c r="G551" s="57"/>
      <c r="H551" s="57"/>
      <c r="I551" s="57"/>
      <c r="J551" s="57"/>
      <c r="K551" s="57"/>
      <c r="L551" s="57"/>
      <c r="M551" s="57"/>
      <c r="N551" s="57"/>
      <c r="O551" s="57"/>
      <c r="P551" s="57"/>
      <c r="Q551" s="57"/>
      <c r="R551" s="2187"/>
      <c r="S551" s="257"/>
    </row>
    <row r="552" spans="1:19">
      <c r="A552" s="257"/>
      <c r="B552" s="57"/>
      <c r="C552" s="57"/>
      <c r="D552" s="57"/>
      <c r="E552" s="57"/>
      <c r="F552" s="57"/>
      <c r="G552" s="57"/>
      <c r="H552" s="57"/>
      <c r="I552" s="57"/>
      <c r="J552" s="57"/>
      <c r="K552" s="57"/>
      <c r="L552" s="57"/>
      <c r="M552" s="57"/>
      <c r="N552" s="57"/>
      <c r="O552" s="57"/>
      <c r="P552" s="57"/>
      <c r="Q552" s="57"/>
      <c r="R552" s="2187"/>
      <c r="S552" s="257"/>
    </row>
    <row r="553" spans="1:19">
      <c r="A553" s="257"/>
      <c r="B553" s="57"/>
      <c r="C553" s="57"/>
      <c r="D553" s="57"/>
      <c r="E553" s="57"/>
      <c r="F553" s="57"/>
      <c r="G553" s="57"/>
      <c r="H553" s="57"/>
      <c r="I553" s="57"/>
      <c r="J553" s="57"/>
      <c r="K553" s="57"/>
      <c r="L553" s="57"/>
      <c r="M553" s="57"/>
      <c r="N553" s="57"/>
      <c r="O553" s="57"/>
      <c r="P553" s="57"/>
      <c r="Q553" s="57"/>
      <c r="R553" s="2187"/>
      <c r="S553" s="257"/>
    </row>
    <row r="554" spans="1:19">
      <c r="A554" s="257"/>
      <c r="B554" s="57"/>
      <c r="C554" s="57"/>
      <c r="D554" s="57"/>
      <c r="E554" s="57"/>
      <c r="F554" s="57"/>
      <c r="G554" s="57"/>
      <c r="H554" s="57"/>
      <c r="I554" s="57"/>
      <c r="J554" s="57"/>
      <c r="K554" s="57"/>
      <c r="L554" s="57"/>
      <c r="M554" s="57"/>
      <c r="N554" s="57"/>
      <c r="O554" s="57"/>
      <c r="P554" s="57"/>
      <c r="Q554" s="57"/>
      <c r="R554" s="2187"/>
      <c r="S554" s="257"/>
    </row>
    <row r="555" spans="1:19">
      <c r="A555" s="257"/>
      <c r="B555" s="57"/>
      <c r="C555" s="57"/>
      <c r="D555" s="57"/>
      <c r="E555" s="57"/>
      <c r="F555" s="57"/>
      <c r="G555" s="57"/>
      <c r="H555" s="57"/>
      <c r="I555" s="57"/>
      <c r="J555" s="57"/>
      <c r="K555" s="57"/>
      <c r="L555" s="57"/>
      <c r="M555" s="57"/>
      <c r="N555" s="57"/>
      <c r="O555" s="57"/>
      <c r="P555" s="57"/>
      <c r="Q555" s="57"/>
      <c r="R555" s="2187"/>
      <c r="S555" s="257"/>
    </row>
    <row r="556" spans="1:19">
      <c r="A556" s="257"/>
      <c r="B556" s="57"/>
      <c r="C556" s="57"/>
      <c r="D556" s="57"/>
      <c r="E556" s="57"/>
      <c r="F556" s="57"/>
      <c r="G556" s="57"/>
      <c r="H556" s="57"/>
      <c r="I556" s="57"/>
      <c r="J556" s="57"/>
      <c r="K556" s="57"/>
      <c r="L556" s="57"/>
      <c r="M556" s="57"/>
      <c r="N556" s="57"/>
      <c r="O556" s="57"/>
      <c r="P556" s="57"/>
      <c r="Q556" s="57"/>
      <c r="R556" s="2187"/>
      <c r="S556" s="257"/>
    </row>
    <row r="557" spans="1:19">
      <c r="A557" s="257"/>
      <c r="B557" s="57"/>
      <c r="C557" s="57"/>
      <c r="D557" s="57"/>
      <c r="E557" s="57"/>
      <c r="F557" s="57"/>
      <c r="G557" s="57"/>
      <c r="H557" s="57"/>
      <c r="I557" s="57"/>
      <c r="J557" s="57"/>
      <c r="K557" s="57"/>
      <c r="L557" s="57"/>
      <c r="M557" s="57"/>
      <c r="N557" s="57"/>
      <c r="O557" s="57"/>
      <c r="P557" s="57"/>
      <c r="Q557" s="57"/>
      <c r="R557" s="2187"/>
      <c r="S557" s="257"/>
    </row>
    <row r="558" spans="1:19">
      <c r="A558" s="257"/>
      <c r="B558" s="57"/>
      <c r="C558" s="57"/>
      <c r="D558" s="57"/>
      <c r="E558" s="57"/>
      <c r="F558" s="57"/>
      <c r="G558" s="57"/>
      <c r="H558" s="57"/>
      <c r="I558" s="57"/>
      <c r="J558" s="57"/>
      <c r="K558" s="57"/>
      <c r="L558" s="57"/>
      <c r="M558" s="57"/>
      <c r="N558" s="57"/>
      <c r="O558" s="57"/>
      <c r="P558" s="57"/>
      <c r="Q558" s="57"/>
      <c r="R558" s="2187"/>
      <c r="S558" s="257"/>
    </row>
    <row r="559" spans="1:19">
      <c r="A559" s="257"/>
      <c r="B559" s="57"/>
      <c r="C559" s="57"/>
      <c r="D559" s="57"/>
      <c r="E559" s="57"/>
      <c r="F559" s="57"/>
      <c r="G559" s="57"/>
      <c r="H559" s="57"/>
      <c r="I559" s="57"/>
      <c r="J559" s="57"/>
      <c r="K559" s="57"/>
      <c r="L559" s="57"/>
      <c r="M559" s="57"/>
      <c r="N559" s="57"/>
      <c r="O559" s="57"/>
      <c r="P559" s="57"/>
      <c r="Q559" s="57"/>
      <c r="R559" s="2187"/>
      <c r="S559" s="257"/>
    </row>
    <row r="560" spans="1:19">
      <c r="A560" s="257"/>
      <c r="B560" s="57"/>
      <c r="C560" s="57"/>
      <c r="D560" s="57"/>
      <c r="E560" s="57"/>
      <c r="F560" s="57"/>
      <c r="G560" s="57"/>
      <c r="H560" s="57"/>
      <c r="I560" s="57"/>
      <c r="J560" s="57"/>
      <c r="K560" s="57"/>
      <c r="L560" s="57"/>
      <c r="M560" s="57"/>
      <c r="N560" s="57"/>
      <c r="O560" s="57"/>
      <c r="P560" s="57"/>
      <c r="Q560" s="57"/>
      <c r="R560" s="2187"/>
      <c r="S560" s="257"/>
    </row>
    <row r="561" spans="1:19">
      <c r="A561" s="257"/>
      <c r="B561" s="57"/>
      <c r="C561" s="57"/>
      <c r="D561" s="57"/>
      <c r="E561" s="57"/>
      <c r="F561" s="57"/>
      <c r="G561" s="57"/>
      <c r="H561" s="57"/>
      <c r="I561" s="57"/>
      <c r="J561" s="57"/>
      <c r="K561" s="57"/>
      <c r="L561" s="57"/>
      <c r="M561" s="57"/>
      <c r="N561" s="57"/>
      <c r="O561" s="57"/>
      <c r="P561" s="57"/>
      <c r="Q561" s="57"/>
      <c r="R561" s="2187"/>
      <c r="S561" s="257"/>
    </row>
    <row r="562" spans="1:19">
      <c r="A562" s="257"/>
      <c r="B562" s="57"/>
      <c r="C562" s="57"/>
      <c r="D562" s="57"/>
      <c r="E562" s="57"/>
      <c r="F562" s="57"/>
      <c r="G562" s="57"/>
      <c r="H562" s="57"/>
      <c r="I562" s="57"/>
      <c r="J562" s="57"/>
      <c r="K562" s="57"/>
      <c r="L562" s="57"/>
      <c r="M562" s="57"/>
      <c r="N562" s="57"/>
      <c r="O562" s="57"/>
      <c r="P562" s="57"/>
      <c r="Q562" s="57"/>
      <c r="R562" s="2187"/>
      <c r="S562" s="257"/>
    </row>
    <row r="563" spans="1:19">
      <c r="A563" s="257"/>
      <c r="B563" s="57"/>
      <c r="C563" s="57"/>
      <c r="D563" s="57"/>
      <c r="E563" s="57"/>
      <c r="F563" s="57"/>
      <c r="G563" s="57"/>
      <c r="H563" s="57"/>
      <c r="I563" s="57"/>
      <c r="J563" s="57"/>
      <c r="K563" s="57"/>
      <c r="L563" s="57"/>
      <c r="M563" s="57"/>
      <c r="N563" s="57"/>
      <c r="O563" s="57"/>
      <c r="P563" s="57"/>
      <c r="Q563" s="57"/>
      <c r="R563" s="2187"/>
      <c r="S563" s="257"/>
    </row>
    <row r="564" spans="1:19">
      <c r="A564" s="257"/>
      <c r="B564" s="57"/>
      <c r="C564" s="57"/>
      <c r="D564" s="57"/>
      <c r="E564" s="57"/>
      <c r="F564" s="57"/>
      <c r="G564" s="57"/>
      <c r="H564" s="57"/>
      <c r="I564" s="57"/>
      <c r="J564" s="57"/>
      <c r="K564" s="57"/>
      <c r="L564" s="57"/>
      <c r="M564" s="57"/>
      <c r="N564" s="57"/>
      <c r="O564" s="57"/>
      <c r="P564" s="57"/>
      <c r="Q564" s="57"/>
      <c r="R564" s="2187"/>
      <c r="S564" s="257"/>
    </row>
    <row r="565" spans="1:19">
      <c r="A565" s="257"/>
      <c r="B565" s="57"/>
      <c r="C565" s="57"/>
      <c r="D565" s="57"/>
      <c r="E565" s="57"/>
      <c r="F565" s="57"/>
      <c r="G565" s="57"/>
      <c r="H565" s="57"/>
      <c r="I565" s="57"/>
      <c r="J565" s="57"/>
      <c r="K565" s="57"/>
      <c r="L565" s="57"/>
      <c r="M565" s="57"/>
      <c r="N565" s="57"/>
      <c r="O565" s="57"/>
      <c r="P565" s="57"/>
      <c r="Q565" s="57"/>
      <c r="R565" s="2187"/>
      <c r="S565" s="257"/>
    </row>
    <row r="566" spans="1:19">
      <c r="A566" s="257"/>
      <c r="B566" s="57"/>
      <c r="C566" s="57"/>
      <c r="D566" s="57"/>
      <c r="E566" s="57"/>
      <c r="F566" s="57"/>
      <c r="G566" s="57"/>
      <c r="H566" s="57"/>
      <c r="I566" s="57"/>
      <c r="J566" s="57"/>
      <c r="K566" s="57"/>
      <c r="L566" s="57"/>
      <c r="M566" s="57"/>
      <c r="N566" s="57"/>
      <c r="O566" s="57"/>
      <c r="P566" s="57"/>
      <c r="Q566" s="57"/>
      <c r="R566" s="2187"/>
      <c r="S566" s="257"/>
    </row>
    <row r="567" spans="1:19">
      <c r="A567" s="257"/>
      <c r="B567" s="57"/>
      <c r="C567" s="57"/>
      <c r="D567" s="57"/>
      <c r="E567" s="57"/>
      <c r="F567" s="57"/>
      <c r="G567" s="57"/>
      <c r="H567" s="57"/>
      <c r="I567" s="57"/>
      <c r="J567" s="57"/>
      <c r="K567" s="57"/>
      <c r="L567" s="57"/>
      <c r="M567" s="57"/>
      <c r="N567" s="57"/>
      <c r="O567" s="57"/>
      <c r="P567" s="57"/>
      <c r="Q567" s="57"/>
      <c r="R567" s="2187"/>
      <c r="S567" s="257"/>
    </row>
    <row r="568" spans="1:19">
      <c r="A568" s="257"/>
      <c r="B568" s="57"/>
      <c r="C568" s="57"/>
      <c r="D568" s="57"/>
      <c r="E568" s="57"/>
      <c r="F568" s="57"/>
      <c r="G568" s="57"/>
      <c r="H568" s="57"/>
      <c r="I568" s="57"/>
      <c r="J568" s="57"/>
      <c r="K568" s="57"/>
      <c r="L568" s="57"/>
      <c r="M568" s="57"/>
      <c r="N568" s="57"/>
      <c r="O568" s="57"/>
      <c r="P568" s="57"/>
      <c r="Q568" s="57"/>
      <c r="R568" s="2187"/>
      <c r="S568" s="257"/>
    </row>
    <row r="569" spans="1:19">
      <c r="A569" s="257"/>
      <c r="B569" s="57"/>
      <c r="C569" s="57"/>
      <c r="D569" s="57"/>
      <c r="E569" s="57"/>
      <c r="F569" s="57"/>
      <c r="G569" s="57"/>
      <c r="H569" s="57"/>
      <c r="I569" s="57"/>
      <c r="J569" s="57"/>
      <c r="K569" s="57"/>
      <c r="L569" s="57"/>
      <c r="M569" s="57"/>
      <c r="N569" s="57"/>
      <c r="O569" s="57"/>
      <c r="P569" s="57"/>
      <c r="Q569" s="57"/>
      <c r="R569" s="2187"/>
      <c r="S569" s="257"/>
    </row>
    <row r="570" spans="1:19">
      <c r="A570" s="257"/>
      <c r="B570" s="57"/>
      <c r="C570" s="57"/>
      <c r="D570" s="57"/>
      <c r="E570" s="57"/>
      <c r="F570" s="57"/>
      <c r="G570" s="57"/>
      <c r="H570" s="57"/>
      <c r="I570" s="57"/>
      <c r="J570" s="57"/>
      <c r="K570" s="57"/>
      <c r="L570" s="57"/>
      <c r="M570" s="57"/>
      <c r="N570" s="57"/>
      <c r="O570" s="57"/>
      <c r="P570" s="57"/>
      <c r="Q570" s="57"/>
      <c r="R570" s="2187"/>
      <c r="S570" s="257"/>
    </row>
    <row r="571" spans="1:19">
      <c r="A571" s="257"/>
      <c r="B571" s="57"/>
      <c r="C571" s="57"/>
      <c r="D571" s="57"/>
      <c r="E571" s="57"/>
      <c r="F571" s="57"/>
      <c r="G571" s="57"/>
      <c r="H571" s="57"/>
      <c r="I571" s="57"/>
      <c r="J571" s="57"/>
      <c r="K571" s="57"/>
      <c r="L571" s="57"/>
      <c r="M571" s="57"/>
      <c r="N571" s="57"/>
      <c r="O571" s="57"/>
      <c r="P571" s="57"/>
      <c r="Q571" s="57"/>
      <c r="R571" s="2187"/>
      <c r="S571" s="257"/>
    </row>
    <row r="572" spans="1:19">
      <c r="A572" s="257"/>
      <c r="B572" s="57"/>
      <c r="C572" s="57"/>
      <c r="D572" s="57"/>
      <c r="E572" s="57"/>
      <c r="F572" s="57"/>
      <c r="G572" s="57"/>
      <c r="H572" s="57"/>
      <c r="I572" s="57"/>
      <c r="J572" s="57"/>
      <c r="K572" s="57"/>
      <c r="L572" s="57"/>
      <c r="M572" s="57"/>
      <c r="N572" s="57"/>
      <c r="O572" s="57"/>
      <c r="P572" s="57"/>
      <c r="Q572" s="57"/>
      <c r="R572" s="2187"/>
      <c r="S572" s="257"/>
    </row>
    <row r="573" spans="1:19">
      <c r="A573" s="257"/>
      <c r="B573" s="57"/>
      <c r="C573" s="57"/>
      <c r="D573" s="57"/>
      <c r="E573" s="57"/>
      <c r="F573" s="57"/>
      <c r="G573" s="57"/>
      <c r="H573" s="57"/>
      <c r="I573" s="57"/>
      <c r="J573" s="57"/>
      <c r="K573" s="57"/>
      <c r="L573" s="57"/>
      <c r="M573" s="57"/>
      <c r="N573" s="57"/>
      <c r="O573" s="57"/>
      <c r="P573" s="57"/>
      <c r="Q573" s="57"/>
      <c r="R573" s="2187"/>
      <c r="S573" s="257"/>
    </row>
    <row r="574" spans="1:19">
      <c r="A574" s="257"/>
      <c r="B574" s="57"/>
      <c r="C574" s="57"/>
      <c r="D574" s="57"/>
      <c r="E574" s="57"/>
      <c r="F574" s="57"/>
      <c r="G574" s="57"/>
      <c r="H574" s="57"/>
      <c r="I574" s="57"/>
      <c r="J574" s="57"/>
      <c r="K574" s="57"/>
      <c r="L574" s="57"/>
      <c r="M574" s="57"/>
      <c r="N574" s="57"/>
      <c r="O574" s="57"/>
      <c r="P574" s="57"/>
      <c r="Q574" s="57"/>
      <c r="R574" s="2187"/>
      <c r="S574" s="257"/>
    </row>
    <row r="575" spans="1:19">
      <c r="A575" s="257"/>
      <c r="B575" s="57"/>
      <c r="C575" s="57"/>
      <c r="D575" s="57"/>
      <c r="E575" s="57"/>
      <c r="F575" s="57"/>
      <c r="G575" s="57"/>
      <c r="H575" s="57"/>
      <c r="I575" s="57"/>
      <c r="J575" s="57"/>
      <c r="K575" s="57"/>
      <c r="L575" s="57"/>
      <c r="M575" s="57"/>
      <c r="N575" s="57"/>
      <c r="O575" s="57"/>
      <c r="P575" s="57"/>
      <c r="Q575" s="57"/>
      <c r="R575" s="2187"/>
      <c r="S575" s="257"/>
    </row>
    <row r="576" spans="1:19">
      <c r="A576" s="257"/>
      <c r="B576" s="57"/>
      <c r="C576" s="57"/>
      <c r="D576" s="57"/>
      <c r="E576" s="57"/>
      <c r="F576" s="57"/>
      <c r="G576" s="57"/>
      <c r="H576" s="57"/>
      <c r="I576" s="57"/>
      <c r="J576" s="57"/>
      <c r="K576" s="57"/>
      <c r="L576" s="57"/>
      <c r="M576" s="57"/>
      <c r="N576" s="57"/>
      <c r="O576" s="57"/>
      <c r="P576" s="57"/>
      <c r="Q576" s="57"/>
      <c r="R576" s="2187"/>
      <c r="S576" s="257"/>
    </row>
    <row r="577" spans="1:19">
      <c r="A577" s="257"/>
      <c r="B577" s="57"/>
      <c r="C577" s="57"/>
      <c r="D577" s="57"/>
      <c r="E577" s="57"/>
      <c r="F577" s="57"/>
      <c r="G577" s="57"/>
      <c r="H577" s="57"/>
      <c r="I577" s="57"/>
      <c r="J577" s="57"/>
      <c r="K577" s="57"/>
      <c r="L577" s="57"/>
      <c r="M577" s="57"/>
      <c r="N577" s="57"/>
      <c r="O577" s="57"/>
      <c r="P577" s="57"/>
      <c r="Q577" s="57"/>
      <c r="R577" s="2187"/>
      <c r="S577" s="257"/>
    </row>
    <row r="578" spans="1:19">
      <c r="A578" s="257"/>
      <c r="B578" s="57"/>
      <c r="C578" s="57"/>
      <c r="D578" s="57"/>
      <c r="E578" s="57"/>
      <c r="F578" s="57"/>
      <c r="G578" s="57"/>
      <c r="H578" s="57"/>
      <c r="I578" s="57"/>
      <c r="J578" s="57"/>
      <c r="K578" s="57"/>
      <c r="L578" s="57"/>
      <c r="M578" s="57"/>
      <c r="N578" s="57"/>
      <c r="O578" s="57"/>
      <c r="P578" s="57"/>
      <c r="Q578" s="57"/>
      <c r="R578" s="2187"/>
      <c r="S578" s="257"/>
    </row>
    <row r="579" spans="1:19">
      <c r="A579" s="257"/>
      <c r="B579" s="57"/>
      <c r="C579" s="57"/>
      <c r="D579" s="57"/>
      <c r="E579" s="57"/>
      <c r="F579" s="57"/>
      <c r="G579" s="57"/>
      <c r="H579" s="57"/>
      <c r="I579" s="57"/>
      <c r="J579" s="57"/>
      <c r="K579" s="57"/>
      <c r="L579" s="57"/>
      <c r="M579" s="57"/>
      <c r="N579" s="57"/>
      <c r="O579" s="57"/>
      <c r="P579" s="57"/>
      <c r="Q579" s="57"/>
      <c r="R579" s="2187"/>
      <c r="S579" s="257"/>
    </row>
    <row r="580" spans="1:19">
      <c r="A580" s="257"/>
      <c r="B580" s="57"/>
      <c r="C580" s="57"/>
      <c r="D580" s="57"/>
      <c r="E580" s="57"/>
      <c r="F580" s="57"/>
      <c r="G580" s="57"/>
      <c r="H580" s="57"/>
      <c r="I580" s="57"/>
      <c r="J580" s="57"/>
      <c r="K580" s="57"/>
      <c r="L580" s="57"/>
      <c r="M580" s="57"/>
      <c r="N580" s="57"/>
      <c r="O580" s="57"/>
      <c r="P580" s="57"/>
      <c r="Q580" s="57"/>
      <c r="R580" s="2187"/>
      <c r="S580" s="257"/>
    </row>
    <row r="581" spans="1:19">
      <c r="A581" s="257"/>
      <c r="B581" s="57"/>
      <c r="C581" s="57"/>
      <c r="D581" s="57"/>
      <c r="E581" s="57"/>
      <c r="F581" s="57"/>
      <c r="G581" s="57"/>
      <c r="H581" s="57"/>
      <c r="I581" s="57"/>
      <c r="J581" s="57"/>
      <c r="K581" s="57"/>
      <c r="L581" s="57"/>
      <c r="M581" s="57"/>
      <c r="N581" s="57"/>
      <c r="O581" s="57"/>
      <c r="P581" s="57"/>
      <c r="Q581" s="57"/>
      <c r="R581" s="2187"/>
      <c r="S581" s="257"/>
    </row>
    <row r="582" spans="1:19">
      <c r="A582" s="257"/>
      <c r="B582" s="57"/>
      <c r="C582" s="57"/>
      <c r="D582" s="57"/>
      <c r="E582" s="57"/>
      <c r="F582" s="57"/>
      <c r="G582" s="57"/>
      <c r="H582" s="57"/>
      <c r="I582" s="57"/>
      <c r="J582" s="57"/>
      <c r="K582" s="57"/>
      <c r="L582" s="57"/>
      <c r="M582" s="57"/>
      <c r="N582" s="57"/>
      <c r="O582" s="57"/>
      <c r="P582" s="57"/>
      <c r="Q582" s="57"/>
      <c r="R582" s="2187"/>
      <c r="S582" s="257"/>
    </row>
    <row r="583" spans="1:19">
      <c r="A583" s="257"/>
      <c r="B583" s="57"/>
      <c r="C583" s="57"/>
      <c r="D583" s="57"/>
      <c r="E583" s="57"/>
      <c r="F583" s="57"/>
      <c r="G583" s="57"/>
      <c r="H583" s="57"/>
      <c r="I583" s="57"/>
      <c r="J583" s="57"/>
      <c r="K583" s="57"/>
      <c r="L583" s="57"/>
      <c r="M583" s="57"/>
      <c r="N583" s="57"/>
      <c r="O583" s="57"/>
      <c r="P583" s="57"/>
      <c r="Q583" s="57"/>
      <c r="R583" s="2187"/>
      <c r="S583" s="257"/>
    </row>
    <row r="584" spans="1:19">
      <c r="A584" s="257"/>
      <c r="B584" s="57"/>
      <c r="C584" s="57"/>
      <c r="D584" s="57"/>
      <c r="E584" s="57"/>
      <c r="F584" s="57"/>
      <c r="G584" s="57"/>
      <c r="H584" s="57"/>
      <c r="I584" s="57"/>
      <c r="J584" s="57"/>
      <c r="K584" s="57"/>
      <c r="L584" s="57"/>
      <c r="M584" s="57"/>
      <c r="N584" s="57"/>
      <c r="O584" s="57"/>
      <c r="P584" s="57"/>
      <c r="Q584" s="57"/>
      <c r="R584" s="2187"/>
      <c r="S584" s="257"/>
    </row>
    <row r="585" spans="1:19">
      <c r="A585" s="257"/>
      <c r="B585" s="57"/>
      <c r="C585" s="57"/>
      <c r="D585" s="57"/>
      <c r="E585" s="57"/>
      <c r="F585" s="57"/>
      <c r="G585" s="57"/>
      <c r="H585" s="57"/>
      <c r="I585" s="57"/>
      <c r="J585" s="57"/>
      <c r="K585" s="57"/>
      <c r="L585" s="57"/>
      <c r="M585" s="57"/>
      <c r="N585" s="57"/>
      <c r="O585" s="57"/>
      <c r="P585" s="57"/>
      <c r="Q585" s="57"/>
      <c r="R585" s="2187"/>
      <c r="S585" s="257"/>
    </row>
    <row r="586" spans="1:19">
      <c r="A586" s="257"/>
      <c r="B586" s="57"/>
      <c r="C586" s="57"/>
      <c r="D586" s="57"/>
      <c r="E586" s="57"/>
      <c r="F586" s="57"/>
      <c r="G586" s="57"/>
      <c r="H586" s="57"/>
      <c r="I586" s="57"/>
      <c r="J586" s="57"/>
      <c r="K586" s="57"/>
      <c r="L586" s="57"/>
      <c r="M586" s="57"/>
      <c r="N586" s="57"/>
      <c r="O586" s="57"/>
      <c r="P586" s="57"/>
      <c r="Q586" s="57"/>
      <c r="R586" s="2187"/>
      <c r="S586" s="257"/>
    </row>
    <row r="587" spans="1:19">
      <c r="A587" s="257"/>
      <c r="B587" s="57"/>
      <c r="C587" s="57"/>
      <c r="D587" s="57"/>
      <c r="E587" s="57"/>
      <c r="F587" s="57"/>
      <c r="G587" s="57"/>
      <c r="H587" s="57"/>
      <c r="I587" s="57"/>
      <c r="J587" s="57"/>
      <c r="K587" s="57"/>
      <c r="L587" s="57"/>
      <c r="M587" s="57"/>
      <c r="N587" s="57"/>
      <c r="O587" s="57"/>
      <c r="P587" s="57"/>
      <c r="Q587" s="57"/>
      <c r="R587" s="2187"/>
      <c r="S587" s="257"/>
    </row>
    <row r="588" spans="1:19">
      <c r="A588" s="257"/>
      <c r="B588" s="57"/>
      <c r="C588" s="57"/>
      <c r="D588" s="57"/>
      <c r="E588" s="57"/>
      <c r="F588" s="57"/>
      <c r="G588" s="57"/>
      <c r="H588" s="57"/>
      <c r="I588" s="57"/>
      <c r="J588" s="57"/>
      <c r="K588" s="57"/>
      <c r="L588" s="57"/>
      <c r="M588" s="57"/>
      <c r="N588" s="57"/>
      <c r="O588" s="57"/>
      <c r="P588" s="57"/>
      <c r="Q588" s="57"/>
      <c r="R588" s="2187"/>
      <c r="S588" s="257"/>
    </row>
    <row r="589" spans="1:19">
      <c r="A589" s="257"/>
      <c r="B589" s="57"/>
      <c r="C589" s="57"/>
      <c r="D589" s="57"/>
      <c r="E589" s="57"/>
      <c r="F589" s="57"/>
      <c r="G589" s="57"/>
      <c r="H589" s="57"/>
      <c r="I589" s="57"/>
      <c r="J589" s="57"/>
      <c r="K589" s="57"/>
      <c r="L589" s="57"/>
      <c r="M589" s="57"/>
      <c r="N589" s="57"/>
      <c r="O589" s="57"/>
      <c r="P589" s="57"/>
      <c r="Q589" s="57"/>
      <c r="R589" s="2187"/>
      <c r="S589" s="257"/>
    </row>
    <row r="590" spans="1:19">
      <c r="A590" s="257"/>
      <c r="B590" s="57"/>
      <c r="C590" s="57"/>
      <c r="D590" s="57"/>
      <c r="E590" s="57"/>
      <c r="F590" s="57"/>
      <c r="G590" s="57"/>
      <c r="H590" s="57"/>
      <c r="I590" s="57"/>
      <c r="J590" s="57"/>
      <c r="K590" s="57"/>
      <c r="L590" s="57"/>
      <c r="M590" s="57"/>
      <c r="N590" s="57"/>
      <c r="O590" s="57"/>
      <c r="P590" s="57"/>
      <c r="Q590" s="57"/>
      <c r="R590" s="2187"/>
      <c r="S590" s="257"/>
    </row>
    <row r="591" spans="1:19">
      <c r="A591" s="257"/>
      <c r="B591" s="57"/>
      <c r="C591" s="57"/>
      <c r="D591" s="57"/>
      <c r="E591" s="57"/>
      <c r="F591" s="57"/>
      <c r="G591" s="57"/>
      <c r="H591" s="57"/>
      <c r="I591" s="57"/>
      <c r="J591" s="57"/>
      <c r="K591" s="57"/>
      <c r="L591" s="57"/>
      <c r="M591" s="57"/>
      <c r="N591" s="57"/>
      <c r="O591" s="57"/>
      <c r="P591" s="57"/>
      <c r="Q591" s="57"/>
      <c r="R591" s="2187"/>
      <c r="S591" s="257"/>
    </row>
    <row r="592" spans="1:19">
      <c r="A592" s="257"/>
      <c r="B592" s="57"/>
      <c r="C592" s="57"/>
      <c r="D592" s="57"/>
      <c r="E592" s="57"/>
      <c r="F592" s="57"/>
      <c r="G592" s="57"/>
      <c r="H592" s="57"/>
      <c r="I592" s="57"/>
      <c r="J592" s="57"/>
      <c r="K592" s="57"/>
      <c r="L592" s="57"/>
      <c r="M592" s="57"/>
      <c r="N592" s="57"/>
      <c r="O592" s="57"/>
      <c r="P592" s="57"/>
      <c r="Q592" s="57"/>
      <c r="R592" s="2187"/>
      <c r="S592" s="257"/>
    </row>
    <row r="593" spans="1:19">
      <c r="A593" s="257"/>
      <c r="B593" s="57"/>
      <c r="C593" s="57"/>
      <c r="D593" s="57"/>
      <c r="E593" s="57"/>
      <c r="F593" s="57"/>
      <c r="G593" s="57"/>
      <c r="H593" s="57"/>
      <c r="I593" s="57"/>
      <c r="J593" s="57"/>
      <c r="K593" s="57"/>
      <c r="L593" s="57"/>
      <c r="M593" s="57"/>
      <c r="N593" s="57"/>
      <c r="O593" s="57"/>
      <c r="P593" s="57"/>
      <c r="Q593" s="57"/>
      <c r="R593" s="2187"/>
      <c r="S593" s="257"/>
    </row>
    <row r="594" spans="1:19">
      <c r="A594" s="257"/>
      <c r="B594" s="57"/>
      <c r="C594" s="57"/>
      <c r="D594" s="57"/>
      <c r="E594" s="57"/>
      <c r="F594" s="57"/>
      <c r="G594" s="57"/>
      <c r="H594" s="57"/>
      <c r="I594" s="57"/>
      <c r="J594" s="57"/>
      <c r="K594" s="57"/>
      <c r="L594" s="57"/>
      <c r="M594" s="57"/>
      <c r="N594" s="57"/>
      <c r="O594" s="57"/>
      <c r="P594" s="57"/>
      <c r="Q594" s="57"/>
      <c r="R594" s="2187"/>
      <c r="S594" s="257"/>
    </row>
    <row r="595" spans="1:19">
      <c r="A595" s="257"/>
      <c r="B595" s="57"/>
      <c r="C595" s="57"/>
      <c r="D595" s="57"/>
      <c r="E595" s="57"/>
      <c r="F595" s="57"/>
      <c r="G595" s="57"/>
      <c r="H595" s="57"/>
      <c r="I595" s="57"/>
      <c r="J595" s="57"/>
      <c r="K595" s="57"/>
      <c r="L595" s="57"/>
      <c r="M595" s="57"/>
      <c r="N595" s="57"/>
      <c r="O595" s="57"/>
      <c r="P595" s="57"/>
      <c r="Q595" s="57"/>
      <c r="R595" s="2187"/>
      <c r="S595" s="257"/>
    </row>
    <row r="596" spans="1:19">
      <c r="A596" s="257"/>
      <c r="B596" s="57"/>
      <c r="C596" s="57"/>
      <c r="D596" s="57"/>
      <c r="E596" s="57"/>
      <c r="F596" s="57"/>
      <c r="G596" s="57"/>
      <c r="H596" s="57"/>
      <c r="I596" s="57"/>
      <c r="J596" s="57"/>
      <c r="K596" s="57"/>
      <c r="L596" s="57"/>
      <c r="M596" s="57"/>
      <c r="N596" s="57"/>
      <c r="O596" s="57"/>
      <c r="P596" s="57"/>
      <c r="Q596" s="57"/>
      <c r="R596" s="2187"/>
      <c r="S596" s="257"/>
    </row>
    <row r="597" spans="1:19">
      <c r="A597" s="257"/>
      <c r="B597" s="57"/>
      <c r="C597" s="57"/>
      <c r="D597" s="57"/>
      <c r="E597" s="57"/>
      <c r="F597" s="57"/>
      <c r="G597" s="57"/>
      <c r="H597" s="57"/>
      <c r="I597" s="57"/>
      <c r="J597" s="57"/>
      <c r="K597" s="57"/>
      <c r="L597" s="57"/>
      <c r="M597" s="57"/>
      <c r="N597" s="57"/>
      <c r="O597" s="57"/>
      <c r="P597" s="57"/>
      <c r="Q597" s="57"/>
      <c r="R597" s="2187"/>
      <c r="S597" s="257"/>
    </row>
    <row r="598" spans="1:19">
      <c r="A598" s="257"/>
      <c r="B598" s="57"/>
      <c r="C598" s="57"/>
      <c r="D598" s="57"/>
      <c r="E598" s="57"/>
      <c r="F598" s="57"/>
      <c r="G598" s="57"/>
      <c r="H598" s="57"/>
      <c r="I598" s="57"/>
      <c r="J598" s="57"/>
      <c r="K598" s="57"/>
      <c r="L598" s="57"/>
      <c r="M598" s="57"/>
      <c r="N598" s="57"/>
      <c r="O598" s="57"/>
      <c r="P598" s="57"/>
      <c r="Q598" s="57"/>
      <c r="R598" s="2187"/>
      <c r="S598" s="257"/>
    </row>
    <row r="599" spans="1:19">
      <c r="A599" s="257"/>
      <c r="B599" s="57"/>
      <c r="C599" s="57"/>
      <c r="D599" s="57"/>
      <c r="E599" s="57"/>
      <c r="F599" s="57"/>
      <c r="G599" s="57"/>
      <c r="H599" s="57"/>
      <c r="I599" s="57"/>
      <c r="J599" s="57"/>
      <c r="K599" s="57"/>
      <c r="L599" s="57"/>
      <c r="M599" s="57"/>
      <c r="N599" s="57"/>
      <c r="O599" s="57"/>
      <c r="P599" s="57"/>
      <c r="Q599" s="57"/>
      <c r="R599" s="2187"/>
      <c r="S599" s="257"/>
    </row>
    <row r="600" spans="1:19">
      <c r="A600" s="257"/>
      <c r="B600" s="57"/>
      <c r="C600" s="57"/>
      <c r="D600" s="57"/>
      <c r="E600" s="57"/>
      <c r="F600" s="57"/>
      <c r="G600" s="57"/>
      <c r="H600" s="57"/>
      <c r="I600" s="57"/>
      <c r="J600" s="57"/>
      <c r="K600" s="57"/>
      <c r="L600" s="57"/>
      <c r="M600" s="57"/>
      <c r="N600" s="57"/>
      <c r="O600" s="57"/>
      <c r="P600" s="57"/>
      <c r="Q600" s="57"/>
      <c r="R600" s="2187"/>
      <c r="S600" s="257"/>
    </row>
    <row r="601" spans="1:19">
      <c r="A601" s="257"/>
      <c r="B601" s="57"/>
      <c r="C601" s="57"/>
      <c r="D601" s="57"/>
      <c r="E601" s="57"/>
      <c r="F601" s="57"/>
      <c r="G601" s="57"/>
      <c r="H601" s="57"/>
      <c r="I601" s="57"/>
      <c r="J601" s="57"/>
      <c r="K601" s="57"/>
      <c r="L601" s="57"/>
      <c r="M601" s="57"/>
      <c r="N601" s="57"/>
      <c r="O601" s="57"/>
      <c r="P601" s="57"/>
      <c r="Q601" s="57"/>
      <c r="R601" s="2187"/>
      <c r="S601" s="257"/>
    </row>
    <row r="602" spans="1:19">
      <c r="A602" s="257"/>
      <c r="B602" s="57"/>
      <c r="C602" s="57"/>
      <c r="D602" s="57"/>
      <c r="E602" s="57"/>
      <c r="F602" s="57"/>
      <c r="G602" s="57"/>
      <c r="H602" s="57"/>
      <c r="I602" s="57"/>
      <c r="J602" s="57"/>
      <c r="K602" s="57"/>
      <c r="L602" s="57"/>
      <c r="M602" s="57"/>
      <c r="N602" s="57"/>
      <c r="O602" s="57"/>
      <c r="P602" s="57"/>
      <c r="Q602" s="57"/>
      <c r="R602" s="2187"/>
      <c r="S602" s="257"/>
    </row>
    <row r="603" spans="1:19">
      <c r="A603" s="257"/>
      <c r="B603" s="57"/>
      <c r="C603" s="57"/>
      <c r="D603" s="57"/>
      <c r="E603" s="57"/>
      <c r="F603" s="57"/>
      <c r="G603" s="57"/>
      <c r="H603" s="57"/>
      <c r="I603" s="57"/>
      <c r="J603" s="57"/>
      <c r="K603" s="57"/>
      <c r="L603" s="57"/>
      <c r="M603" s="57"/>
      <c r="N603" s="57"/>
      <c r="O603" s="57"/>
      <c r="P603" s="57"/>
      <c r="Q603" s="57"/>
      <c r="R603" s="2187"/>
      <c r="S603" s="257"/>
    </row>
    <row r="604" spans="1:19">
      <c r="A604" s="257"/>
      <c r="B604" s="57"/>
      <c r="C604" s="57"/>
      <c r="D604" s="57"/>
      <c r="E604" s="57"/>
      <c r="F604" s="57"/>
      <c r="G604" s="57"/>
      <c r="H604" s="57"/>
      <c r="I604" s="57"/>
      <c r="J604" s="57"/>
      <c r="K604" s="57"/>
      <c r="L604" s="57"/>
      <c r="M604" s="57"/>
      <c r="N604" s="57"/>
      <c r="O604" s="57"/>
      <c r="P604" s="57"/>
      <c r="Q604" s="57"/>
      <c r="R604" s="2187"/>
      <c r="S604" s="257"/>
    </row>
    <row r="605" spans="1:19">
      <c r="A605" s="257"/>
      <c r="B605" s="57"/>
      <c r="C605" s="57"/>
      <c r="D605" s="57"/>
      <c r="E605" s="57"/>
      <c r="F605" s="57"/>
      <c r="G605" s="57"/>
      <c r="H605" s="57"/>
      <c r="I605" s="57"/>
      <c r="J605" s="57"/>
      <c r="K605" s="57"/>
      <c r="L605" s="57"/>
      <c r="M605" s="57"/>
      <c r="N605" s="57"/>
      <c r="O605" s="57"/>
      <c r="P605" s="57"/>
      <c r="Q605" s="57"/>
      <c r="R605" s="2187"/>
      <c r="S605" s="257"/>
    </row>
    <row r="606" spans="1:19">
      <c r="A606" s="257"/>
      <c r="B606" s="57"/>
      <c r="C606" s="57"/>
      <c r="D606" s="57"/>
      <c r="E606" s="57"/>
      <c r="F606" s="57"/>
      <c r="G606" s="57"/>
      <c r="H606" s="57"/>
      <c r="I606" s="57"/>
      <c r="J606" s="57"/>
      <c r="K606" s="57"/>
      <c r="L606" s="57"/>
      <c r="M606" s="57"/>
      <c r="N606" s="57"/>
      <c r="O606" s="57"/>
      <c r="P606" s="57"/>
      <c r="Q606" s="57"/>
      <c r="R606" s="2187"/>
      <c r="S606" s="257"/>
    </row>
    <row r="607" spans="1:19">
      <c r="A607" s="257"/>
      <c r="B607" s="57"/>
      <c r="C607" s="57"/>
      <c r="D607" s="57"/>
      <c r="E607" s="57"/>
      <c r="F607" s="57"/>
      <c r="G607" s="57"/>
      <c r="H607" s="57"/>
      <c r="I607" s="57"/>
      <c r="J607" s="57"/>
      <c r="K607" s="57"/>
      <c r="L607" s="57"/>
      <c r="M607" s="57"/>
      <c r="N607" s="57"/>
      <c r="O607" s="57"/>
      <c r="P607" s="57"/>
      <c r="Q607" s="57"/>
      <c r="R607" s="2187"/>
      <c r="S607" s="257"/>
    </row>
    <row r="608" spans="1:19">
      <c r="A608" s="257"/>
      <c r="B608" s="57"/>
      <c r="C608" s="57"/>
      <c r="D608" s="57"/>
      <c r="E608" s="57"/>
      <c r="F608" s="57"/>
      <c r="G608" s="57"/>
      <c r="H608" s="57"/>
      <c r="I608" s="57"/>
      <c r="J608" s="57"/>
      <c r="K608" s="57"/>
      <c r="L608" s="57"/>
      <c r="M608" s="57"/>
      <c r="N608" s="57"/>
      <c r="O608" s="57"/>
      <c r="P608" s="57"/>
      <c r="Q608" s="57"/>
      <c r="R608" s="2187"/>
      <c r="S608" s="257"/>
    </row>
    <row r="609" spans="1:19">
      <c r="A609" s="257"/>
      <c r="B609" s="57"/>
      <c r="C609" s="57"/>
      <c r="D609" s="57"/>
      <c r="E609" s="57"/>
      <c r="F609" s="57"/>
      <c r="G609" s="57"/>
      <c r="H609" s="57"/>
      <c r="I609" s="57"/>
      <c r="J609" s="57"/>
      <c r="K609" s="57"/>
      <c r="L609" s="57"/>
      <c r="M609" s="57"/>
      <c r="N609" s="57"/>
      <c r="O609" s="57"/>
      <c r="P609" s="57"/>
      <c r="Q609" s="57"/>
      <c r="R609" s="2187"/>
      <c r="S609" s="257"/>
    </row>
    <row r="610" spans="1:19">
      <c r="A610" s="257"/>
      <c r="B610" s="57"/>
      <c r="C610" s="57"/>
      <c r="D610" s="57"/>
      <c r="E610" s="57"/>
      <c r="F610" s="57"/>
      <c r="G610" s="57"/>
      <c r="H610" s="57"/>
      <c r="I610" s="57"/>
      <c r="J610" s="57"/>
      <c r="K610" s="57"/>
      <c r="L610" s="57"/>
      <c r="M610" s="57"/>
      <c r="N610" s="57"/>
      <c r="O610" s="57"/>
      <c r="P610" s="57"/>
      <c r="Q610" s="57"/>
      <c r="R610" s="2187"/>
      <c r="S610" s="257"/>
    </row>
    <row r="611" spans="1:19">
      <c r="A611" s="257"/>
      <c r="B611" s="57"/>
      <c r="C611" s="57"/>
      <c r="D611" s="57"/>
      <c r="E611" s="57"/>
      <c r="F611" s="57"/>
      <c r="G611" s="57"/>
      <c r="H611" s="57"/>
      <c r="I611" s="57"/>
      <c r="J611" s="57"/>
      <c r="K611" s="57"/>
      <c r="L611" s="57"/>
      <c r="M611" s="57"/>
      <c r="N611" s="57"/>
      <c r="O611" s="57"/>
      <c r="P611" s="57"/>
      <c r="Q611" s="57"/>
      <c r="R611" s="2187"/>
      <c r="S611" s="257"/>
    </row>
    <row r="612" spans="1:19">
      <c r="A612" s="257"/>
      <c r="B612" s="57"/>
      <c r="C612" s="57"/>
      <c r="D612" s="57"/>
      <c r="E612" s="57"/>
      <c r="F612" s="57"/>
      <c r="G612" s="57"/>
      <c r="H612" s="57"/>
      <c r="I612" s="57"/>
      <c r="J612" s="57"/>
      <c r="K612" s="57"/>
      <c r="L612" s="57"/>
      <c r="M612" s="57"/>
      <c r="N612" s="57"/>
      <c r="O612" s="57"/>
      <c r="P612" s="57"/>
      <c r="Q612" s="57"/>
      <c r="R612" s="2187"/>
      <c r="S612" s="257"/>
    </row>
    <row r="613" spans="1:19">
      <c r="A613" s="257"/>
      <c r="B613" s="57"/>
      <c r="C613" s="57"/>
      <c r="D613" s="57"/>
      <c r="E613" s="57"/>
      <c r="F613" s="57"/>
      <c r="G613" s="57"/>
      <c r="H613" s="57"/>
      <c r="I613" s="57"/>
      <c r="J613" s="57"/>
      <c r="K613" s="57"/>
      <c r="L613" s="57"/>
      <c r="M613" s="57"/>
      <c r="N613" s="57"/>
      <c r="O613" s="57"/>
      <c r="P613" s="57"/>
      <c r="Q613" s="57"/>
      <c r="R613" s="2187"/>
      <c r="S613" s="257"/>
    </row>
    <row r="614" spans="1:19">
      <c r="A614" s="257"/>
      <c r="B614" s="57"/>
      <c r="C614" s="57"/>
      <c r="D614" s="57"/>
      <c r="E614" s="57"/>
      <c r="F614" s="57"/>
      <c r="G614" s="57"/>
      <c r="H614" s="57"/>
      <c r="I614" s="57"/>
      <c r="J614" s="57"/>
      <c r="K614" s="57"/>
      <c r="L614" s="57"/>
      <c r="M614" s="57"/>
      <c r="N614" s="57"/>
      <c r="O614" s="57"/>
      <c r="P614" s="57"/>
      <c r="Q614" s="57"/>
      <c r="R614" s="2187"/>
      <c r="S614" s="257"/>
    </row>
    <row r="615" spans="1:19">
      <c r="A615" s="257"/>
      <c r="B615" s="57"/>
      <c r="C615" s="57"/>
      <c r="D615" s="57"/>
      <c r="E615" s="57"/>
      <c r="F615" s="57"/>
      <c r="G615" s="57"/>
      <c r="H615" s="57"/>
      <c r="I615" s="57"/>
      <c r="J615" s="57"/>
      <c r="K615" s="57"/>
      <c r="L615" s="57"/>
      <c r="M615" s="57"/>
      <c r="N615" s="57"/>
      <c r="O615" s="57"/>
      <c r="P615" s="57"/>
      <c r="Q615" s="57"/>
      <c r="R615" s="2187"/>
      <c r="S615" s="257"/>
    </row>
    <row r="616" spans="1:19">
      <c r="A616" s="257"/>
      <c r="B616" s="57"/>
      <c r="C616" s="57"/>
      <c r="D616" s="57"/>
      <c r="E616" s="57"/>
      <c r="F616" s="57"/>
      <c r="G616" s="57"/>
      <c r="H616" s="57"/>
      <c r="I616" s="57"/>
      <c r="J616" s="57"/>
      <c r="K616" s="57"/>
      <c r="L616" s="57"/>
      <c r="M616" s="57"/>
      <c r="N616" s="57"/>
      <c r="O616" s="57"/>
      <c r="P616" s="57"/>
      <c r="Q616" s="57"/>
      <c r="R616" s="2187"/>
      <c r="S616" s="257"/>
    </row>
    <row r="617" spans="1:19">
      <c r="A617" s="257"/>
      <c r="B617" s="57"/>
      <c r="C617" s="57"/>
      <c r="D617" s="57"/>
      <c r="E617" s="57"/>
      <c r="F617" s="57"/>
      <c r="G617" s="57"/>
      <c r="H617" s="57"/>
      <c r="I617" s="57"/>
      <c r="J617" s="57"/>
      <c r="K617" s="57"/>
      <c r="L617" s="57"/>
      <c r="M617" s="57"/>
      <c r="N617" s="57"/>
      <c r="O617" s="57"/>
      <c r="P617" s="57"/>
      <c r="Q617" s="57"/>
      <c r="R617" s="2187"/>
      <c r="S617" s="257"/>
    </row>
    <row r="618" spans="1:19">
      <c r="A618" s="257"/>
      <c r="B618" s="57"/>
      <c r="C618" s="57"/>
      <c r="D618" s="57"/>
      <c r="E618" s="57"/>
      <c r="F618" s="57"/>
      <c r="G618" s="57"/>
      <c r="H618" s="57"/>
      <c r="I618" s="57"/>
      <c r="J618" s="57"/>
      <c r="K618" s="57"/>
      <c r="L618" s="57"/>
      <c r="M618" s="57"/>
      <c r="N618" s="57"/>
      <c r="O618" s="57"/>
      <c r="P618" s="57"/>
      <c r="Q618" s="57"/>
      <c r="R618" s="2187"/>
      <c r="S618" s="257"/>
    </row>
    <row r="619" spans="1:19">
      <c r="A619" s="257"/>
      <c r="B619" s="57"/>
      <c r="C619" s="57"/>
      <c r="D619" s="57"/>
      <c r="E619" s="57"/>
      <c r="F619" s="57"/>
      <c r="G619" s="57"/>
      <c r="H619" s="57"/>
      <c r="I619" s="57"/>
      <c r="J619" s="57"/>
      <c r="K619" s="57"/>
      <c r="L619" s="57"/>
      <c r="M619" s="57"/>
      <c r="N619" s="57"/>
      <c r="O619" s="57"/>
      <c r="P619" s="57"/>
      <c r="Q619" s="57"/>
      <c r="R619" s="2187"/>
      <c r="S619" s="257"/>
    </row>
    <row r="620" spans="1:19">
      <c r="A620" s="257"/>
      <c r="B620" s="57"/>
      <c r="C620" s="57"/>
      <c r="D620" s="57"/>
      <c r="E620" s="57"/>
      <c r="F620" s="57"/>
      <c r="G620" s="57"/>
      <c r="H620" s="57"/>
      <c r="I620" s="57"/>
      <c r="J620" s="57"/>
      <c r="K620" s="57"/>
      <c r="L620" s="57"/>
      <c r="M620" s="57"/>
      <c r="N620" s="57"/>
      <c r="O620" s="57"/>
      <c r="P620" s="57"/>
      <c r="Q620" s="57"/>
      <c r="R620" s="2187"/>
      <c r="S620" s="257"/>
    </row>
    <row r="621" spans="1:19">
      <c r="A621" s="257"/>
      <c r="B621" s="57"/>
      <c r="C621" s="57"/>
      <c r="D621" s="57"/>
      <c r="E621" s="57"/>
      <c r="F621" s="57"/>
      <c r="G621" s="57"/>
      <c r="H621" s="57"/>
      <c r="I621" s="57"/>
      <c r="J621" s="57"/>
      <c r="K621" s="57"/>
      <c r="L621" s="57"/>
      <c r="M621" s="57"/>
      <c r="N621" s="57"/>
      <c r="O621" s="57"/>
      <c r="P621" s="57"/>
      <c r="Q621" s="57"/>
      <c r="R621" s="2187"/>
      <c r="S621" s="257"/>
    </row>
    <row r="622" spans="1:19">
      <c r="A622" s="257"/>
      <c r="B622" s="57"/>
      <c r="C622" s="57"/>
      <c r="D622" s="57"/>
      <c r="E622" s="57"/>
      <c r="F622" s="57"/>
      <c r="G622" s="57"/>
      <c r="H622" s="57"/>
      <c r="I622" s="57"/>
      <c r="J622" s="57"/>
      <c r="K622" s="57"/>
      <c r="L622" s="57"/>
      <c r="M622" s="57"/>
      <c r="N622" s="57"/>
      <c r="O622" s="57"/>
      <c r="P622" s="57"/>
      <c r="Q622" s="57"/>
      <c r="R622" s="2187"/>
      <c r="S622" s="257"/>
    </row>
    <row r="623" spans="1:19">
      <c r="A623" s="257"/>
      <c r="B623" s="57"/>
      <c r="C623" s="57"/>
      <c r="D623" s="57"/>
      <c r="E623" s="57"/>
      <c r="F623" s="57"/>
      <c r="G623" s="57"/>
      <c r="H623" s="57"/>
      <c r="I623" s="57"/>
      <c r="J623" s="57"/>
      <c r="K623" s="57"/>
      <c r="L623" s="57"/>
      <c r="M623" s="57"/>
      <c r="N623" s="57"/>
      <c r="O623" s="57"/>
      <c r="P623" s="57"/>
      <c r="Q623" s="57"/>
      <c r="R623" s="2187"/>
      <c r="S623" s="257"/>
    </row>
    <row r="624" spans="1:19">
      <c r="A624" s="257"/>
      <c r="B624" s="57"/>
      <c r="C624" s="57"/>
      <c r="D624" s="57"/>
      <c r="E624" s="57"/>
      <c r="F624" s="57"/>
      <c r="G624" s="57"/>
      <c r="H624" s="57"/>
      <c r="I624" s="57"/>
      <c r="J624" s="57"/>
      <c r="K624" s="57"/>
      <c r="L624" s="57"/>
      <c r="M624" s="57"/>
      <c r="N624" s="57"/>
      <c r="O624" s="57"/>
      <c r="P624" s="57"/>
      <c r="Q624" s="57"/>
      <c r="R624" s="2187"/>
      <c r="S624" s="257"/>
    </row>
    <row r="625" spans="1:19">
      <c r="A625" s="257"/>
      <c r="B625" s="57"/>
      <c r="C625" s="57"/>
      <c r="D625" s="57"/>
      <c r="E625" s="57"/>
      <c r="F625" s="57"/>
      <c r="G625" s="57"/>
      <c r="H625" s="57"/>
      <c r="I625" s="57"/>
      <c r="J625" s="57"/>
      <c r="K625" s="57"/>
      <c r="L625" s="57"/>
      <c r="M625" s="57"/>
      <c r="N625" s="57"/>
      <c r="O625" s="57"/>
      <c r="P625" s="57"/>
      <c r="Q625" s="57"/>
      <c r="R625" s="2187"/>
      <c r="S625" s="257"/>
    </row>
    <row r="626" spans="1:19">
      <c r="A626" s="257"/>
      <c r="B626" s="57"/>
      <c r="C626" s="57"/>
      <c r="D626" s="57"/>
      <c r="E626" s="57"/>
      <c r="F626" s="57"/>
      <c r="G626" s="57"/>
      <c r="H626" s="57"/>
      <c r="I626" s="57"/>
      <c r="J626" s="57"/>
      <c r="K626" s="57"/>
      <c r="L626" s="57"/>
      <c r="M626" s="57"/>
      <c r="N626" s="57"/>
      <c r="O626" s="57"/>
      <c r="P626" s="57"/>
      <c r="Q626" s="57"/>
      <c r="R626" s="2187"/>
      <c r="S626" s="257"/>
    </row>
    <row r="627" spans="1:19">
      <c r="A627" s="257"/>
      <c r="B627" s="57"/>
      <c r="C627" s="57"/>
      <c r="D627" s="57"/>
      <c r="E627" s="57"/>
      <c r="F627" s="57"/>
      <c r="G627" s="57"/>
      <c r="H627" s="57"/>
      <c r="I627" s="57"/>
      <c r="J627" s="57"/>
      <c r="K627" s="57"/>
      <c r="L627" s="57"/>
      <c r="M627" s="57"/>
      <c r="N627" s="57"/>
      <c r="O627" s="57"/>
      <c r="P627" s="57"/>
      <c r="Q627" s="57"/>
      <c r="R627" s="2187"/>
      <c r="S627" s="257"/>
    </row>
    <row r="628" spans="1:19">
      <c r="A628" s="257"/>
      <c r="B628" s="57"/>
      <c r="C628" s="57"/>
      <c r="D628" s="57"/>
      <c r="E628" s="57"/>
      <c r="F628" s="57"/>
      <c r="G628" s="57"/>
      <c r="H628" s="57"/>
      <c r="I628" s="57"/>
      <c r="J628" s="57"/>
      <c r="K628" s="57"/>
      <c r="L628" s="57"/>
      <c r="M628" s="57"/>
      <c r="N628" s="57"/>
      <c r="O628" s="57"/>
      <c r="P628" s="57"/>
      <c r="Q628" s="57"/>
      <c r="R628" s="2187"/>
      <c r="S628" s="257"/>
    </row>
    <row r="629" spans="1:19">
      <c r="A629" s="257"/>
      <c r="B629" s="57"/>
      <c r="C629" s="57"/>
      <c r="D629" s="57"/>
      <c r="E629" s="57"/>
      <c r="F629" s="57"/>
      <c r="G629" s="57"/>
      <c r="H629" s="57"/>
      <c r="I629" s="57"/>
      <c r="J629" s="57"/>
      <c r="K629" s="57"/>
      <c r="L629" s="57"/>
      <c r="M629" s="57"/>
      <c r="N629" s="57"/>
      <c r="O629" s="57"/>
      <c r="P629" s="57"/>
      <c r="Q629" s="57"/>
      <c r="R629" s="2187"/>
      <c r="S629" s="257"/>
    </row>
    <row r="630" spans="1:19">
      <c r="A630" s="257"/>
      <c r="B630" s="57"/>
      <c r="C630" s="57"/>
      <c r="D630" s="57"/>
      <c r="E630" s="57"/>
      <c r="F630" s="57"/>
      <c r="G630" s="57"/>
      <c r="H630" s="57"/>
      <c r="I630" s="57"/>
      <c r="J630" s="57"/>
      <c r="K630" s="57"/>
      <c r="L630" s="57"/>
      <c r="M630" s="57"/>
      <c r="N630" s="57"/>
      <c r="O630" s="57"/>
      <c r="P630" s="57"/>
      <c r="Q630" s="57"/>
      <c r="R630" s="2187"/>
      <c r="S630" s="257"/>
    </row>
    <row r="631" spans="1:19">
      <c r="A631" s="257"/>
      <c r="B631" s="57"/>
      <c r="C631" s="57"/>
      <c r="D631" s="57"/>
      <c r="E631" s="57"/>
      <c r="F631" s="57"/>
      <c r="G631" s="57"/>
      <c r="H631" s="57"/>
      <c r="I631" s="57"/>
      <c r="J631" s="57"/>
      <c r="K631" s="57"/>
      <c r="L631" s="57"/>
      <c r="M631" s="57"/>
      <c r="N631" s="57"/>
      <c r="O631" s="57"/>
      <c r="P631" s="57"/>
      <c r="Q631" s="57"/>
      <c r="R631" s="2187"/>
      <c r="S631" s="257"/>
    </row>
    <row r="632" spans="1:19">
      <c r="A632" s="257"/>
      <c r="B632" s="57"/>
      <c r="C632" s="57"/>
      <c r="D632" s="57"/>
      <c r="E632" s="57"/>
      <c r="F632" s="57"/>
      <c r="G632" s="57"/>
      <c r="H632" s="57"/>
      <c r="I632" s="57"/>
      <c r="J632" s="57"/>
      <c r="K632" s="57"/>
      <c r="L632" s="57"/>
      <c r="M632" s="57"/>
      <c r="N632" s="57"/>
      <c r="O632" s="57"/>
      <c r="P632" s="57"/>
      <c r="Q632" s="57"/>
      <c r="R632" s="2187"/>
      <c r="S632" s="257"/>
    </row>
    <row r="633" spans="1:19">
      <c r="A633" s="257"/>
      <c r="B633" s="57"/>
      <c r="C633" s="57"/>
      <c r="D633" s="57"/>
      <c r="E633" s="57"/>
      <c r="F633" s="57"/>
      <c r="G633" s="57"/>
      <c r="H633" s="57"/>
      <c r="I633" s="57"/>
      <c r="J633" s="57"/>
      <c r="K633" s="57"/>
      <c r="L633" s="57"/>
      <c r="M633" s="57"/>
      <c r="N633" s="57"/>
      <c r="O633" s="57"/>
      <c r="P633" s="57"/>
      <c r="Q633" s="57"/>
      <c r="R633" s="2187"/>
      <c r="S633" s="257"/>
    </row>
    <row r="634" spans="1:19">
      <c r="A634" s="257"/>
      <c r="B634" s="57"/>
      <c r="C634" s="57"/>
      <c r="D634" s="57"/>
      <c r="E634" s="57"/>
      <c r="F634" s="57"/>
      <c r="G634" s="57"/>
      <c r="H634" s="57"/>
      <c r="I634" s="57"/>
      <c r="J634" s="57"/>
      <c r="K634" s="57"/>
      <c r="L634" s="57"/>
      <c r="M634" s="57"/>
      <c r="N634" s="57"/>
      <c r="O634" s="57"/>
      <c r="P634" s="57"/>
      <c r="Q634" s="57"/>
      <c r="R634" s="2187"/>
      <c r="S634" s="257"/>
    </row>
    <row r="635" spans="1:19">
      <c r="A635" s="257"/>
      <c r="B635" s="57"/>
      <c r="C635" s="57"/>
      <c r="D635" s="57"/>
      <c r="E635" s="57"/>
      <c r="F635" s="57"/>
      <c r="G635" s="57"/>
      <c r="H635" s="57"/>
      <c r="I635" s="57"/>
      <c r="J635" s="57"/>
      <c r="K635" s="57"/>
      <c r="L635" s="57"/>
      <c r="M635" s="57"/>
      <c r="N635" s="57"/>
      <c r="O635" s="57"/>
      <c r="P635" s="57"/>
      <c r="Q635" s="57"/>
      <c r="R635" s="2187"/>
      <c r="S635" s="257"/>
    </row>
    <row r="636" spans="1:19">
      <c r="A636" s="257"/>
      <c r="B636" s="57"/>
      <c r="C636" s="57"/>
      <c r="D636" s="57"/>
      <c r="E636" s="57"/>
      <c r="F636" s="57"/>
      <c r="G636" s="57"/>
      <c r="H636" s="57"/>
      <c r="I636" s="57"/>
      <c r="J636" s="57"/>
      <c r="K636" s="57"/>
      <c r="L636" s="57"/>
      <c r="M636" s="57"/>
      <c r="N636" s="57"/>
      <c r="O636" s="57"/>
      <c r="P636" s="57"/>
      <c r="Q636" s="57"/>
      <c r="R636" s="2187"/>
      <c r="S636" s="257"/>
    </row>
    <row r="637" spans="1:19">
      <c r="A637" s="257"/>
      <c r="B637" s="57"/>
      <c r="C637" s="57"/>
      <c r="D637" s="57"/>
      <c r="E637" s="57"/>
      <c r="F637" s="57"/>
      <c r="G637" s="57"/>
      <c r="H637" s="57"/>
      <c r="I637" s="57"/>
      <c r="J637" s="57"/>
      <c r="K637" s="57"/>
      <c r="L637" s="57"/>
      <c r="M637" s="57"/>
      <c r="N637" s="57"/>
      <c r="O637" s="57"/>
      <c r="P637" s="57"/>
      <c r="Q637" s="57"/>
      <c r="R637" s="2187"/>
      <c r="S637" s="257"/>
    </row>
    <row r="638" spans="1:19">
      <c r="A638" s="257"/>
      <c r="B638" s="57"/>
      <c r="C638" s="57"/>
      <c r="D638" s="57"/>
      <c r="E638" s="57"/>
      <c r="F638" s="57"/>
      <c r="G638" s="57"/>
      <c r="H638" s="57"/>
      <c r="I638" s="57"/>
      <c r="J638" s="57"/>
      <c r="K638" s="57"/>
      <c r="L638" s="57"/>
      <c r="M638" s="57"/>
      <c r="N638" s="57"/>
      <c r="O638" s="57"/>
      <c r="P638" s="57"/>
      <c r="Q638" s="57"/>
      <c r="R638" s="2187"/>
      <c r="S638" s="257"/>
    </row>
    <row r="639" spans="1:19">
      <c r="A639" s="257"/>
      <c r="B639" s="57"/>
      <c r="C639" s="57"/>
      <c r="D639" s="57"/>
      <c r="E639" s="57"/>
      <c r="F639" s="57"/>
      <c r="G639" s="57"/>
      <c r="H639" s="57"/>
      <c r="I639" s="57"/>
      <c r="J639" s="57"/>
      <c r="K639" s="57"/>
      <c r="L639" s="57"/>
      <c r="M639" s="57"/>
      <c r="N639" s="57"/>
      <c r="O639" s="57"/>
      <c r="P639" s="57"/>
      <c r="Q639" s="57"/>
      <c r="R639" s="2187"/>
      <c r="S639" s="257"/>
    </row>
    <row r="640" spans="1:19">
      <c r="A640" s="257"/>
      <c r="B640" s="57"/>
      <c r="C640" s="57"/>
      <c r="D640" s="57"/>
      <c r="E640" s="57"/>
      <c r="F640" s="57"/>
      <c r="G640" s="57"/>
      <c r="H640" s="57"/>
      <c r="I640" s="57"/>
      <c r="J640" s="57"/>
      <c r="K640" s="57"/>
      <c r="L640" s="57"/>
      <c r="M640" s="57"/>
      <c r="N640" s="57"/>
      <c r="O640" s="57"/>
      <c r="P640" s="57"/>
      <c r="Q640" s="57"/>
      <c r="R640" s="2187"/>
      <c r="S640" s="257"/>
    </row>
    <row r="641" spans="1:19">
      <c r="A641" s="257"/>
      <c r="B641" s="57"/>
      <c r="C641" s="57"/>
      <c r="D641" s="57"/>
      <c r="E641" s="57"/>
      <c r="F641" s="57"/>
      <c r="G641" s="57"/>
      <c r="H641" s="57"/>
      <c r="I641" s="57"/>
      <c r="J641" s="57"/>
      <c r="K641" s="57"/>
      <c r="L641" s="57"/>
      <c r="M641" s="57"/>
      <c r="N641" s="57"/>
      <c r="O641" s="57"/>
      <c r="P641" s="57"/>
      <c r="Q641" s="57"/>
      <c r="R641" s="2187"/>
      <c r="S641" s="257"/>
    </row>
    <row r="642" spans="1:19">
      <c r="A642" s="257"/>
      <c r="B642" s="57"/>
      <c r="C642" s="57"/>
      <c r="D642" s="57"/>
      <c r="E642" s="57"/>
      <c r="F642" s="57"/>
      <c r="G642" s="57"/>
      <c r="H642" s="57"/>
      <c r="I642" s="57"/>
      <c r="J642" s="57"/>
      <c r="K642" s="57"/>
      <c r="L642" s="57"/>
      <c r="M642" s="57"/>
      <c r="N642" s="57"/>
      <c r="O642" s="57"/>
      <c r="P642" s="57"/>
      <c r="Q642" s="57"/>
      <c r="R642" s="2187"/>
      <c r="S642" s="257"/>
    </row>
    <row r="643" spans="1:19">
      <c r="A643" s="257"/>
      <c r="B643" s="57"/>
      <c r="C643" s="57"/>
      <c r="D643" s="57"/>
      <c r="E643" s="57"/>
      <c r="F643" s="57"/>
      <c r="G643" s="57"/>
      <c r="H643" s="57"/>
      <c r="I643" s="57"/>
      <c r="J643" s="57"/>
      <c r="K643" s="57"/>
      <c r="L643" s="57"/>
      <c r="M643" s="57"/>
      <c r="N643" s="57"/>
      <c r="O643" s="57"/>
      <c r="P643" s="57"/>
      <c r="Q643" s="57"/>
      <c r="R643" s="2187"/>
      <c r="S643" s="257"/>
    </row>
    <row r="644" spans="1:19">
      <c r="A644" s="257"/>
      <c r="B644" s="57"/>
      <c r="C644" s="57"/>
      <c r="D644" s="57"/>
      <c r="E644" s="57"/>
      <c r="F644" s="57"/>
      <c r="G644" s="57"/>
      <c r="H644" s="57"/>
      <c r="I644" s="57"/>
      <c r="J644" s="57"/>
      <c r="K644" s="57"/>
      <c r="L644" s="57"/>
      <c r="M644" s="57"/>
      <c r="N644" s="57"/>
      <c r="O644" s="57"/>
      <c r="P644" s="57"/>
      <c r="Q644" s="57"/>
      <c r="R644" s="2187"/>
      <c r="S644" s="257"/>
    </row>
    <row r="645" spans="1:19">
      <c r="A645" s="257"/>
      <c r="B645" s="57"/>
      <c r="C645" s="57"/>
      <c r="D645" s="57"/>
      <c r="E645" s="57"/>
      <c r="F645" s="57"/>
      <c r="G645" s="57"/>
      <c r="H645" s="57"/>
      <c r="I645" s="57"/>
      <c r="J645" s="57"/>
      <c r="K645" s="57"/>
      <c r="L645" s="57"/>
      <c r="M645" s="57"/>
      <c r="N645" s="57"/>
      <c r="O645" s="57"/>
      <c r="P645" s="57"/>
      <c r="Q645" s="57"/>
      <c r="R645" s="2187"/>
      <c r="S645" s="257"/>
    </row>
    <row r="646" spans="1:19">
      <c r="A646" s="257"/>
      <c r="B646" s="57"/>
      <c r="C646" s="57"/>
      <c r="D646" s="57"/>
      <c r="E646" s="57"/>
      <c r="F646" s="57"/>
      <c r="G646" s="57"/>
      <c r="H646" s="57"/>
      <c r="I646" s="57"/>
      <c r="J646" s="57"/>
      <c r="K646" s="57"/>
      <c r="L646" s="57"/>
      <c r="M646" s="57"/>
      <c r="N646" s="57"/>
      <c r="O646" s="57"/>
      <c r="P646" s="57"/>
      <c r="Q646" s="57"/>
      <c r="R646" s="2187"/>
      <c r="S646" s="257"/>
    </row>
    <row r="647" spans="1:19">
      <c r="A647" s="257"/>
      <c r="B647" s="57"/>
      <c r="C647" s="57"/>
      <c r="D647" s="57"/>
      <c r="E647" s="57"/>
      <c r="F647" s="57"/>
      <c r="G647" s="57"/>
      <c r="H647" s="57"/>
      <c r="I647" s="57"/>
      <c r="J647" s="57"/>
      <c r="K647" s="57"/>
      <c r="L647" s="57"/>
      <c r="M647" s="57"/>
      <c r="N647" s="57"/>
      <c r="O647" s="57"/>
      <c r="P647" s="57"/>
      <c r="Q647" s="57"/>
      <c r="R647" s="2187"/>
      <c r="S647" s="257"/>
    </row>
    <row r="648" spans="1:19">
      <c r="A648" s="257"/>
      <c r="B648" s="57"/>
      <c r="C648" s="57"/>
      <c r="D648" s="57"/>
      <c r="E648" s="57"/>
      <c r="F648" s="57"/>
      <c r="G648" s="57"/>
      <c r="H648" s="57"/>
      <c r="I648" s="57"/>
      <c r="J648" s="57"/>
      <c r="K648" s="57"/>
      <c r="L648" s="57"/>
      <c r="M648" s="57"/>
      <c r="N648" s="57"/>
      <c r="O648" s="57"/>
      <c r="P648" s="57"/>
      <c r="Q648" s="57"/>
      <c r="R648" s="2187"/>
      <c r="S648" s="257"/>
    </row>
    <row r="649" spans="1:19">
      <c r="A649" s="257"/>
      <c r="B649" s="57"/>
      <c r="C649" s="57"/>
      <c r="D649" s="57"/>
      <c r="E649" s="57"/>
      <c r="F649" s="57"/>
      <c r="G649" s="57"/>
      <c r="H649" s="57"/>
      <c r="I649" s="57"/>
      <c r="J649" s="57"/>
      <c r="K649" s="57"/>
      <c r="L649" s="57"/>
      <c r="M649" s="57"/>
      <c r="N649" s="57"/>
      <c r="O649" s="57"/>
      <c r="P649" s="57"/>
      <c r="Q649" s="57"/>
      <c r="R649" s="2187"/>
      <c r="S649" s="257"/>
    </row>
    <row r="650" spans="1:19">
      <c r="A650" s="257"/>
      <c r="B650" s="57"/>
      <c r="C650" s="57"/>
      <c r="D650" s="57"/>
      <c r="E650" s="57"/>
      <c r="F650" s="57"/>
      <c r="G650" s="57"/>
      <c r="H650" s="57"/>
      <c r="I650" s="57"/>
      <c r="J650" s="57"/>
      <c r="K650" s="57"/>
      <c r="L650" s="57"/>
      <c r="M650" s="57"/>
      <c r="N650" s="57"/>
      <c r="O650" s="57"/>
      <c r="P650" s="57"/>
      <c r="Q650" s="57"/>
      <c r="R650" s="2187"/>
      <c r="S650" s="257"/>
    </row>
    <row r="651" spans="1:19">
      <c r="A651" s="257"/>
      <c r="B651" s="57"/>
      <c r="C651" s="57"/>
      <c r="D651" s="57"/>
      <c r="E651" s="57"/>
      <c r="F651" s="57"/>
      <c r="G651" s="57"/>
      <c r="H651" s="57"/>
      <c r="I651" s="57"/>
      <c r="J651" s="57"/>
      <c r="K651" s="57"/>
      <c r="L651" s="57"/>
      <c r="M651" s="57"/>
      <c r="N651" s="57"/>
      <c r="O651" s="57"/>
      <c r="P651" s="57"/>
      <c r="Q651" s="57"/>
      <c r="R651" s="2187"/>
      <c r="S651" s="257"/>
    </row>
    <row r="652" spans="1:19">
      <c r="A652" s="257"/>
      <c r="B652" s="57"/>
      <c r="C652" s="57"/>
      <c r="D652" s="57"/>
      <c r="E652" s="57"/>
      <c r="F652" s="57"/>
      <c r="G652" s="57"/>
      <c r="H652" s="57"/>
      <c r="I652" s="57"/>
      <c r="J652" s="57"/>
      <c r="K652" s="57"/>
      <c r="L652" s="57"/>
      <c r="M652" s="57"/>
      <c r="N652" s="57"/>
      <c r="O652" s="57"/>
      <c r="P652" s="57"/>
      <c r="Q652" s="57"/>
      <c r="R652" s="2187"/>
      <c r="S652" s="257"/>
    </row>
    <row r="653" spans="1:19">
      <c r="A653" s="257"/>
      <c r="B653" s="57"/>
      <c r="C653" s="57"/>
      <c r="D653" s="57"/>
      <c r="E653" s="57"/>
      <c r="F653" s="57"/>
      <c r="G653" s="57"/>
      <c r="H653" s="57"/>
      <c r="I653" s="57"/>
      <c r="J653" s="57"/>
      <c r="K653" s="57"/>
      <c r="L653" s="57"/>
      <c r="M653" s="57"/>
      <c r="N653" s="57"/>
      <c r="O653" s="57"/>
      <c r="P653" s="57"/>
      <c r="Q653" s="57"/>
      <c r="R653" s="2187"/>
      <c r="S653" s="257"/>
    </row>
    <row r="654" spans="1:19">
      <c r="A654" s="257"/>
      <c r="B654" s="57"/>
      <c r="C654" s="57"/>
      <c r="D654" s="57"/>
      <c r="E654" s="57"/>
      <c r="F654" s="57"/>
      <c r="G654" s="57"/>
      <c r="H654" s="57"/>
      <c r="I654" s="57"/>
      <c r="J654" s="57"/>
      <c r="K654" s="57"/>
      <c r="L654" s="57"/>
      <c r="M654" s="57"/>
      <c r="N654" s="57"/>
      <c r="O654" s="57"/>
      <c r="P654" s="57"/>
      <c r="Q654" s="57"/>
      <c r="R654" s="2187"/>
      <c r="S654" s="257"/>
    </row>
    <row r="655" spans="1:19">
      <c r="A655" s="257"/>
      <c r="B655" s="57"/>
      <c r="C655" s="57"/>
      <c r="D655" s="57"/>
      <c r="E655" s="57"/>
      <c r="F655" s="57"/>
      <c r="G655" s="57"/>
      <c r="H655" s="57"/>
      <c r="I655" s="57"/>
      <c r="J655" s="57"/>
      <c r="K655" s="57"/>
      <c r="L655" s="57"/>
      <c r="M655" s="57"/>
      <c r="N655" s="57"/>
      <c r="O655" s="57"/>
      <c r="P655" s="57"/>
      <c r="Q655" s="57"/>
      <c r="R655" s="2187"/>
      <c r="S655" s="257"/>
    </row>
    <row r="656" spans="1:19">
      <c r="A656" s="257"/>
      <c r="B656" s="57"/>
      <c r="C656" s="57"/>
      <c r="D656" s="57"/>
      <c r="E656" s="57"/>
      <c r="F656" s="57"/>
      <c r="G656" s="57"/>
      <c r="H656" s="57"/>
      <c r="I656" s="57"/>
      <c r="J656" s="57"/>
      <c r="K656" s="57"/>
      <c r="L656" s="57"/>
      <c r="M656" s="57"/>
      <c r="N656" s="57"/>
      <c r="O656" s="57"/>
      <c r="P656" s="57"/>
      <c r="Q656" s="57"/>
      <c r="R656" s="2187"/>
      <c r="S656" s="257"/>
    </row>
    <row r="657" spans="1:19">
      <c r="A657" s="257"/>
      <c r="B657" s="57"/>
      <c r="C657" s="57"/>
      <c r="D657" s="57"/>
      <c r="E657" s="57"/>
      <c r="F657" s="57"/>
      <c r="G657" s="57"/>
      <c r="H657" s="57"/>
      <c r="I657" s="57"/>
      <c r="J657" s="57"/>
      <c r="K657" s="57"/>
      <c r="L657" s="57"/>
      <c r="M657" s="57"/>
      <c r="N657" s="57"/>
      <c r="O657" s="57"/>
      <c r="P657" s="57"/>
      <c r="Q657" s="57"/>
      <c r="R657" s="2187"/>
      <c r="S657" s="257"/>
    </row>
    <row r="658" spans="1:19">
      <c r="A658" s="257"/>
      <c r="B658" s="57"/>
      <c r="C658" s="57"/>
      <c r="D658" s="57"/>
      <c r="E658" s="57"/>
      <c r="F658" s="57"/>
      <c r="G658" s="57"/>
      <c r="H658" s="57"/>
      <c r="I658" s="57"/>
      <c r="J658" s="57"/>
      <c r="K658" s="57"/>
      <c r="L658" s="57"/>
      <c r="M658" s="57"/>
      <c r="N658" s="57"/>
      <c r="O658" s="57"/>
      <c r="P658" s="57"/>
      <c r="Q658" s="57"/>
      <c r="R658" s="2187"/>
      <c r="S658" s="257"/>
    </row>
    <row r="659" spans="1:19">
      <c r="A659" s="257"/>
      <c r="B659" s="57"/>
      <c r="C659" s="57"/>
      <c r="D659" s="57"/>
      <c r="E659" s="57"/>
      <c r="F659" s="57"/>
      <c r="G659" s="57"/>
      <c r="H659" s="57"/>
      <c r="I659" s="57"/>
      <c r="J659" s="57"/>
      <c r="K659" s="57"/>
      <c r="L659" s="57"/>
      <c r="M659" s="57"/>
      <c r="N659" s="57"/>
      <c r="O659" s="57"/>
      <c r="P659" s="57"/>
      <c r="Q659" s="57"/>
      <c r="R659" s="2187"/>
      <c r="S659" s="257"/>
    </row>
    <row r="660" spans="1:19">
      <c r="A660" s="257"/>
      <c r="B660" s="57"/>
      <c r="C660" s="57"/>
      <c r="D660" s="57"/>
      <c r="E660" s="57"/>
      <c r="F660" s="57"/>
      <c r="G660" s="57"/>
      <c r="H660" s="57"/>
      <c r="I660" s="57"/>
      <c r="J660" s="57"/>
      <c r="K660" s="57"/>
      <c r="L660" s="57"/>
      <c r="M660" s="57"/>
      <c r="N660" s="57"/>
      <c r="O660" s="57"/>
      <c r="P660" s="57"/>
      <c r="Q660" s="57"/>
      <c r="R660" s="2187"/>
      <c r="S660" s="257"/>
    </row>
    <row r="661" spans="1:19">
      <c r="A661" s="257"/>
      <c r="B661" s="57"/>
      <c r="C661" s="57"/>
      <c r="D661" s="57"/>
      <c r="E661" s="57"/>
      <c r="F661" s="57"/>
      <c r="G661" s="57"/>
      <c r="H661" s="57"/>
      <c r="I661" s="57"/>
      <c r="J661" s="57"/>
      <c r="K661" s="57"/>
      <c r="L661" s="57"/>
      <c r="M661" s="57"/>
      <c r="N661" s="57"/>
      <c r="O661" s="57"/>
      <c r="P661" s="57"/>
      <c r="Q661" s="57"/>
      <c r="R661" s="2187"/>
      <c r="S661" s="257"/>
    </row>
    <row r="662" spans="1:19">
      <c r="A662" s="257"/>
      <c r="B662" s="57"/>
      <c r="C662" s="57"/>
      <c r="D662" s="57"/>
      <c r="E662" s="57"/>
      <c r="F662" s="57"/>
      <c r="G662" s="57"/>
      <c r="H662" s="57"/>
      <c r="I662" s="57"/>
      <c r="J662" s="57"/>
      <c r="K662" s="57"/>
      <c r="L662" s="57"/>
      <c r="M662" s="57"/>
      <c r="N662" s="57"/>
      <c r="O662" s="57"/>
      <c r="P662" s="57"/>
      <c r="Q662" s="57"/>
      <c r="R662" s="2187"/>
      <c r="S662" s="257"/>
    </row>
    <row r="663" spans="1:19">
      <c r="A663" s="257"/>
      <c r="B663" s="57"/>
      <c r="C663" s="57"/>
      <c r="D663" s="57"/>
      <c r="E663" s="57"/>
      <c r="F663" s="57"/>
      <c r="G663" s="57"/>
      <c r="H663" s="57"/>
      <c r="I663" s="57"/>
      <c r="J663" s="57"/>
      <c r="K663" s="57"/>
      <c r="L663" s="57"/>
      <c r="M663" s="57"/>
      <c r="N663" s="57"/>
      <c r="O663" s="57"/>
      <c r="P663" s="57"/>
      <c r="Q663" s="57"/>
      <c r="R663" s="2187"/>
      <c r="S663" s="257"/>
    </row>
    <row r="664" spans="1:19">
      <c r="A664" s="257"/>
      <c r="B664" s="57"/>
      <c r="C664" s="57"/>
      <c r="D664" s="57"/>
      <c r="E664" s="57"/>
      <c r="F664" s="57"/>
      <c r="G664" s="57"/>
      <c r="H664" s="57"/>
      <c r="I664" s="57"/>
      <c r="J664" s="57"/>
      <c r="K664" s="57"/>
      <c r="L664" s="57"/>
      <c r="M664" s="57"/>
      <c r="N664" s="57"/>
      <c r="O664" s="57"/>
      <c r="P664" s="57"/>
      <c r="Q664" s="57"/>
      <c r="R664" s="2187"/>
      <c r="S664" s="257"/>
    </row>
    <row r="665" spans="1:19">
      <c r="A665" s="257"/>
      <c r="B665" s="57"/>
      <c r="C665" s="57"/>
      <c r="D665" s="57"/>
      <c r="E665" s="57"/>
      <c r="F665" s="57"/>
      <c r="G665" s="57"/>
      <c r="H665" s="57"/>
      <c r="I665" s="57"/>
      <c r="J665" s="57"/>
      <c r="K665" s="57"/>
      <c r="L665" s="57"/>
      <c r="M665" s="57"/>
      <c r="N665" s="57"/>
      <c r="O665" s="57"/>
      <c r="P665" s="57"/>
      <c r="Q665" s="57"/>
      <c r="R665" s="2187"/>
      <c r="S665" s="257"/>
    </row>
    <row r="666" spans="1:19">
      <c r="A666" s="257"/>
      <c r="B666" s="57"/>
      <c r="C666" s="57"/>
      <c r="D666" s="57"/>
      <c r="E666" s="57"/>
      <c r="F666" s="57"/>
      <c r="G666" s="57"/>
      <c r="H666" s="57"/>
      <c r="I666" s="57"/>
      <c r="J666" s="57"/>
      <c r="K666" s="57"/>
      <c r="L666" s="57"/>
      <c r="M666" s="57"/>
      <c r="N666" s="57"/>
      <c r="O666" s="57"/>
      <c r="P666" s="57"/>
      <c r="Q666" s="57"/>
      <c r="R666" s="2187"/>
      <c r="S666" s="257"/>
    </row>
    <row r="667" spans="1:19">
      <c r="A667" s="257"/>
      <c r="B667" s="57"/>
      <c r="C667" s="57"/>
      <c r="D667" s="57"/>
      <c r="E667" s="57"/>
      <c r="F667" s="57"/>
      <c r="G667" s="57"/>
      <c r="H667" s="57"/>
      <c r="I667" s="57"/>
      <c r="J667" s="57"/>
      <c r="K667" s="57"/>
      <c r="L667" s="57"/>
      <c r="M667" s="57"/>
      <c r="N667" s="57"/>
      <c r="O667" s="57"/>
      <c r="P667" s="57"/>
      <c r="Q667" s="57"/>
      <c r="R667" s="2187"/>
      <c r="S667" s="257"/>
    </row>
    <row r="668" spans="1:19">
      <c r="A668" s="257"/>
      <c r="B668" s="57"/>
      <c r="C668" s="57"/>
      <c r="D668" s="57"/>
      <c r="E668" s="57"/>
      <c r="F668" s="57"/>
      <c r="G668" s="57"/>
      <c r="H668" s="57"/>
      <c r="I668" s="57"/>
      <c r="J668" s="57"/>
      <c r="K668" s="57"/>
      <c r="L668" s="57"/>
      <c r="M668" s="57"/>
      <c r="N668" s="57"/>
      <c r="O668" s="57"/>
      <c r="P668" s="57"/>
      <c r="Q668" s="57"/>
      <c r="R668" s="2187"/>
      <c r="S668" s="257"/>
    </row>
    <row r="669" spans="1:19">
      <c r="A669" s="257"/>
      <c r="B669" s="57"/>
      <c r="C669" s="57"/>
      <c r="D669" s="57"/>
      <c r="E669" s="57"/>
      <c r="F669" s="57"/>
      <c r="G669" s="57"/>
      <c r="H669" s="57"/>
      <c r="I669" s="57"/>
      <c r="J669" s="57"/>
      <c r="K669" s="57"/>
      <c r="L669" s="57"/>
      <c r="M669" s="57"/>
      <c r="N669" s="57"/>
      <c r="O669" s="57"/>
      <c r="P669" s="57"/>
      <c r="Q669" s="57"/>
      <c r="R669" s="2187"/>
      <c r="S669" s="257"/>
    </row>
    <row r="670" spans="1:19">
      <c r="A670" s="257"/>
      <c r="B670" s="57"/>
      <c r="C670" s="57"/>
      <c r="D670" s="57"/>
      <c r="E670" s="57"/>
      <c r="F670" s="57"/>
      <c r="G670" s="57"/>
      <c r="H670" s="57"/>
      <c r="I670" s="57"/>
      <c r="J670" s="57"/>
      <c r="K670" s="57"/>
      <c r="L670" s="57"/>
      <c r="M670" s="57"/>
      <c r="N670" s="57"/>
      <c r="O670" s="57"/>
      <c r="P670" s="57"/>
      <c r="Q670" s="57"/>
      <c r="R670" s="2187"/>
      <c r="S670" s="257"/>
    </row>
    <row r="671" spans="1:19">
      <c r="A671" s="257"/>
      <c r="B671" s="57"/>
      <c r="C671" s="57"/>
      <c r="D671" s="57"/>
      <c r="E671" s="57"/>
      <c r="F671" s="57"/>
      <c r="G671" s="57"/>
      <c r="H671" s="57"/>
      <c r="I671" s="57"/>
      <c r="J671" s="57"/>
      <c r="K671" s="57"/>
      <c r="L671" s="57"/>
      <c r="M671" s="57"/>
      <c r="N671" s="57"/>
      <c r="O671" s="57"/>
      <c r="P671" s="57"/>
      <c r="Q671" s="57"/>
      <c r="R671" s="2187"/>
      <c r="S671" s="257"/>
    </row>
    <row r="672" spans="1:19">
      <c r="A672" s="257"/>
      <c r="B672" s="57"/>
      <c r="C672" s="57"/>
      <c r="D672" s="57"/>
      <c r="E672" s="57"/>
      <c r="F672" s="57"/>
      <c r="G672" s="57"/>
      <c r="H672" s="57"/>
      <c r="I672" s="57"/>
      <c r="J672" s="57"/>
      <c r="K672" s="57"/>
      <c r="L672" s="57"/>
      <c r="M672" s="57"/>
      <c r="N672" s="57"/>
      <c r="O672" s="57"/>
      <c r="P672" s="57"/>
      <c r="Q672" s="57"/>
      <c r="R672" s="2187"/>
      <c r="S672" s="257"/>
    </row>
    <row r="673" spans="1:19">
      <c r="A673" s="257"/>
      <c r="B673" s="57"/>
      <c r="C673" s="57"/>
      <c r="D673" s="57"/>
      <c r="E673" s="57"/>
      <c r="F673" s="57"/>
      <c r="G673" s="57"/>
      <c r="H673" s="57"/>
      <c r="I673" s="57"/>
      <c r="J673" s="57"/>
      <c r="K673" s="57"/>
      <c r="L673" s="57"/>
      <c r="M673" s="57"/>
      <c r="N673" s="57"/>
      <c r="O673" s="57"/>
      <c r="P673" s="57"/>
      <c r="Q673" s="57"/>
      <c r="R673" s="2187"/>
      <c r="S673" s="257"/>
    </row>
    <row r="674" spans="1:19">
      <c r="A674" s="257"/>
      <c r="B674" s="57"/>
      <c r="C674" s="57"/>
      <c r="D674" s="57"/>
      <c r="E674" s="57"/>
      <c r="F674" s="57"/>
      <c r="G674" s="57"/>
      <c r="H674" s="57"/>
      <c r="I674" s="57"/>
      <c r="J674" s="57"/>
      <c r="K674" s="57"/>
      <c r="L674" s="57"/>
      <c r="M674" s="57"/>
      <c r="N674" s="57"/>
      <c r="O674" s="57"/>
      <c r="P674" s="57"/>
      <c r="Q674" s="57"/>
      <c r="R674" s="2187"/>
      <c r="S674" s="257"/>
    </row>
    <row r="675" spans="1:19">
      <c r="A675" s="257"/>
      <c r="B675" s="57"/>
      <c r="C675" s="57"/>
      <c r="D675" s="57"/>
      <c r="E675" s="57"/>
      <c r="F675" s="57"/>
      <c r="G675" s="57"/>
      <c r="H675" s="57"/>
      <c r="I675" s="57"/>
      <c r="J675" s="57"/>
      <c r="K675" s="57"/>
      <c r="L675" s="57"/>
      <c r="M675" s="57"/>
      <c r="N675" s="57"/>
      <c r="O675" s="57"/>
      <c r="P675" s="57"/>
      <c r="Q675" s="57"/>
      <c r="R675" s="2187"/>
      <c r="S675" s="257"/>
    </row>
    <row r="676" spans="1:19">
      <c r="A676" s="257"/>
      <c r="B676" s="57"/>
      <c r="C676" s="57"/>
      <c r="D676" s="57"/>
      <c r="E676" s="57"/>
      <c r="F676" s="57"/>
      <c r="G676" s="57"/>
      <c r="H676" s="57"/>
      <c r="I676" s="57"/>
      <c r="J676" s="57"/>
      <c r="K676" s="57"/>
      <c r="L676" s="57"/>
      <c r="M676" s="57"/>
      <c r="N676" s="57"/>
      <c r="O676" s="57"/>
      <c r="P676" s="57"/>
      <c r="Q676" s="57"/>
      <c r="R676" s="2187"/>
      <c r="S676" s="257"/>
    </row>
    <row r="677" spans="1:19">
      <c r="A677" s="257"/>
      <c r="B677" s="57"/>
      <c r="C677" s="57"/>
      <c r="D677" s="57"/>
      <c r="E677" s="57"/>
      <c r="F677" s="57"/>
      <c r="G677" s="57"/>
      <c r="H677" s="57"/>
      <c r="I677" s="57"/>
      <c r="J677" s="57"/>
      <c r="K677" s="57"/>
      <c r="L677" s="57"/>
      <c r="M677" s="57"/>
      <c r="N677" s="57"/>
      <c r="O677" s="57"/>
      <c r="P677" s="57"/>
      <c r="Q677" s="57"/>
      <c r="R677" s="2187"/>
      <c r="S677" s="257"/>
    </row>
    <row r="678" spans="1:19">
      <c r="A678" s="257"/>
      <c r="B678" s="57"/>
      <c r="C678" s="57"/>
      <c r="D678" s="57"/>
      <c r="E678" s="57"/>
      <c r="F678" s="57"/>
      <c r="G678" s="57"/>
      <c r="H678" s="57"/>
      <c r="I678" s="57"/>
      <c r="J678" s="57"/>
      <c r="K678" s="57"/>
      <c r="L678" s="57"/>
      <c r="M678" s="57"/>
      <c r="N678" s="57"/>
      <c r="O678" s="57"/>
      <c r="P678" s="57"/>
      <c r="Q678" s="57"/>
      <c r="R678" s="2187"/>
      <c r="S678" s="257"/>
    </row>
    <row r="679" spans="1:19">
      <c r="A679" s="257"/>
      <c r="B679" s="57"/>
      <c r="C679" s="57"/>
      <c r="D679" s="57"/>
      <c r="E679" s="57"/>
      <c r="F679" s="57"/>
      <c r="G679" s="57"/>
      <c r="H679" s="57"/>
      <c r="I679" s="57"/>
      <c r="J679" s="57"/>
      <c r="K679" s="57"/>
      <c r="L679" s="57"/>
      <c r="M679" s="57"/>
      <c r="N679" s="57"/>
      <c r="O679" s="57"/>
      <c r="P679" s="57"/>
      <c r="Q679" s="57"/>
      <c r="R679" s="2187"/>
      <c r="S679" s="257"/>
    </row>
    <row r="680" spans="1:19">
      <c r="A680" s="257"/>
      <c r="B680" s="57"/>
      <c r="C680" s="57"/>
      <c r="D680" s="57"/>
      <c r="E680" s="57"/>
      <c r="F680" s="57"/>
      <c r="G680" s="57"/>
      <c r="H680" s="57"/>
      <c r="I680" s="57"/>
      <c r="J680" s="57"/>
      <c r="K680" s="57"/>
      <c r="L680" s="57"/>
      <c r="M680" s="57"/>
      <c r="N680" s="57"/>
      <c r="O680" s="57"/>
      <c r="P680" s="57"/>
      <c r="Q680" s="57"/>
      <c r="R680" s="2187"/>
      <c r="S680" s="257"/>
    </row>
    <row r="681" spans="1:19">
      <c r="A681" s="257"/>
      <c r="B681" s="57"/>
      <c r="C681" s="57"/>
      <c r="D681" s="57"/>
      <c r="E681" s="57"/>
      <c r="F681" s="57"/>
      <c r="G681" s="57"/>
      <c r="H681" s="57"/>
      <c r="I681" s="57"/>
      <c r="J681" s="57"/>
      <c r="K681" s="57"/>
      <c r="L681" s="57"/>
      <c r="M681" s="57"/>
      <c r="N681" s="57"/>
      <c r="O681" s="57"/>
      <c r="P681" s="57"/>
      <c r="Q681" s="57"/>
      <c r="R681" s="2187"/>
      <c r="S681" s="257"/>
    </row>
    <row r="682" spans="1:19">
      <c r="A682" s="257"/>
      <c r="B682" s="57"/>
      <c r="C682" s="57"/>
      <c r="D682" s="57"/>
      <c r="E682" s="57"/>
      <c r="F682" s="57"/>
      <c r="G682" s="57"/>
      <c r="H682" s="57"/>
      <c r="I682" s="57"/>
      <c r="J682" s="57"/>
      <c r="K682" s="57"/>
      <c r="L682" s="57"/>
      <c r="M682" s="57"/>
      <c r="N682" s="57"/>
      <c r="O682" s="57"/>
      <c r="P682" s="57"/>
      <c r="Q682" s="57"/>
      <c r="R682" s="2187"/>
      <c r="S682" s="257"/>
    </row>
  </sheetData>
  <sheetProtection password="C66D" sheet="1" objects="1" scenarios="1" formatCells="0" formatColumns="0" formatRows="0"/>
  <mergeCells count="2">
    <mergeCell ref="C22:Q22"/>
    <mergeCell ref="C1:S1"/>
  </mergeCells>
  <phoneticPr fontId="2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71" customWidth="1"/>
    <col min="2" max="2" width="13.125" style="2877" customWidth="1"/>
    <col min="3" max="3" width="15.625" style="2877" customWidth="1"/>
    <col min="4" max="4" width="9.375" style="2877" bestFit="1" customWidth="1"/>
    <col min="5" max="5" width="13.5" style="2877" customWidth="1"/>
    <col min="6" max="6" width="9" style="2877"/>
    <col min="7" max="7" width="9.375" style="2877" bestFit="1" customWidth="1"/>
    <col min="8" max="9" width="9" style="2877"/>
    <col min="10" max="10" width="9.375" style="2877" bestFit="1" customWidth="1"/>
    <col min="11" max="11" width="4" style="2871" customWidth="1"/>
    <col min="12" max="12" width="5.125" style="2877" customWidth="1"/>
    <col min="13" max="13" width="13.625" style="2877" customWidth="1"/>
    <col min="14" max="256" width="9" style="2877"/>
    <col min="257" max="257" width="4.875" style="2869" customWidth="1"/>
    <col min="258" max="258" width="13.125" style="2869" customWidth="1"/>
    <col min="259" max="259" width="15.625" style="2869" customWidth="1"/>
    <col min="260" max="260" width="9.375" style="2869" bestFit="1" customWidth="1"/>
    <col min="261" max="261" width="13.5" style="2869" customWidth="1"/>
    <col min="262" max="262" width="9" style="2869"/>
    <col min="263" max="263" width="9.375" style="2869" bestFit="1" customWidth="1"/>
    <col min="264" max="265" width="9" style="2869"/>
    <col min="266" max="266" width="9.375" style="2869" bestFit="1" customWidth="1"/>
    <col min="267" max="267" width="4" style="2869" customWidth="1"/>
    <col min="268" max="268" width="5.125" style="2869" customWidth="1"/>
    <col min="269" max="269" width="13.625" style="2869" customWidth="1"/>
    <col min="270" max="512" width="9" style="2869"/>
    <col min="513" max="513" width="4.875" style="2869" customWidth="1"/>
    <col min="514" max="514" width="13.125" style="2869" customWidth="1"/>
    <col min="515" max="515" width="15.625" style="2869" customWidth="1"/>
    <col min="516" max="516" width="9.375" style="2869" bestFit="1" customWidth="1"/>
    <col min="517" max="517" width="13.5" style="2869" customWidth="1"/>
    <col min="518" max="518" width="9" style="2869"/>
    <col min="519" max="519" width="9.375" style="2869" bestFit="1" customWidth="1"/>
    <col min="520" max="521" width="9" style="2869"/>
    <col min="522" max="522" width="9.375" style="2869" bestFit="1" customWidth="1"/>
    <col min="523" max="523" width="4" style="2869" customWidth="1"/>
    <col min="524" max="524" width="5.125" style="2869" customWidth="1"/>
    <col min="525" max="525" width="13.625" style="2869" customWidth="1"/>
    <col min="526" max="768" width="9" style="2869"/>
    <col min="769" max="769" width="4.875" style="2869" customWidth="1"/>
    <col min="770" max="770" width="13.125" style="2869" customWidth="1"/>
    <col min="771" max="771" width="15.625" style="2869" customWidth="1"/>
    <col min="772" max="772" width="9.375" style="2869" bestFit="1" customWidth="1"/>
    <col min="773" max="773" width="13.5" style="2869" customWidth="1"/>
    <col min="774" max="774" width="9" style="2869"/>
    <col min="775" max="775" width="9.375" style="2869" bestFit="1" customWidth="1"/>
    <col min="776" max="777" width="9" style="2869"/>
    <col min="778" max="778" width="9.375" style="2869" bestFit="1" customWidth="1"/>
    <col min="779" max="779" width="4" style="2869" customWidth="1"/>
    <col min="780" max="780" width="5.125" style="2869" customWidth="1"/>
    <col min="781" max="781" width="13.625" style="2869" customWidth="1"/>
    <col min="782" max="1024" width="9" style="2869"/>
    <col min="1025" max="1025" width="4.875" style="2869" customWidth="1"/>
    <col min="1026" max="1026" width="13.125" style="2869" customWidth="1"/>
    <col min="1027" max="1027" width="15.625" style="2869" customWidth="1"/>
    <col min="1028" max="1028" width="9.375" style="2869" bestFit="1" customWidth="1"/>
    <col min="1029" max="1029" width="13.5" style="2869" customWidth="1"/>
    <col min="1030" max="1030" width="9" style="2869"/>
    <col min="1031" max="1031" width="9.375" style="2869" bestFit="1" customWidth="1"/>
    <col min="1032" max="1033" width="9" style="2869"/>
    <col min="1034" max="1034" width="9.375" style="2869" bestFit="1" customWidth="1"/>
    <col min="1035" max="1035" width="4" style="2869" customWidth="1"/>
    <col min="1036" max="1036" width="5.125" style="2869" customWidth="1"/>
    <col min="1037" max="1037" width="13.625" style="2869" customWidth="1"/>
    <col min="1038" max="1280" width="9" style="2869"/>
    <col min="1281" max="1281" width="4.875" style="2869" customWidth="1"/>
    <col min="1282" max="1282" width="13.125" style="2869" customWidth="1"/>
    <col min="1283" max="1283" width="15.625" style="2869" customWidth="1"/>
    <col min="1284" max="1284" width="9.375" style="2869" bestFit="1" customWidth="1"/>
    <col min="1285" max="1285" width="13.5" style="2869" customWidth="1"/>
    <col min="1286" max="1286" width="9" style="2869"/>
    <col min="1287" max="1287" width="9.375" style="2869" bestFit="1" customWidth="1"/>
    <col min="1288" max="1289" width="9" style="2869"/>
    <col min="1290" max="1290" width="9.375" style="2869" bestFit="1" customWidth="1"/>
    <col min="1291" max="1291" width="4" style="2869" customWidth="1"/>
    <col min="1292" max="1292" width="5.125" style="2869" customWidth="1"/>
    <col min="1293" max="1293" width="13.625" style="2869" customWidth="1"/>
    <col min="1294" max="1536" width="9" style="2869"/>
    <col min="1537" max="1537" width="4.875" style="2869" customWidth="1"/>
    <col min="1538" max="1538" width="13.125" style="2869" customWidth="1"/>
    <col min="1539" max="1539" width="15.625" style="2869" customWidth="1"/>
    <col min="1540" max="1540" width="9.375" style="2869" bestFit="1" customWidth="1"/>
    <col min="1541" max="1541" width="13.5" style="2869" customWidth="1"/>
    <col min="1542" max="1542" width="9" style="2869"/>
    <col min="1543" max="1543" width="9.375" style="2869" bestFit="1" customWidth="1"/>
    <col min="1544" max="1545" width="9" style="2869"/>
    <col min="1546" max="1546" width="9.375" style="2869" bestFit="1" customWidth="1"/>
    <col min="1547" max="1547" width="4" style="2869" customWidth="1"/>
    <col min="1548" max="1548" width="5.125" style="2869" customWidth="1"/>
    <col min="1549" max="1549" width="13.625" style="2869" customWidth="1"/>
    <col min="1550" max="1792" width="9" style="2869"/>
    <col min="1793" max="1793" width="4.875" style="2869" customWidth="1"/>
    <col min="1794" max="1794" width="13.125" style="2869" customWidth="1"/>
    <col min="1795" max="1795" width="15.625" style="2869" customWidth="1"/>
    <col min="1796" max="1796" width="9.375" style="2869" bestFit="1" customWidth="1"/>
    <col min="1797" max="1797" width="13.5" style="2869" customWidth="1"/>
    <col min="1798" max="1798" width="9" style="2869"/>
    <col min="1799" max="1799" width="9.375" style="2869" bestFit="1" customWidth="1"/>
    <col min="1800" max="1801" width="9" style="2869"/>
    <col min="1802" max="1802" width="9.375" style="2869" bestFit="1" customWidth="1"/>
    <col min="1803" max="1803" width="4" style="2869" customWidth="1"/>
    <col min="1804" max="1804" width="5.125" style="2869" customWidth="1"/>
    <col min="1805" max="1805" width="13.625" style="2869" customWidth="1"/>
    <col min="1806" max="2048" width="9" style="2869"/>
    <col min="2049" max="2049" width="4.875" style="2869" customWidth="1"/>
    <col min="2050" max="2050" width="13.125" style="2869" customWidth="1"/>
    <col min="2051" max="2051" width="15.625" style="2869" customWidth="1"/>
    <col min="2052" max="2052" width="9.375" style="2869" bestFit="1" customWidth="1"/>
    <col min="2053" max="2053" width="13.5" style="2869" customWidth="1"/>
    <col min="2054" max="2054" width="9" style="2869"/>
    <col min="2055" max="2055" width="9.375" style="2869" bestFit="1" customWidth="1"/>
    <col min="2056" max="2057" width="9" style="2869"/>
    <col min="2058" max="2058" width="9.375" style="2869" bestFit="1" customWidth="1"/>
    <col min="2059" max="2059" width="4" style="2869" customWidth="1"/>
    <col min="2060" max="2060" width="5.125" style="2869" customWidth="1"/>
    <col min="2061" max="2061" width="13.625" style="2869" customWidth="1"/>
    <col min="2062" max="2304" width="9" style="2869"/>
    <col min="2305" max="2305" width="4.875" style="2869" customWidth="1"/>
    <col min="2306" max="2306" width="13.125" style="2869" customWidth="1"/>
    <col min="2307" max="2307" width="15.625" style="2869" customWidth="1"/>
    <col min="2308" max="2308" width="9.375" style="2869" bestFit="1" customWidth="1"/>
    <col min="2309" max="2309" width="13.5" style="2869" customWidth="1"/>
    <col min="2310" max="2310" width="9" style="2869"/>
    <col min="2311" max="2311" width="9.375" style="2869" bestFit="1" customWidth="1"/>
    <col min="2312" max="2313" width="9" style="2869"/>
    <col min="2314" max="2314" width="9.375" style="2869" bestFit="1" customWidth="1"/>
    <col min="2315" max="2315" width="4" style="2869" customWidth="1"/>
    <col min="2316" max="2316" width="5.125" style="2869" customWidth="1"/>
    <col min="2317" max="2317" width="13.625" style="2869" customWidth="1"/>
    <col min="2318" max="2560" width="9" style="2869"/>
    <col min="2561" max="2561" width="4.875" style="2869" customWidth="1"/>
    <col min="2562" max="2562" width="13.125" style="2869" customWidth="1"/>
    <col min="2563" max="2563" width="15.625" style="2869" customWidth="1"/>
    <col min="2564" max="2564" width="9.375" style="2869" bestFit="1" customWidth="1"/>
    <col min="2565" max="2565" width="13.5" style="2869" customWidth="1"/>
    <col min="2566" max="2566" width="9" style="2869"/>
    <col min="2567" max="2567" width="9.375" style="2869" bestFit="1" customWidth="1"/>
    <col min="2568" max="2569" width="9" style="2869"/>
    <col min="2570" max="2570" width="9.375" style="2869" bestFit="1" customWidth="1"/>
    <col min="2571" max="2571" width="4" style="2869" customWidth="1"/>
    <col min="2572" max="2572" width="5.125" style="2869" customWidth="1"/>
    <col min="2573" max="2573" width="13.625" style="2869" customWidth="1"/>
    <col min="2574" max="2816" width="9" style="2869"/>
    <col min="2817" max="2817" width="4.875" style="2869" customWidth="1"/>
    <col min="2818" max="2818" width="13.125" style="2869" customWidth="1"/>
    <col min="2819" max="2819" width="15.625" style="2869" customWidth="1"/>
    <col min="2820" max="2820" width="9.375" style="2869" bestFit="1" customWidth="1"/>
    <col min="2821" max="2821" width="13.5" style="2869" customWidth="1"/>
    <col min="2822" max="2822" width="9" style="2869"/>
    <col min="2823" max="2823" width="9.375" style="2869" bestFit="1" customWidth="1"/>
    <col min="2824" max="2825" width="9" style="2869"/>
    <col min="2826" max="2826" width="9.375" style="2869" bestFit="1" customWidth="1"/>
    <col min="2827" max="2827" width="4" style="2869" customWidth="1"/>
    <col min="2828" max="2828" width="5.125" style="2869" customWidth="1"/>
    <col min="2829" max="2829" width="13.625" style="2869" customWidth="1"/>
    <col min="2830" max="3072" width="9" style="2869"/>
    <col min="3073" max="3073" width="4.875" style="2869" customWidth="1"/>
    <col min="3074" max="3074" width="13.125" style="2869" customWidth="1"/>
    <col min="3075" max="3075" width="15.625" style="2869" customWidth="1"/>
    <col min="3076" max="3076" width="9.375" style="2869" bestFit="1" customWidth="1"/>
    <col min="3077" max="3077" width="13.5" style="2869" customWidth="1"/>
    <col min="3078" max="3078" width="9" style="2869"/>
    <col min="3079" max="3079" width="9.375" style="2869" bestFit="1" customWidth="1"/>
    <col min="3080" max="3081" width="9" style="2869"/>
    <col min="3082" max="3082" width="9.375" style="2869" bestFit="1" customWidth="1"/>
    <col min="3083" max="3083" width="4" style="2869" customWidth="1"/>
    <col min="3084" max="3084" width="5.125" style="2869" customWidth="1"/>
    <col min="3085" max="3085" width="13.625" style="2869" customWidth="1"/>
    <col min="3086" max="3328" width="9" style="2869"/>
    <col min="3329" max="3329" width="4.875" style="2869" customWidth="1"/>
    <col min="3330" max="3330" width="13.125" style="2869" customWidth="1"/>
    <col min="3331" max="3331" width="15.625" style="2869" customWidth="1"/>
    <col min="3332" max="3332" width="9.375" style="2869" bestFit="1" customWidth="1"/>
    <col min="3333" max="3333" width="13.5" style="2869" customWidth="1"/>
    <col min="3334" max="3334" width="9" style="2869"/>
    <col min="3335" max="3335" width="9.375" style="2869" bestFit="1" customWidth="1"/>
    <col min="3336" max="3337" width="9" style="2869"/>
    <col min="3338" max="3338" width="9.375" style="2869" bestFit="1" customWidth="1"/>
    <col min="3339" max="3339" width="4" style="2869" customWidth="1"/>
    <col min="3340" max="3340" width="5.125" style="2869" customWidth="1"/>
    <col min="3341" max="3341" width="13.625" style="2869" customWidth="1"/>
    <col min="3342" max="3584" width="9" style="2869"/>
    <col min="3585" max="3585" width="4.875" style="2869" customWidth="1"/>
    <col min="3586" max="3586" width="13.125" style="2869" customWidth="1"/>
    <col min="3587" max="3587" width="15.625" style="2869" customWidth="1"/>
    <col min="3588" max="3588" width="9.375" style="2869" bestFit="1" customWidth="1"/>
    <col min="3589" max="3589" width="13.5" style="2869" customWidth="1"/>
    <col min="3590" max="3590" width="9" style="2869"/>
    <col min="3591" max="3591" width="9.375" style="2869" bestFit="1" customWidth="1"/>
    <col min="3592" max="3593" width="9" style="2869"/>
    <col min="3594" max="3594" width="9.375" style="2869" bestFit="1" customWidth="1"/>
    <col min="3595" max="3595" width="4" style="2869" customWidth="1"/>
    <col min="3596" max="3596" width="5.125" style="2869" customWidth="1"/>
    <col min="3597" max="3597" width="13.625" style="2869" customWidth="1"/>
    <col min="3598" max="3840" width="9" style="2869"/>
    <col min="3841" max="3841" width="4.875" style="2869" customWidth="1"/>
    <col min="3842" max="3842" width="13.125" style="2869" customWidth="1"/>
    <col min="3843" max="3843" width="15.625" style="2869" customWidth="1"/>
    <col min="3844" max="3844" width="9.375" style="2869" bestFit="1" customWidth="1"/>
    <col min="3845" max="3845" width="13.5" style="2869" customWidth="1"/>
    <col min="3846" max="3846" width="9" style="2869"/>
    <col min="3847" max="3847" width="9.375" style="2869" bestFit="1" customWidth="1"/>
    <col min="3848" max="3849" width="9" style="2869"/>
    <col min="3850" max="3850" width="9.375" style="2869" bestFit="1" customWidth="1"/>
    <col min="3851" max="3851" width="4" style="2869" customWidth="1"/>
    <col min="3852" max="3852" width="5.125" style="2869" customWidth="1"/>
    <col min="3853" max="3853" width="13.625" style="2869" customWidth="1"/>
    <col min="3854" max="4096" width="9" style="2869"/>
    <col min="4097" max="4097" width="4.875" style="2869" customWidth="1"/>
    <col min="4098" max="4098" width="13.125" style="2869" customWidth="1"/>
    <col min="4099" max="4099" width="15.625" style="2869" customWidth="1"/>
    <col min="4100" max="4100" width="9.375" style="2869" bestFit="1" customWidth="1"/>
    <col min="4101" max="4101" width="13.5" style="2869" customWidth="1"/>
    <col min="4102" max="4102" width="9" style="2869"/>
    <col min="4103" max="4103" width="9.375" style="2869" bestFit="1" customWidth="1"/>
    <col min="4104" max="4105" width="9" style="2869"/>
    <col min="4106" max="4106" width="9.375" style="2869" bestFit="1" customWidth="1"/>
    <col min="4107" max="4107" width="4" style="2869" customWidth="1"/>
    <col min="4108" max="4108" width="5.125" style="2869" customWidth="1"/>
    <col min="4109" max="4109" width="13.625" style="2869" customWidth="1"/>
    <col min="4110" max="4352" width="9" style="2869"/>
    <col min="4353" max="4353" width="4.875" style="2869" customWidth="1"/>
    <col min="4354" max="4354" width="13.125" style="2869" customWidth="1"/>
    <col min="4355" max="4355" width="15.625" style="2869" customWidth="1"/>
    <col min="4356" max="4356" width="9.375" style="2869" bestFit="1" customWidth="1"/>
    <col min="4357" max="4357" width="13.5" style="2869" customWidth="1"/>
    <col min="4358" max="4358" width="9" style="2869"/>
    <col min="4359" max="4359" width="9.375" style="2869" bestFit="1" customWidth="1"/>
    <col min="4360" max="4361" width="9" style="2869"/>
    <col min="4362" max="4362" width="9.375" style="2869" bestFit="1" customWidth="1"/>
    <col min="4363" max="4363" width="4" style="2869" customWidth="1"/>
    <col min="4364" max="4364" width="5.125" style="2869" customWidth="1"/>
    <col min="4365" max="4365" width="13.625" style="2869" customWidth="1"/>
    <col min="4366" max="4608" width="9" style="2869"/>
    <col min="4609" max="4609" width="4.875" style="2869" customWidth="1"/>
    <col min="4610" max="4610" width="13.125" style="2869" customWidth="1"/>
    <col min="4611" max="4611" width="15.625" style="2869" customWidth="1"/>
    <col min="4612" max="4612" width="9.375" style="2869" bestFit="1" customWidth="1"/>
    <col min="4613" max="4613" width="13.5" style="2869" customWidth="1"/>
    <col min="4614" max="4614" width="9" style="2869"/>
    <col min="4615" max="4615" width="9.375" style="2869" bestFit="1" customWidth="1"/>
    <col min="4616" max="4617" width="9" style="2869"/>
    <col min="4618" max="4618" width="9.375" style="2869" bestFit="1" customWidth="1"/>
    <col min="4619" max="4619" width="4" style="2869" customWidth="1"/>
    <col min="4620" max="4620" width="5.125" style="2869" customWidth="1"/>
    <col min="4621" max="4621" width="13.625" style="2869" customWidth="1"/>
    <col min="4622" max="4864" width="9" style="2869"/>
    <col min="4865" max="4865" width="4.875" style="2869" customWidth="1"/>
    <col min="4866" max="4866" width="13.125" style="2869" customWidth="1"/>
    <col min="4867" max="4867" width="15.625" style="2869" customWidth="1"/>
    <col min="4868" max="4868" width="9.375" style="2869" bestFit="1" customWidth="1"/>
    <col min="4869" max="4869" width="13.5" style="2869" customWidth="1"/>
    <col min="4870" max="4870" width="9" style="2869"/>
    <col min="4871" max="4871" width="9.375" style="2869" bestFit="1" customWidth="1"/>
    <col min="4872" max="4873" width="9" style="2869"/>
    <col min="4874" max="4874" width="9.375" style="2869" bestFit="1" customWidth="1"/>
    <col min="4875" max="4875" width="4" style="2869" customWidth="1"/>
    <col min="4876" max="4876" width="5.125" style="2869" customWidth="1"/>
    <col min="4877" max="4877" width="13.625" style="2869" customWidth="1"/>
    <col min="4878" max="5120" width="9" style="2869"/>
    <col min="5121" max="5121" width="4.875" style="2869" customWidth="1"/>
    <col min="5122" max="5122" width="13.125" style="2869" customWidth="1"/>
    <col min="5123" max="5123" width="15.625" style="2869" customWidth="1"/>
    <col min="5124" max="5124" width="9.375" style="2869" bestFit="1" customWidth="1"/>
    <col min="5125" max="5125" width="13.5" style="2869" customWidth="1"/>
    <col min="5126" max="5126" width="9" style="2869"/>
    <col min="5127" max="5127" width="9.375" style="2869" bestFit="1" customWidth="1"/>
    <col min="5128" max="5129" width="9" style="2869"/>
    <col min="5130" max="5130" width="9.375" style="2869" bestFit="1" customWidth="1"/>
    <col min="5131" max="5131" width="4" style="2869" customWidth="1"/>
    <col min="5132" max="5132" width="5.125" style="2869" customWidth="1"/>
    <col min="5133" max="5133" width="13.625" style="2869" customWidth="1"/>
    <col min="5134" max="5376" width="9" style="2869"/>
    <col min="5377" max="5377" width="4.875" style="2869" customWidth="1"/>
    <col min="5378" max="5378" width="13.125" style="2869" customWidth="1"/>
    <col min="5379" max="5379" width="15.625" style="2869" customWidth="1"/>
    <col min="5380" max="5380" width="9.375" style="2869" bestFit="1" customWidth="1"/>
    <col min="5381" max="5381" width="13.5" style="2869" customWidth="1"/>
    <col min="5382" max="5382" width="9" style="2869"/>
    <col min="5383" max="5383" width="9.375" style="2869" bestFit="1" customWidth="1"/>
    <col min="5384" max="5385" width="9" style="2869"/>
    <col min="5386" max="5386" width="9.375" style="2869" bestFit="1" customWidth="1"/>
    <col min="5387" max="5387" width="4" style="2869" customWidth="1"/>
    <col min="5388" max="5388" width="5.125" style="2869" customWidth="1"/>
    <col min="5389" max="5389" width="13.625" style="2869" customWidth="1"/>
    <col min="5390" max="5632" width="9" style="2869"/>
    <col min="5633" max="5633" width="4.875" style="2869" customWidth="1"/>
    <col min="5634" max="5634" width="13.125" style="2869" customWidth="1"/>
    <col min="5635" max="5635" width="15.625" style="2869" customWidth="1"/>
    <col min="5636" max="5636" width="9.375" style="2869" bestFit="1" customWidth="1"/>
    <col min="5637" max="5637" width="13.5" style="2869" customWidth="1"/>
    <col min="5638" max="5638" width="9" style="2869"/>
    <col min="5639" max="5639" width="9.375" style="2869" bestFit="1" customWidth="1"/>
    <col min="5640" max="5641" width="9" style="2869"/>
    <col min="5642" max="5642" width="9.375" style="2869" bestFit="1" customWidth="1"/>
    <col min="5643" max="5643" width="4" style="2869" customWidth="1"/>
    <col min="5644" max="5644" width="5.125" style="2869" customWidth="1"/>
    <col min="5645" max="5645" width="13.625" style="2869" customWidth="1"/>
    <col min="5646" max="5888" width="9" style="2869"/>
    <col min="5889" max="5889" width="4.875" style="2869" customWidth="1"/>
    <col min="5890" max="5890" width="13.125" style="2869" customWidth="1"/>
    <col min="5891" max="5891" width="15.625" style="2869" customWidth="1"/>
    <col min="5892" max="5892" width="9.375" style="2869" bestFit="1" customWidth="1"/>
    <col min="5893" max="5893" width="13.5" style="2869" customWidth="1"/>
    <col min="5894" max="5894" width="9" style="2869"/>
    <col min="5895" max="5895" width="9.375" style="2869" bestFit="1" customWidth="1"/>
    <col min="5896" max="5897" width="9" style="2869"/>
    <col min="5898" max="5898" width="9.375" style="2869" bestFit="1" customWidth="1"/>
    <col min="5899" max="5899" width="4" style="2869" customWidth="1"/>
    <col min="5900" max="5900" width="5.125" style="2869" customWidth="1"/>
    <col min="5901" max="5901" width="13.625" style="2869" customWidth="1"/>
    <col min="5902" max="6144" width="9" style="2869"/>
    <col min="6145" max="6145" width="4.875" style="2869" customWidth="1"/>
    <col min="6146" max="6146" width="13.125" style="2869" customWidth="1"/>
    <col min="6147" max="6147" width="15.625" style="2869" customWidth="1"/>
    <col min="6148" max="6148" width="9.375" style="2869" bestFit="1" customWidth="1"/>
    <col min="6149" max="6149" width="13.5" style="2869" customWidth="1"/>
    <col min="6150" max="6150" width="9" style="2869"/>
    <col min="6151" max="6151" width="9.375" style="2869" bestFit="1" customWidth="1"/>
    <col min="6152" max="6153" width="9" style="2869"/>
    <col min="6154" max="6154" width="9.375" style="2869" bestFit="1" customWidth="1"/>
    <col min="6155" max="6155" width="4" style="2869" customWidth="1"/>
    <col min="6156" max="6156" width="5.125" style="2869" customWidth="1"/>
    <col min="6157" max="6157" width="13.625" style="2869" customWidth="1"/>
    <col min="6158" max="6400" width="9" style="2869"/>
    <col min="6401" max="6401" width="4.875" style="2869" customWidth="1"/>
    <col min="6402" max="6402" width="13.125" style="2869" customWidth="1"/>
    <col min="6403" max="6403" width="15.625" style="2869" customWidth="1"/>
    <col min="6404" max="6404" width="9.375" style="2869" bestFit="1" customWidth="1"/>
    <col min="6405" max="6405" width="13.5" style="2869" customWidth="1"/>
    <col min="6406" max="6406" width="9" style="2869"/>
    <col min="6407" max="6407" width="9.375" style="2869" bestFit="1" customWidth="1"/>
    <col min="6408" max="6409" width="9" style="2869"/>
    <col min="6410" max="6410" width="9.375" style="2869" bestFit="1" customWidth="1"/>
    <col min="6411" max="6411" width="4" style="2869" customWidth="1"/>
    <col min="6412" max="6412" width="5.125" style="2869" customWidth="1"/>
    <col min="6413" max="6413" width="13.625" style="2869" customWidth="1"/>
    <col min="6414" max="6656" width="9" style="2869"/>
    <col min="6657" max="6657" width="4.875" style="2869" customWidth="1"/>
    <col min="6658" max="6658" width="13.125" style="2869" customWidth="1"/>
    <col min="6659" max="6659" width="15.625" style="2869" customWidth="1"/>
    <col min="6660" max="6660" width="9.375" style="2869" bestFit="1" customWidth="1"/>
    <col min="6661" max="6661" width="13.5" style="2869" customWidth="1"/>
    <col min="6662" max="6662" width="9" style="2869"/>
    <col min="6663" max="6663" width="9.375" style="2869" bestFit="1" customWidth="1"/>
    <col min="6664" max="6665" width="9" style="2869"/>
    <col min="6666" max="6666" width="9.375" style="2869" bestFit="1" customWidth="1"/>
    <col min="6667" max="6667" width="4" style="2869" customWidth="1"/>
    <col min="6668" max="6668" width="5.125" style="2869" customWidth="1"/>
    <col min="6669" max="6669" width="13.625" style="2869" customWidth="1"/>
    <col min="6670" max="6912" width="9" style="2869"/>
    <col min="6913" max="6913" width="4.875" style="2869" customWidth="1"/>
    <col min="6914" max="6914" width="13.125" style="2869" customWidth="1"/>
    <col min="6915" max="6915" width="15.625" style="2869" customWidth="1"/>
    <col min="6916" max="6916" width="9.375" style="2869" bestFit="1" customWidth="1"/>
    <col min="6917" max="6917" width="13.5" style="2869" customWidth="1"/>
    <col min="6918" max="6918" width="9" style="2869"/>
    <col min="6919" max="6919" width="9.375" style="2869" bestFit="1" customWidth="1"/>
    <col min="6920" max="6921" width="9" style="2869"/>
    <col min="6922" max="6922" width="9.375" style="2869" bestFit="1" customWidth="1"/>
    <col min="6923" max="6923" width="4" style="2869" customWidth="1"/>
    <col min="6924" max="6924" width="5.125" style="2869" customWidth="1"/>
    <col min="6925" max="6925" width="13.625" style="2869" customWidth="1"/>
    <col min="6926" max="7168" width="9" style="2869"/>
    <col min="7169" max="7169" width="4.875" style="2869" customWidth="1"/>
    <col min="7170" max="7170" width="13.125" style="2869" customWidth="1"/>
    <col min="7171" max="7171" width="15.625" style="2869" customWidth="1"/>
    <col min="7172" max="7172" width="9.375" style="2869" bestFit="1" customWidth="1"/>
    <col min="7173" max="7173" width="13.5" style="2869" customWidth="1"/>
    <col min="7174" max="7174" width="9" style="2869"/>
    <col min="7175" max="7175" width="9.375" style="2869" bestFit="1" customWidth="1"/>
    <col min="7176" max="7177" width="9" style="2869"/>
    <col min="7178" max="7178" width="9.375" style="2869" bestFit="1" customWidth="1"/>
    <col min="7179" max="7179" width="4" style="2869" customWidth="1"/>
    <col min="7180" max="7180" width="5.125" style="2869" customWidth="1"/>
    <col min="7181" max="7181" width="13.625" style="2869" customWidth="1"/>
    <col min="7182" max="7424" width="9" style="2869"/>
    <col min="7425" max="7425" width="4.875" style="2869" customWidth="1"/>
    <col min="7426" max="7426" width="13.125" style="2869" customWidth="1"/>
    <col min="7427" max="7427" width="15.625" style="2869" customWidth="1"/>
    <col min="7428" max="7428" width="9.375" style="2869" bestFit="1" customWidth="1"/>
    <col min="7429" max="7429" width="13.5" style="2869" customWidth="1"/>
    <col min="7430" max="7430" width="9" style="2869"/>
    <col min="7431" max="7431" width="9.375" style="2869" bestFit="1" customWidth="1"/>
    <col min="7432" max="7433" width="9" style="2869"/>
    <col min="7434" max="7434" width="9.375" style="2869" bestFit="1" customWidth="1"/>
    <col min="7435" max="7435" width="4" style="2869" customWidth="1"/>
    <col min="7436" max="7436" width="5.125" style="2869" customWidth="1"/>
    <col min="7437" max="7437" width="13.625" style="2869" customWidth="1"/>
    <col min="7438" max="7680" width="9" style="2869"/>
    <col min="7681" max="7681" width="4.875" style="2869" customWidth="1"/>
    <col min="7682" max="7682" width="13.125" style="2869" customWidth="1"/>
    <col min="7683" max="7683" width="15.625" style="2869" customWidth="1"/>
    <col min="7684" max="7684" width="9.375" style="2869" bestFit="1" customWidth="1"/>
    <col min="7685" max="7685" width="13.5" style="2869" customWidth="1"/>
    <col min="7686" max="7686" width="9" style="2869"/>
    <col min="7687" max="7687" width="9.375" style="2869" bestFit="1" customWidth="1"/>
    <col min="7688" max="7689" width="9" style="2869"/>
    <col min="7690" max="7690" width="9.375" style="2869" bestFit="1" customWidth="1"/>
    <col min="7691" max="7691" width="4" style="2869" customWidth="1"/>
    <col min="7692" max="7692" width="5.125" style="2869" customWidth="1"/>
    <col min="7693" max="7693" width="13.625" style="2869" customWidth="1"/>
    <col min="7694" max="7936" width="9" style="2869"/>
    <col min="7937" max="7937" width="4.875" style="2869" customWidth="1"/>
    <col min="7938" max="7938" width="13.125" style="2869" customWidth="1"/>
    <col min="7939" max="7939" width="15.625" style="2869" customWidth="1"/>
    <col min="7940" max="7940" width="9.375" style="2869" bestFit="1" customWidth="1"/>
    <col min="7941" max="7941" width="13.5" style="2869" customWidth="1"/>
    <col min="7942" max="7942" width="9" style="2869"/>
    <col min="7943" max="7943" width="9.375" style="2869" bestFit="1" customWidth="1"/>
    <col min="7944" max="7945" width="9" style="2869"/>
    <col min="7946" max="7946" width="9.375" style="2869" bestFit="1" customWidth="1"/>
    <col min="7947" max="7947" width="4" style="2869" customWidth="1"/>
    <col min="7948" max="7948" width="5.125" style="2869" customWidth="1"/>
    <col min="7949" max="7949" width="13.625" style="2869" customWidth="1"/>
    <col min="7950" max="8192" width="9" style="2869"/>
    <col min="8193" max="8193" width="4.875" style="2869" customWidth="1"/>
    <col min="8194" max="8194" width="13.125" style="2869" customWidth="1"/>
    <col min="8195" max="8195" width="15.625" style="2869" customWidth="1"/>
    <col min="8196" max="8196" width="9.375" style="2869" bestFit="1" customWidth="1"/>
    <col min="8197" max="8197" width="13.5" style="2869" customWidth="1"/>
    <col min="8198" max="8198" width="9" style="2869"/>
    <col min="8199" max="8199" width="9.375" style="2869" bestFit="1" customWidth="1"/>
    <col min="8200" max="8201" width="9" style="2869"/>
    <col min="8202" max="8202" width="9.375" style="2869" bestFit="1" customWidth="1"/>
    <col min="8203" max="8203" width="4" style="2869" customWidth="1"/>
    <col min="8204" max="8204" width="5.125" style="2869" customWidth="1"/>
    <col min="8205" max="8205" width="13.625" style="2869" customWidth="1"/>
    <col min="8206" max="8448" width="9" style="2869"/>
    <col min="8449" max="8449" width="4.875" style="2869" customWidth="1"/>
    <col min="8450" max="8450" width="13.125" style="2869" customWidth="1"/>
    <col min="8451" max="8451" width="15.625" style="2869" customWidth="1"/>
    <col min="8452" max="8452" width="9.375" style="2869" bestFit="1" customWidth="1"/>
    <col min="8453" max="8453" width="13.5" style="2869" customWidth="1"/>
    <col min="8454" max="8454" width="9" style="2869"/>
    <col min="8455" max="8455" width="9.375" style="2869" bestFit="1" customWidth="1"/>
    <col min="8456" max="8457" width="9" style="2869"/>
    <col min="8458" max="8458" width="9.375" style="2869" bestFit="1" customWidth="1"/>
    <col min="8459" max="8459" width="4" style="2869" customWidth="1"/>
    <col min="8460" max="8460" width="5.125" style="2869" customWidth="1"/>
    <col min="8461" max="8461" width="13.625" style="2869" customWidth="1"/>
    <col min="8462" max="8704" width="9" style="2869"/>
    <col min="8705" max="8705" width="4.875" style="2869" customWidth="1"/>
    <col min="8706" max="8706" width="13.125" style="2869" customWidth="1"/>
    <col min="8707" max="8707" width="15.625" style="2869" customWidth="1"/>
    <col min="8708" max="8708" width="9.375" style="2869" bestFit="1" customWidth="1"/>
    <col min="8709" max="8709" width="13.5" style="2869" customWidth="1"/>
    <col min="8710" max="8710" width="9" style="2869"/>
    <col min="8711" max="8711" width="9.375" style="2869" bestFit="1" customWidth="1"/>
    <col min="8712" max="8713" width="9" style="2869"/>
    <col min="8714" max="8714" width="9.375" style="2869" bestFit="1" customWidth="1"/>
    <col min="8715" max="8715" width="4" style="2869" customWidth="1"/>
    <col min="8716" max="8716" width="5.125" style="2869" customWidth="1"/>
    <col min="8717" max="8717" width="13.625" style="2869" customWidth="1"/>
    <col min="8718" max="8960" width="9" style="2869"/>
    <col min="8961" max="8961" width="4.875" style="2869" customWidth="1"/>
    <col min="8962" max="8962" width="13.125" style="2869" customWidth="1"/>
    <col min="8963" max="8963" width="15.625" style="2869" customWidth="1"/>
    <col min="8964" max="8964" width="9.375" style="2869" bestFit="1" customWidth="1"/>
    <col min="8965" max="8965" width="13.5" style="2869" customWidth="1"/>
    <col min="8966" max="8966" width="9" style="2869"/>
    <col min="8967" max="8967" width="9.375" style="2869" bestFit="1" customWidth="1"/>
    <col min="8968" max="8969" width="9" style="2869"/>
    <col min="8970" max="8970" width="9.375" style="2869" bestFit="1" customWidth="1"/>
    <col min="8971" max="8971" width="4" style="2869" customWidth="1"/>
    <col min="8972" max="8972" width="5.125" style="2869" customWidth="1"/>
    <col min="8973" max="8973" width="13.625" style="2869" customWidth="1"/>
    <col min="8974" max="9216" width="9" style="2869"/>
    <col min="9217" max="9217" width="4.875" style="2869" customWidth="1"/>
    <col min="9218" max="9218" width="13.125" style="2869" customWidth="1"/>
    <col min="9219" max="9219" width="15.625" style="2869" customWidth="1"/>
    <col min="9220" max="9220" width="9.375" style="2869" bestFit="1" customWidth="1"/>
    <col min="9221" max="9221" width="13.5" style="2869" customWidth="1"/>
    <col min="9222" max="9222" width="9" style="2869"/>
    <col min="9223" max="9223" width="9.375" style="2869" bestFit="1" customWidth="1"/>
    <col min="9224" max="9225" width="9" style="2869"/>
    <col min="9226" max="9226" width="9.375" style="2869" bestFit="1" customWidth="1"/>
    <col min="9227" max="9227" width="4" style="2869" customWidth="1"/>
    <col min="9228" max="9228" width="5.125" style="2869" customWidth="1"/>
    <col min="9229" max="9229" width="13.625" style="2869" customWidth="1"/>
    <col min="9230" max="9472" width="9" style="2869"/>
    <col min="9473" max="9473" width="4.875" style="2869" customWidth="1"/>
    <col min="9474" max="9474" width="13.125" style="2869" customWidth="1"/>
    <col min="9475" max="9475" width="15.625" style="2869" customWidth="1"/>
    <col min="9476" max="9476" width="9.375" style="2869" bestFit="1" customWidth="1"/>
    <col min="9477" max="9477" width="13.5" style="2869" customWidth="1"/>
    <col min="9478" max="9478" width="9" style="2869"/>
    <col min="9479" max="9479" width="9.375" style="2869" bestFit="1" customWidth="1"/>
    <col min="9480" max="9481" width="9" style="2869"/>
    <col min="9482" max="9482" width="9.375" style="2869" bestFit="1" customWidth="1"/>
    <col min="9483" max="9483" width="4" style="2869" customWidth="1"/>
    <col min="9484" max="9484" width="5.125" style="2869" customWidth="1"/>
    <col min="9485" max="9485" width="13.625" style="2869" customWidth="1"/>
    <col min="9486" max="9728" width="9" style="2869"/>
    <col min="9729" max="9729" width="4.875" style="2869" customWidth="1"/>
    <col min="9730" max="9730" width="13.125" style="2869" customWidth="1"/>
    <col min="9731" max="9731" width="15.625" style="2869" customWidth="1"/>
    <col min="9732" max="9732" width="9.375" style="2869" bestFit="1" customWidth="1"/>
    <col min="9733" max="9733" width="13.5" style="2869" customWidth="1"/>
    <col min="9734" max="9734" width="9" style="2869"/>
    <col min="9735" max="9735" width="9.375" style="2869" bestFit="1" customWidth="1"/>
    <col min="9736" max="9737" width="9" style="2869"/>
    <col min="9738" max="9738" width="9.375" style="2869" bestFit="1" customWidth="1"/>
    <col min="9739" max="9739" width="4" style="2869" customWidth="1"/>
    <col min="9740" max="9740" width="5.125" style="2869" customWidth="1"/>
    <col min="9741" max="9741" width="13.625" style="2869" customWidth="1"/>
    <col min="9742" max="9984" width="9" style="2869"/>
    <col min="9985" max="9985" width="4.875" style="2869" customWidth="1"/>
    <col min="9986" max="9986" width="13.125" style="2869" customWidth="1"/>
    <col min="9987" max="9987" width="15.625" style="2869" customWidth="1"/>
    <col min="9988" max="9988" width="9.375" style="2869" bestFit="1" customWidth="1"/>
    <col min="9989" max="9989" width="13.5" style="2869" customWidth="1"/>
    <col min="9990" max="9990" width="9" style="2869"/>
    <col min="9991" max="9991" width="9.375" style="2869" bestFit="1" customWidth="1"/>
    <col min="9992" max="9993" width="9" style="2869"/>
    <col min="9994" max="9994" width="9.375" style="2869" bestFit="1" customWidth="1"/>
    <col min="9995" max="9995" width="4" style="2869" customWidth="1"/>
    <col min="9996" max="9996" width="5.125" style="2869" customWidth="1"/>
    <col min="9997" max="9997" width="13.625" style="2869" customWidth="1"/>
    <col min="9998" max="10240" width="9" style="2869"/>
    <col min="10241" max="10241" width="4.875" style="2869" customWidth="1"/>
    <col min="10242" max="10242" width="13.125" style="2869" customWidth="1"/>
    <col min="10243" max="10243" width="15.625" style="2869" customWidth="1"/>
    <col min="10244" max="10244" width="9.375" style="2869" bestFit="1" customWidth="1"/>
    <col min="10245" max="10245" width="13.5" style="2869" customWidth="1"/>
    <col min="10246" max="10246" width="9" style="2869"/>
    <col min="10247" max="10247" width="9.375" style="2869" bestFit="1" customWidth="1"/>
    <col min="10248" max="10249" width="9" style="2869"/>
    <col min="10250" max="10250" width="9.375" style="2869" bestFit="1" customWidth="1"/>
    <col min="10251" max="10251" width="4" style="2869" customWidth="1"/>
    <col min="10252" max="10252" width="5.125" style="2869" customWidth="1"/>
    <col min="10253" max="10253" width="13.625" style="2869" customWidth="1"/>
    <col min="10254" max="10496" width="9" style="2869"/>
    <col min="10497" max="10497" width="4.875" style="2869" customWidth="1"/>
    <col min="10498" max="10498" width="13.125" style="2869" customWidth="1"/>
    <col min="10499" max="10499" width="15.625" style="2869" customWidth="1"/>
    <col min="10500" max="10500" width="9.375" style="2869" bestFit="1" customWidth="1"/>
    <col min="10501" max="10501" width="13.5" style="2869" customWidth="1"/>
    <col min="10502" max="10502" width="9" style="2869"/>
    <col min="10503" max="10503" width="9.375" style="2869" bestFit="1" customWidth="1"/>
    <col min="10504" max="10505" width="9" style="2869"/>
    <col min="10506" max="10506" width="9.375" style="2869" bestFit="1" customWidth="1"/>
    <col min="10507" max="10507" width="4" style="2869" customWidth="1"/>
    <col min="10508" max="10508" width="5.125" style="2869" customWidth="1"/>
    <col min="10509" max="10509" width="13.625" style="2869" customWidth="1"/>
    <col min="10510" max="10752" width="9" style="2869"/>
    <col min="10753" max="10753" width="4.875" style="2869" customWidth="1"/>
    <col min="10754" max="10754" width="13.125" style="2869" customWidth="1"/>
    <col min="10755" max="10755" width="15.625" style="2869" customWidth="1"/>
    <col min="10756" max="10756" width="9.375" style="2869" bestFit="1" customWidth="1"/>
    <col min="10757" max="10757" width="13.5" style="2869" customWidth="1"/>
    <col min="10758" max="10758" width="9" style="2869"/>
    <col min="10759" max="10759" width="9.375" style="2869" bestFit="1" customWidth="1"/>
    <col min="10760" max="10761" width="9" style="2869"/>
    <col min="10762" max="10762" width="9.375" style="2869" bestFit="1" customWidth="1"/>
    <col min="10763" max="10763" width="4" style="2869" customWidth="1"/>
    <col min="10764" max="10764" width="5.125" style="2869" customWidth="1"/>
    <col min="10765" max="10765" width="13.625" style="2869" customWidth="1"/>
    <col min="10766" max="11008" width="9" style="2869"/>
    <col min="11009" max="11009" width="4.875" style="2869" customWidth="1"/>
    <col min="11010" max="11010" width="13.125" style="2869" customWidth="1"/>
    <col min="11011" max="11011" width="15.625" style="2869" customWidth="1"/>
    <col min="11012" max="11012" width="9.375" style="2869" bestFit="1" customWidth="1"/>
    <col min="11013" max="11013" width="13.5" style="2869" customWidth="1"/>
    <col min="11014" max="11014" width="9" style="2869"/>
    <col min="11015" max="11015" width="9.375" style="2869" bestFit="1" customWidth="1"/>
    <col min="11016" max="11017" width="9" style="2869"/>
    <col min="11018" max="11018" width="9.375" style="2869" bestFit="1" customWidth="1"/>
    <col min="11019" max="11019" width="4" style="2869" customWidth="1"/>
    <col min="11020" max="11020" width="5.125" style="2869" customWidth="1"/>
    <col min="11021" max="11021" width="13.625" style="2869" customWidth="1"/>
    <col min="11022" max="11264" width="9" style="2869"/>
    <col min="11265" max="11265" width="4.875" style="2869" customWidth="1"/>
    <col min="11266" max="11266" width="13.125" style="2869" customWidth="1"/>
    <col min="11267" max="11267" width="15.625" style="2869" customWidth="1"/>
    <col min="11268" max="11268" width="9.375" style="2869" bestFit="1" customWidth="1"/>
    <col min="11269" max="11269" width="13.5" style="2869" customWidth="1"/>
    <col min="11270" max="11270" width="9" style="2869"/>
    <col min="11271" max="11271" width="9.375" style="2869" bestFit="1" customWidth="1"/>
    <col min="11272" max="11273" width="9" style="2869"/>
    <col min="11274" max="11274" width="9.375" style="2869" bestFit="1" customWidth="1"/>
    <col min="11275" max="11275" width="4" style="2869" customWidth="1"/>
    <col min="11276" max="11276" width="5.125" style="2869" customWidth="1"/>
    <col min="11277" max="11277" width="13.625" style="2869" customWidth="1"/>
    <col min="11278" max="11520" width="9" style="2869"/>
    <col min="11521" max="11521" width="4.875" style="2869" customWidth="1"/>
    <col min="11522" max="11522" width="13.125" style="2869" customWidth="1"/>
    <col min="11523" max="11523" width="15.625" style="2869" customWidth="1"/>
    <col min="11524" max="11524" width="9.375" style="2869" bestFit="1" customWidth="1"/>
    <col min="11525" max="11525" width="13.5" style="2869" customWidth="1"/>
    <col min="11526" max="11526" width="9" style="2869"/>
    <col min="11527" max="11527" width="9.375" style="2869" bestFit="1" customWidth="1"/>
    <col min="11528" max="11529" width="9" style="2869"/>
    <col min="11530" max="11530" width="9.375" style="2869" bestFit="1" customWidth="1"/>
    <col min="11531" max="11531" width="4" style="2869" customWidth="1"/>
    <col min="11532" max="11532" width="5.125" style="2869" customWidth="1"/>
    <col min="11533" max="11533" width="13.625" style="2869" customWidth="1"/>
    <col min="11534" max="11776" width="9" style="2869"/>
    <col min="11777" max="11777" width="4.875" style="2869" customWidth="1"/>
    <col min="11778" max="11778" width="13.125" style="2869" customWidth="1"/>
    <col min="11779" max="11779" width="15.625" style="2869" customWidth="1"/>
    <col min="11780" max="11780" width="9.375" style="2869" bestFit="1" customWidth="1"/>
    <col min="11781" max="11781" width="13.5" style="2869" customWidth="1"/>
    <col min="11782" max="11782" width="9" style="2869"/>
    <col min="11783" max="11783" width="9.375" style="2869" bestFit="1" customWidth="1"/>
    <col min="11784" max="11785" width="9" style="2869"/>
    <col min="11786" max="11786" width="9.375" style="2869" bestFit="1" customWidth="1"/>
    <col min="11787" max="11787" width="4" style="2869" customWidth="1"/>
    <col min="11788" max="11788" width="5.125" style="2869" customWidth="1"/>
    <col min="11789" max="11789" width="13.625" style="2869" customWidth="1"/>
    <col min="11790" max="12032" width="9" style="2869"/>
    <col min="12033" max="12033" width="4.875" style="2869" customWidth="1"/>
    <col min="12034" max="12034" width="13.125" style="2869" customWidth="1"/>
    <col min="12035" max="12035" width="15.625" style="2869" customWidth="1"/>
    <col min="12036" max="12036" width="9.375" style="2869" bestFit="1" customWidth="1"/>
    <col min="12037" max="12037" width="13.5" style="2869" customWidth="1"/>
    <col min="12038" max="12038" width="9" style="2869"/>
    <col min="12039" max="12039" width="9.375" style="2869" bestFit="1" customWidth="1"/>
    <col min="12040" max="12041" width="9" style="2869"/>
    <col min="12042" max="12042" width="9.375" style="2869" bestFit="1" customWidth="1"/>
    <col min="12043" max="12043" width="4" style="2869" customWidth="1"/>
    <col min="12044" max="12044" width="5.125" style="2869" customWidth="1"/>
    <col min="12045" max="12045" width="13.625" style="2869" customWidth="1"/>
    <col min="12046" max="12288" width="9" style="2869"/>
    <col min="12289" max="12289" width="4.875" style="2869" customWidth="1"/>
    <col min="12290" max="12290" width="13.125" style="2869" customWidth="1"/>
    <col min="12291" max="12291" width="15.625" style="2869" customWidth="1"/>
    <col min="12292" max="12292" width="9.375" style="2869" bestFit="1" customWidth="1"/>
    <col min="12293" max="12293" width="13.5" style="2869" customWidth="1"/>
    <col min="12294" max="12294" width="9" style="2869"/>
    <col min="12295" max="12295" width="9.375" style="2869" bestFit="1" customWidth="1"/>
    <col min="12296" max="12297" width="9" style="2869"/>
    <col min="12298" max="12298" width="9.375" style="2869" bestFit="1" customWidth="1"/>
    <col min="12299" max="12299" width="4" style="2869" customWidth="1"/>
    <col min="12300" max="12300" width="5.125" style="2869" customWidth="1"/>
    <col min="12301" max="12301" width="13.625" style="2869" customWidth="1"/>
    <col min="12302" max="12544" width="9" style="2869"/>
    <col min="12545" max="12545" width="4.875" style="2869" customWidth="1"/>
    <col min="12546" max="12546" width="13.125" style="2869" customWidth="1"/>
    <col min="12547" max="12547" width="15.625" style="2869" customWidth="1"/>
    <col min="12548" max="12548" width="9.375" style="2869" bestFit="1" customWidth="1"/>
    <col min="12549" max="12549" width="13.5" style="2869" customWidth="1"/>
    <col min="12550" max="12550" width="9" style="2869"/>
    <col min="12551" max="12551" width="9.375" style="2869" bestFit="1" customWidth="1"/>
    <col min="12552" max="12553" width="9" style="2869"/>
    <col min="12554" max="12554" width="9.375" style="2869" bestFit="1" customWidth="1"/>
    <col min="12555" max="12555" width="4" style="2869" customWidth="1"/>
    <col min="12556" max="12556" width="5.125" style="2869" customWidth="1"/>
    <col min="12557" max="12557" width="13.625" style="2869" customWidth="1"/>
    <col min="12558" max="12800" width="9" style="2869"/>
    <col min="12801" max="12801" width="4.875" style="2869" customWidth="1"/>
    <col min="12802" max="12802" width="13.125" style="2869" customWidth="1"/>
    <col min="12803" max="12803" width="15.625" style="2869" customWidth="1"/>
    <col min="12804" max="12804" width="9.375" style="2869" bestFit="1" customWidth="1"/>
    <col min="12805" max="12805" width="13.5" style="2869" customWidth="1"/>
    <col min="12806" max="12806" width="9" style="2869"/>
    <col min="12807" max="12807" width="9.375" style="2869" bestFit="1" customWidth="1"/>
    <col min="12808" max="12809" width="9" style="2869"/>
    <col min="12810" max="12810" width="9.375" style="2869" bestFit="1" customWidth="1"/>
    <col min="12811" max="12811" width="4" style="2869" customWidth="1"/>
    <col min="12812" max="12812" width="5.125" style="2869" customWidth="1"/>
    <col min="12813" max="12813" width="13.625" style="2869" customWidth="1"/>
    <col min="12814" max="13056" width="9" style="2869"/>
    <col min="13057" max="13057" width="4.875" style="2869" customWidth="1"/>
    <col min="13058" max="13058" width="13.125" style="2869" customWidth="1"/>
    <col min="13059" max="13059" width="15.625" style="2869" customWidth="1"/>
    <col min="13060" max="13060" width="9.375" style="2869" bestFit="1" customWidth="1"/>
    <col min="13061" max="13061" width="13.5" style="2869" customWidth="1"/>
    <col min="13062" max="13062" width="9" style="2869"/>
    <col min="13063" max="13063" width="9.375" style="2869" bestFit="1" customWidth="1"/>
    <col min="13064" max="13065" width="9" style="2869"/>
    <col min="13066" max="13066" width="9.375" style="2869" bestFit="1" customWidth="1"/>
    <col min="13067" max="13067" width="4" style="2869" customWidth="1"/>
    <col min="13068" max="13068" width="5.125" style="2869" customWidth="1"/>
    <col min="13069" max="13069" width="13.625" style="2869" customWidth="1"/>
    <col min="13070" max="13312" width="9" style="2869"/>
    <col min="13313" max="13313" width="4.875" style="2869" customWidth="1"/>
    <col min="13314" max="13314" width="13.125" style="2869" customWidth="1"/>
    <col min="13315" max="13315" width="15.625" style="2869" customWidth="1"/>
    <col min="13316" max="13316" width="9.375" style="2869" bestFit="1" customWidth="1"/>
    <col min="13317" max="13317" width="13.5" style="2869" customWidth="1"/>
    <col min="13318" max="13318" width="9" style="2869"/>
    <col min="13319" max="13319" width="9.375" style="2869" bestFit="1" customWidth="1"/>
    <col min="13320" max="13321" width="9" style="2869"/>
    <col min="13322" max="13322" width="9.375" style="2869" bestFit="1" customWidth="1"/>
    <col min="13323" max="13323" width="4" style="2869" customWidth="1"/>
    <col min="13324" max="13324" width="5.125" style="2869" customWidth="1"/>
    <col min="13325" max="13325" width="13.625" style="2869" customWidth="1"/>
    <col min="13326" max="13568" width="9" style="2869"/>
    <col min="13569" max="13569" width="4.875" style="2869" customWidth="1"/>
    <col min="13570" max="13570" width="13.125" style="2869" customWidth="1"/>
    <col min="13571" max="13571" width="15.625" style="2869" customWidth="1"/>
    <col min="13572" max="13572" width="9.375" style="2869" bestFit="1" customWidth="1"/>
    <col min="13573" max="13573" width="13.5" style="2869" customWidth="1"/>
    <col min="13574" max="13574" width="9" style="2869"/>
    <col min="13575" max="13575" width="9.375" style="2869" bestFit="1" customWidth="1"/>
    <col min="13576" max="13577" width="9" style="2869"/>
    <col min="13578" max="13578" width="9.375" style="2869" bestFit="1" customWidth="1"/>
    <col min="13579" max="13579" width="4" style="2869" customWidth="1"/>
    <col min="13580" max="13580" width="5.125" style="2869" customWidth="1"/>
    <col min="13581" max="13581" width="13.625" style="2869" customWidth="1"/>
    <col min="13582" max="13824" width="9" style="2869"/>
    <col min="13825" max="13825" width="4.875" style="2869" customWidth="1"/>
    <col min="13826" max="13826" width="13.125" style="2869" customWidth="1"/>
    <col min="13827" max="13827" width="15.625" style="2869" customWidth="1"/>
    <col min="13828" max="13828" width="9.375" style="2869" bestFit="1" customWidth="1"/>
    <col min="13829" max="13829" width="13.5" style="2869" customWidth="1"/>
    <col min="13830" max="13830" width="9" style="2869"/>
    <col min="13831" max="13831" width="9.375" style="2869" bestFit="1" customWidth="1"/>
    <col min="13832" max="13833" width="9" style="2869"/>
    <col min="13834" max="13834" width="9.375" style="2869" bestFit="1" customWidth="1"/>
    <col min="13835" max="13835" width="4" style="2869" customWidth="1"/>
    <col min="13836" max="13836" width="5.125" style="2869" customWidth="1"/>
    <col min="13837" max="13837" width="13.625" style="2869" customWidth="1"/>
    <col min="13838" max="14080" width="9" style="2869"/>
    <col min="14081" max="14081" width="4.875" style="2869" customWidth="1"/>
    <col min="14082" max="14082" width="13.125" style="2869" customWidth="1"/>
    <col min="14083" max="14083" width="15.625" style="2869" customWidth="1"/>
    <col min="14084" max="14084" width="9.375" style="2869" bestFit="1" customWidth="1"/>
    <col min="14085" max="14085" width="13.5" style="2869" customWidth="1"/>
    <col min="14086" max="14086" width="9" style="2869"/>
    <col min="14087" max="14087" width="9.375" style="2869" bestFit="1" customWidth="1"/>
    <col min="14088" max="14089" width="9" style="2869"/>
    <col min="14090" max="14090" width="9.375" style="2869" bestFit="1" customWidth="1"/>
    <col min="14091" max="14091" width="4" style="2869" customWidth="1"/>
    <col min="14092" max="14092" width="5.125" style="2869" customWidth="1"/>
    <col min="14093" max="14093" width="13.625" style="2869" customWidth="1"/>
    <col min="14094" max="14336" width="9" style="2869"/>
    <col min="14337" max="14337" width="4.875" style="2869" customWidth="1"/>
    <col min="14338" max="14338" width="13.125" style="2869" customWidth="1"/>
    <col min="14339" max="14339" width="15.625" style="2869" customWidth="1"/>
    <col min="14340" max="14340" width="9.375" style="2869" bestFit="1" customWidth="1"/>
    <col min="14341" max="14341" width="13.5" style="2869" customWidth="1"/>
    <col min="14342" max="14342" width="9" style="2869"/>
    <col min="14343" max="14343" width="9.375" style="2869" bestFit="1" customWidth="1"/>
    <col min="14344" max="14345" width="9" style="2869"/>
    <col min="14346" max="14346" width="9.375" style="2869" bestFit="1" customWidth="1"/>
    <col min="14347" max="14347" width="4" style="2869" customWidth="1"/>
    <col min="14348" max="14348" width="5.125" style="2869" customWidth="1"/>
    <col min="14349" max="14349" width="13.625" style="2869" customWidth="1"/>
    <col min="14350" max="14592" width="9" style="2869"/>
    <col min="14593" max="14593" width="4.875" style="2869" customWidth="1"/>
    <col min="14594" max="14594" width="13.125" style="2869" customWidth="1"/>
    <col min="14595" max="14595" width="15.625" style="2869" customWidth="1"/>
    <col min="14596" max="14596" width="9.375" style="2869" bestFit="1" customWidth="1"/>
    <col min="14597" max="14597" width="13.5" style="2869" customWidth="1"/>
    <col min="14598" max="14598" width="9" style="2869"/>
    <col min="14599" max="14599" width="9.375" style="2869" bestFit="1" customWidth="1"/>
    <col min="14600" max="14601" width="9" style="2869"/>
    <col min="14602" max="14602" width="9.375" style="2869" bestFit="1" customWidth="1"/>
    <col min="14603" max="14603" width="4" style="2869" customWidth="1"/>
    <col min="14604" max="14604" width="5.125" style="2869" customWidth="1"/>
    <col min="14605" max="14605" width="13.625" style="2869" customWidth="1"/>
    <col min="14606" max="14848" width="9" style="2869"/>
    <col min="14849" max="14849" width="4.875" style="2869" customWidth="1"/>
    <col min="14850" max="14850" width="13.125" style="2869" customWidth="1"/>
    <col min="14851" max="14851" width="15.625" style="2869" customWidth="1"/>
    <col min="14852" max="14852" width="9.375" style="2869" bestFit="1" customWidth="1"/>
    <col min="14853" max="14853" width="13.5" style="2869" customWidth="1"/>
    <col min="14854" max="14854" width="9" style="2869"/>
    <col min="14855" max="14855" width="9.375" style="2869" bestFit="1" customWidth="1"/>
    <col min="14856" max="14857" width="9" style="2869"/>
    <col min="14858" max="14858" width="9.375" style="2869" bestFit="1" customWidth="1"/>
    <col min="14859" max="14859" width="4" style="2869" customWidth="1"/>
    <col min="14860" max="14860" width="5.125" style="2869" customWidth="1"/>
    <col min="14861" max="14861" width="13.625" style="2869" customWidth="1"/>
    <col min="14862" max="15104" width="9" style="2869"/>
    <col min="15105" max="15105" width="4.875" style="2869" customWidth="1"/>
    <col min="15106" max="15106" width="13.125" style="2869" customWidth="1"/>
    <col min="15107" max="15107" width="15.625" style="2869" customWidth="1"/>
    <col min="15108" max="15108" width="9.375" style="2869" bestFit="1" customWidth="1"/>
    <col min="15109" max="15109" width="13.5" style="2869" customWidth="1"/>
    <col min="15110" max="15110" width="9" style="2869"/>
    <col min="15111" max="15111" width="9.375" style="2869" bestFit="1" customWidth="1"/>
    <col min="15112" max="15113" width="9" style="2869"/>
    <col min="15114" max="15114" width="9.375" style="2869" bestFit="1" customWidth="1"/>
    <col min="15115" max="15115" width="4" style="2869" customWidth="1"/>
    <col min="15116" max="15116" width="5.125" style="2869" customWidth="1"/>
    <col min="15117" max="15117" width="13.625" style="2869" customWidth="1"/>
    <col min="15118" max="15360" width="9" style="2869"/>
    <col min="15361" max="15361" width="4.875" style="2869" customWidth="1"/>
    <col min="15362" max="15362" width="13.125" style="2869" customWidth="1"/>
    <col min="15363" max="15363" width="15.625" style="2869" customWidth="1"/>
    <col min="15364" max="15364" width="9.375" style="2869" bestFit="1" customWidth="1"/>
    <col min="15365" max="15365" width="13.5" style="2869" customWidth="1"/>
    <col min="15366" max="15366" width="9" style="2869"/>
    <col min="15367" max="15367" width="9.375" style="2869" bestFit="1" customWidth="1"/>
    <col min="15368" max="15369" width="9" style="2869"/>
    <col min="15370" max="15370" width="9.375" style="2869" bestFit="1" customWidth="1"/>
    <col min="15371" max="15371" width="4" style="2869" customWidth="1"/>
    <col min="15372" max="15372" width="5.125" style="2869" customWidth="1"/>
    <col min="15373" max="15373" width="13.625" style="2869" customWidth="1"/>
    <col min="15374" max="15616" width="9" style="2869"/>
    <col min="15617" max="15617" width="4.875" style="2869" customWidth="1"/>
    <col min="15618" max="15618" width="13.125" style="2869" customWidth="1"/>
    <col min="15619" max="15619" width="15.625" style="2869" customWidth="1"/>
    <col min="15620" max="15620" width="9.375" style="2869" bestFit="1" customWidth="1"/>
    <col min="15621" max="15621" width="13.5" style="2869" customWidth="1"/>
    <col min="15622" max="15622" width="9" style="2869"/>
    <col min="15623" max="15623" width="9.375" style="2869" bestFit="1" customWidth="1"/>
    <col min="15624" max="15625" width="9" style="2869"/>
    <col min="15626" max="15626" width="9.375" style="2869" bestFit="1" customWidth="1"/>
    <col min="15627" max="15627" width="4" style="2869" customWidth="1"/>
    <col min="15628" max="15628" width="5.125" style="2869" customWidth="1"/>
    <col min="15629" max="15629" width="13.625" style="2869" customWidth="1"/>
    <col min="15630" max="15872" width="9" style="2869"/>
    <col min="15873" max="15873" width="4.875" style="2869" customWidth="1"/>
    <col min="15874" max="15874" width="13.125" style="2869" customWidth="1"/>
    <col min="15875" max="15875" width="15.625" style="2869" customWidth="1"/>
    <col min="15876" max="15876" width="9.375" style="2869" bestFit="1" customWidth="1"/>
    <col min="15877" max="15877" width="13.5" style="2869" customWidth="1"/>
    <col min="15878" max="15878" width="9" style="2869"/>
    <col min="15879" max="15879" width="9.375" style="2869" bestFit="1" customWidth="1"/>
    <col min="15880" max="15881" width="9" style="2869"/>
    <col min="15882" max="15882" width="9.375" style="2869" bestFit="1" customWidth="1"/>
    <col min="15883" max="15883" width="4" style="2869" customWidth="1"/>
    <col min="15884" max="15884" width="5.125" style="2869" customWidth="1"/>
    <col min="15885" max="15885" width="13.625" style="2869" customWidth="1"/>
    <col min="15886" max="16128" width="9" style="2869"/>
    <col min="16129" max="16129" width="4.875" style="2869" customWidth="1"/>
    <col min="16130" max="16130" width="13.125" style="2869" customWidth="1"/>
    <col min="16131" max="16131" width="15.625" style="2869" customWidth="1"/>
    <col min="16132" max="16132" width="9.375" style="2869" bestFit="1" customWidth="1"/>
    <col min="16133" max="16133" width="13.5" style="2869" customWidth="1"/>
    <col min="16134" max="16134" width="9" style="2869"/>
    <col min="16135" max="16135" width="9.375" style="2869" bestFit="1" customWidth="1"/>
    <col min="16136" max="16137" width="9" style="2869"/>
    <col min="16138" max="16138" width="9.375" style="2869" bestFit="1" customWidth="1"/>
    <col min="16139" max="16139" width="4" style="2869" customWidth="1"/>
    <col min="16140" max="16140" width="5.125" style="2869" customWidth="1"/>
    <col min="16141" max="16141" width="13.625" style="2869" customWidth="1"/>
    <col min="16142" max="16384" width="9" style="2869"/>
  </cols>
  <sheetData>
    <row r="1" spans="1:257" s="2929" customFormat="1" ht="14.25" thickBot="1">
      <c r="A1" s="2928"/>
      <c r="B1" s="2930" t="s">
        <v>2762</v>
      </c>
      <c r="C1" s="2934">
        <f>项目基本情况!D3</f>
        <v>43933</v>
      </c>
      <c r="H1" s="2868">
        <f>IF(C1&gt;C13,0,MATCH(C1,C$13:C$100,-1))+IF(SUMIF(C13:C100,C1,D13:D100)=0,13,12)</f>
        <v>13</v>
      </c>
      <c r="I1" s="2868">
        <f>MATCH(C2,H3:H7,1)+IF(SUMIF(H3:H7,C2,I3:I7)=0,2,1)</f>
        <v>6</v>
      </c>
      <c r="J1" s="2927">
        <f>MATCH(C3,H3:H7,1)+IF(SUMIF(H3:H7,C3,J3:J7)=0,2,1)</f>
        <v>5</v>
      </c>
      <c r="N1" s="2868">
        <f>IF(C1&gt;M13,0,MATCH(C1,M$13:M$100,-1))+IF(SUMIF(M13:M100,C1,N13:N100)=0,13,12)</f>
        <v>13</v>
      </c>
      <c r="P1" s="2928"/>
      <c r="Q1" s="2928"/>
      <c r="R1" s="2928"/>
      <c r="S1" s="2928"/>
      <c r="T1" s="2928"/>
      <c r="U1" s="2928"/>
      <c r="V1" s="2928"/>
      <c r="W1" s="2928"/>
      <c r="X1" s="2928"/>
      <c r="Y1" s="2928"/>
      <c r="Z1" s="2928"/>
      <c r="AA1" s="2928"/>
      <c r="AB1" s="2928"/>
      <c r="AC1" s="2928"/>
      <c r="AD1" s="2928"/>
      <c r="AE1" s="2928"/>
      <c r="AF1" s="2928"/>
      <c r="AG1" s="2928"/>
      <c r="AH1" s="2928"/>
      <c r="AI1" s="2928"/>
      <c r="AJ1" s="2928"/>
      <c r="AK1" s="2928"/>
      <c r="AL1" s="2928"/>
      <c r="AM1" s="2928"/>
      <c r="AN1" s="2928"/>
      <c r="AO1" s="2928"/>
      <c r="AP1" s="2928"/>
      <c r="AQ1" s="2928"/>
      <c r="AR1" s="2928"/>
      <c r="AS1" s="2928"/>
      <c r="AT1" s="2928"/>
      <c r="AU1" s="2928"/>
      <c r="AV1" s="2928"/>
      <c r="AW1" s="2928"/>
      <c r="AX1" s="2928"/>
      <c r="AY1" s="2928"/>
      <c r="AZ1" s="2928"/>
      <c r="BA1" s="2928"/>
      <c r="BB1" s="2928"/>
      <c r="BC1" s="2928"/>
      <c r="BD1" s="2928"/>
      <c r="BE1" s="2928"/>
      <c r="BF1" s="2928"/>
      <c r="BG1" s="2928"/>
      <c r="BH1" s="2928"/>
      <c r="BI1" s="2928"/>
      <c r="BJ1" s="2928"/>
      <c r="BK1" s="2928"/>
      <c r="BL1" s="2928"/>
      <c r="BM1" s="2928"/>
      <c r="BN1" s="2928"/>
      <c r="BO1" s="2928"/>
      <c r="BP1" s="2928"/>
      <c r="BQ1" s="2928"/>
      <c r="BR1" s="2928"/>
      <c r="BS1" s="2928"/>
      <c r="BT1" s="2928"/>
      <c r="BU1" s="2928"/>
      <c r="BV1" s="2928"/>
      <c r="BW1" s="2928"/>
      <c r="BX1" s="2928"/>
      <c r="BY1" s="2928"/>
      <c r="BZ1" s="2928"/>
      <c r="CA1" s="2928"/>
      <c r="CB1" s="2928"/>
      <c r="CC1" s="2928"/>
      <c r="CD1" s="2928"/>
      <c r="CE1" s="2928"/>
      <c r="CF1" s="2928"/>
      <c r="CG1" s="2928"/>
      <c r="CH1" s="2928"/>
      <c r="CI1" s="2928"/>
      <c r="CJ1" s="2928"/>
      <c r="CK1" s="2928"/>
      <c r="CL1" s="2928"/>
      <c r="CM1" s="2928"/>
      <c r="CN1" s="2928"/>
      <c r="CO1" s="2928"/>
      <c r="CP1" s="2928"/>
      <c r="CQ1" s="2928"/>
      <c r="CR1" s="2928"/>
      <c r="CS1" s="2928"/>
      <c r="CT1" s="2928"/>
      <c r="CU1" s="2928"/>
      <c r="CV1" s="2928"/>
      <c r="CW1" s="2928"/>
      <c r="CX1" s="2928"/>
      <c r="CY1" s="2928"/>
      <c r="CZ1" s="2928"/>
      <c r="DA1" s="2928"/>
      <c r="DB1" s="2928"/>
      <c r="DC1" s="2928"/>
      <c r="DD1" s="2928"/>
      <c r="DE1" s="2928"/>
      <c r="DF1" s="2928"/>
      <c r="DG1" s="2928"/>
      <c r="DH1" s="2928"/>
      <c r="DI1" s="2928"/>
      <c r="DJ1" s="2928"/>
      <c r="DK1" s="2928"/>
      <c r="DL1" s="2928"/>
      <c r="DM1" s="2928"/>
      <c r="DN1" s="2928"/>
      <c r="DO1" s="2928"/>
      <c r="DP1" s="2928"/>
      <c r="DQ1" s="2928"/>
      <c r="DR1" s="2928"/>
      <c r="DS1" s="2928"/>
      <c r="DT1" s="2928"/>
      <c r="DU1" s="2928"/>
      <c r="DV1" s="2928"/>
      <c r="DW1" s="2928"/>
      <c r="DX1" s="2928"/>
      <c r="DY1" s="2928"/>
      <c r="DZ1" s="2928"/>
      <c r="EA1" s="2928"/>
      <c r="EB1" s="2928"/>
      <c r="EC1" s="2928"/>
      <c r="ED1" s="2928"/>
      <c r="EE1" s="2928"/>
      <c r="EF1" s="2928"/>
      <c r="EG1" s="2928"/>
      <c r="EH1" s="2928"/>
      <c r="EI1" s="2928"/>
      <c r="EJ1" s="2928"/>
      <c r="EK1" s="2928"/>
      <c r="EL1" s="2928"/>
      <c r="EM1" s="2928"/>
      <c r="EN1" s="2928"/>
      <c r="EO1" s="2928"/>
      <c r="EP1" s="2928"/>
      <c r="EQ1" s="2928"/>
      <c r="ER1" s="2928"/>
      <c r="ES1" s="2928"/>
      <c r="ET1" s="2928"/>
      <c r="EU1" s="2928"/>
      <c r="EV1" s="2928"/>
      <c r="EW1" s="2928"/>
      <c r="EX1" s="2928"/>
      <c r="EY1" s="2928"/>
      <c r="EZ1" s="2928"/>
      <c r="FA1" s="2928"/>
      <c r="FB1" s="2928"/>
      <c r="FC1" s="2928"/>
      <c r="FD1" s="2928"/>
      <c r="FE1" s="2928"/>
      <c r="FF1" s="2928"/>
      <c r="FG1" s="2928"/>
      <c r="FH1" s="2928"/>
      <c r="FI1" s="2928"/>
      <c r="FJ1" s="2928"/>
      <c r="FK1" s="2928"/>
      <c r="FL1" s="2928"/>
      <c r="FM1" s="2928"/>
      <c r="FN1" s="2928"/>
      <c r="FO1" s="2928"/>
      <c r="FP1" s="2928"/>
      <c r="FQ1" s="2928"/>
      <c r="FR1" s="2928"/>
      <c r="FS1" s="2928"/>
      <c r="FT1" s="2928"/>
      <c r="FU1" s="2928"/>
      <c r="FV1" s="2928"/>
      <c r="FW1" s="2928"/>
      <c r="FX1" s="2928"/>
      <c r="FY1" s="2928"/>
      <c r="FZ1" s="2928"/>
      <c r="GA1" s="2928"/>
      <c r="GB1" s="2928"/>
      <c r="GC1" s="2928"/>
      <c r="GD1" s="2928"/>
      <c r="GE1" s="2928"/>
      <c r="GF1" s="2928"/>
      <c r="GG1" s="2928"/>
      <c r="GH1" s="2928"/>
      <c r="GI1" s="2928"/>
      <c r="GJ1" s="2928"/>
      <c r="GK1" s="2928"/>
      <c r="GL1" s="2928"/>
      <c r="GM1" s="2928"/>
      <c r="GN1" s="2928"/>
      <c r="GO1" s="2928"/>
      <c r="GP1" s="2928"/>
      <c r="GQ1" s="2928"/>
      <c r="GR1" s="2928"/>
      <c r="GS1" s="2928"/>
      <c r="GT1" s="2928"/>
      <c r="GU1" s="2928"/>
      <c r="GV1" s="2928"/>
      <c r="GW1" s="2928"/>
      <c r="GX1" s="2928"/>
      <c r="GY1" s="2928"/>
      <c r="GZ1" s="2928"/>
      <c r="HA1" s="2928"/>
      <c r="HB1" s="2928"/>
      <c r="HC1" s="2928"/>
      <c r="HD1" s="2928"/>
      <c r="HE1" s="2928"/>
      <c r="HF1" s="2928"/>
      <c r="HG1" s="2928"/>
      <c r="HH1" s="2928"/>
      <c r="HI1" s="2928"/>
      <c r="HJ1" s="2928"/>
      <c r="HK1" s="2928"/>
      <c r="HL1" s="2928"/>
      <c r="HM1" s="2928"/>
      <c r="HN1" s="2928"/>
      <c r="HO1" s="2928"/>
      <c r="HP1" s="2928"/>
      <c r="HQ1" s="2928"/>
      <c r="HR1" s="2928"/>
      <c r="HS1" s="2928"/>
      <c r="HT1" s="2928"/>
      <c r="HU1" s="2928"/>
      <c r="HV1" s="2928"/>
      <c r="HW1" s="2928"/>
      <c r="HX1" s="2928"/>
      <c r="HY1" s="2928"/>
      <c r="HZ1" s="2928"/>
      <c r="IA1" s="2928"/>
      <c r="IB1" s="2928"/>
      <c r="IC1" s="2928"/>
      <c r="ID1" s="2928"/>
      <c r="IE1" s="2928"/>
      <c r="IF1" s="2928"/>
      <c r="IG1" s="2928"/>
      <c r="IH1" s="2928"/>
      <c r="II1" s="2928"/>
      <c r="IJ1" s="2928"/>
      <c r="IK1" s="2928"/>
      <c r="IL1" s="2928"/>
      <c r="IM1" s="2928"/>
      <c r="IN1" s="2928"/>
      <c r="IO1" s="2928"/>
      <c r="IP1" s="2928"/>
      <c r="IQ1" s="2928"/>
      <c r="IR1" s="2928"/>
      <c r="IS1" s="2928"/>
      <c r="IT1" s="2928"/>
      <c r="IU1" s="2928"/>
      <c r="IV1" s="2928"/>
    </row>
    <row r="2" spans="1:257" s="2926" customFormat="1" ht="15" thickTop="1" thickBot="1">
      <c r="A2" s="2870"/>
      <c r="B2" s="2931" t="s">
        <v>2793</v>
      </c>
      <c r="C2" s="2935">
        <f>'数据-取费表'!B22</f>
        <v>4</v>
      </c>
      <c r="D2" s="2930" t="s">
        <v>2763</v>
      </c>
      <c r="E2" s="2933">
        <f ca="1">INDIRECT("I"&amp;$I$1)/100</f>
        <v>4.7500000000000001E-2</v>
      </c>
      <c r="G2" s="2870"/>
      <c r="H2" s="2870"/>
      <c r="I2" s="2870" t="s">
        <v>2764</v>
      </c>
      <c r="K2" s="2870"/>
      <c r="L2" s="2870"/>
      <c r="M2" s="2870"/>
      <c r="N2" s="2870" t="s">
        <v>2765</v>
      </c>
      <c r="O2" s="2870"/>
      <c r="P2" s="2870"/>
      <c r="Q2" s="2870"/>
      <c r="R2" s="2870"/>
      <c r="S2" s="2870"/>
      <c r="T2" s="2870"/>
      <c r="U2" s="2870"/>
      <c r="V2" s="2870"/>
      <c r="W2" s="2870"/>
      <c r="X2" s="2870"/>
      <c r="Y2" s="2870"/>
      <c r="Z2" s="2870"/>
      <c r="AA2" s="2870"/>
      <c r="AB2" s="2870"/>
      <c r="AC2" s="2870"/>
      <c r="AD2" s="2870"/>
      <c r="AE2" s="2870"/>
      <c r="AF2" s="2870"/>
      <c r="AG2" s="2870"/>
      <c r="AH2" s="2870"/>
      <c r="AI2" s="2870"/>
      <c r="AJ2" s="2870"/>
      <c r="AK2" s="2870"/>
      <c r="AL2" s="2870"/>
      <c r="AM2" s="2870"/>
      <c r="AN2" s="2870"/>
      <c r="AO2" s="2870"/>
      <c r="AP2" s="2870"/>
      <c r="AQ2" s="2870"/>
      <c r="AR2" s="2870"/>
      <c r="AS2" s="2870"/>
      <c r="AT2" s="2870"/>
      <c r="AU2" s="2870"/>
      <c r="AV2" s="2870"/>
      <c r="AW2" s="2870"/>
      <c r="AX2" s="2870"/>
      <c r="AY2" s="2870"/>
      <c r="AZ2" s="2870"/>
      <c r="BA2" s="2870"/>
      <c r="BB2" s="2870"/>
      <c r="BC2" s="2870"/>
      <c r="BD2" s="2870"/>
      <c r="BE2" s="2870"/>
      <c r="BF2" s="2870"/>
      <c r="BG2" s="2870"/>
      <c r="BH2" s="2870"/>
      <c r="BI2" s="2870"/>
      <c r="BJ2" s="2870"/>
      <c r="BK2" s="2870"/>
      <c r="BL2" s="2870"/>
      <c r="BM2" s="2870"/>
      <c r="BN2" s="2870"/>
      <c r="BO2" s="2870"/>
      <c r="BP2" s="2870"/>
      <c r="BQ2" s="2870"/>
      <c r="BR2" s="2870"/>
      <c r="BS2" s="2870"/>
      <c r="BT2" s="2870"/>
      <c r="BU2" s="2870"/>
      <c r="BV2" s="2870"/>
      <c r="BW2" s="2870"/>
      <c r="BX2" s="2870"/>
      <c r="BY2" s="2870"/>
      <c r="BZ2" s="2870"/>
      <c r="CA2" s="2870"/>
      <c r="CB2" s="2870"/>
      <c r="CC2" s="2870"/>
      <c r="CD2" s="2870"/>
      <c r="CE2" s="2870"/>
      <c r="CF2" s="2870"/>
      <c r="CG2" s="2870"/>
      <c r="CH2" s="2870"/>
      <c r="CI2" s="2870"/>
      <c r="CJ2" s="2870"/>
      <c r="CK2" s="2870"/>
      <c r="CL2" s="2870"/>
      <c r="CM2" s="2870"/>
      <c r="CN2" s="2870"/>
      <c r="CO2" s="2870"/>
      <c r="CP2" s="2870"/>
      <c r="CQ2" s="2870"/>
      <c r="CR2" s="2870"/>
      <c r="CS2" s="2870"/>
      <c r="CT2" s="2870"/>
      <c r="CU2" s="2870"/>
      <c r="CV2" s="2870"/>
      <c r="CW2" s="2870"/>
      <c r="CX2" s="2870"/>
      <c r="CY2" s="2870"/>
      <c r="CZ2" s="2870"/>
      <c r="DA2" s="2870"/>
      <c r="DB2" s="2870"/>
      <c r="DC2" s="2870"/>
      <c r="DD2" s="2870"/>
      <c r="DE2" s="2870"/>
      <c r="DF2" s="2870"/>
      <c r="DG2" s="2870"/>
      <c r="DH2" s="2870"/>
      <c r="DI2" s="2870"/>
      <c r="DJ2" s="2870"/>
      <c r="DK2" s="2870"/>
      <c r="DL2" s="2870"/>
      <c r="DM2" s="2870"/>
      <c r="DN2" s="2870"/>
      <c r="DO2" s="2870"/>
      <c r="DP2" s="2870"/>
      <c r="DQ2" s="2870"/>
      <c r="DR2" s="2870"/>
      <c r="DS2" s="2870"/>
      <c r="DT2" s="2870"/>
      <c r="DU2" s="2870"/>
      <c r="DV2" s="2870"/>
      <c r="DW2" s="2870"/>
      <c r="DX2" s="2870"/>
      <c r="DY2" s="2870"/>
      <c r="DZ2" s="2870"/>
      <c r="EA2" s="2870"/>
      <c r="EB2" s="2870"/>
      <c r="EC2" s="2870"/>
      <c r="ED2" s="2870"/>
      <c r="EE2" s="2870"/>
      <c r="EF2" s="2870"/>
      <c r="EG2" s="2870"/>
      <c r="EH2" s="2870"/>
      <c r="EI2" s="2870"/>
      <c r="EJ2" s="2870"/>
      <c r="EK2" s="2870"/>
      <c r="EL2" s="2870"/>
      <c r="EM2" s="2870"/>
      <c r="EN2" s="2870"/>
      <c r="EO2" s="2870"/>
      <c r="EP2" s="2870"/>
      <c r="EQ2" s="2870"/>
      <c r="ER2" s="2870"/>
      <c r="ES2" s="2870"/>
      <c r="ET2" s="2870"/>
      <c r="EU2" s="2870"/>
      <c r="EV2" s="2870"/>
      <c r="EW2" s="2870"/>
      <c r="EX2" s="2870"/>
      <c r="EY2" s="2870"/>
      <c r="EZ2" s="2870"/>
      <c r="FA2" s="2870"/>
      <c r="FB2" s="2870"/>
      <c r="FC2" s="2870"/>
      <c r="FD2" s="2870"/>
      <c r="FE2" s="2870"/>
      <c r="FF2" s="2870"/>
      <c r="FG2" s="2870"/>
      <c r="FH2" s="2870"/>
      <c r="FI2" s="2870"/>
      <c r="FJ2" s="2870"/>
      <c r="FK2" s="2870"/>
      <c r="FL2" s="2870"/>
      <c r="FM2" s="2870"/>
      <c r="FN2" s="2870"/>
      <c r="FO2" s="2870"/>
      <c r="FP2" s="2870"/>
      <c r="FQ2" s="2870"/>
      <c r="FR2" s="2870"/>
      <c r="FS2" s="2870"/>
      <c r="FT2" s="2870"/>
      <c r="FU2" s="2870"/>
      <c r="FV2" s="2870"/>
      <c r="FW2" s="2870"/>
      <c r="FX2" s="2870"/>
      <c r="FY2" s="2870"/>
      <c r="FZ2" s="2870"/>
      <c r="GA2" s="2870"/>
      <c r="GB2" s="2870"/>
      <c r="GC2" s="2870"/>
      <c r="GD2" s="2870"/>
      <c r="GE2" s="2870"/>
      <c r="GF2" s="2870"/>
      <c r="GG2" s="2870"/>
      <c r="GH2" s="2870"/>
      <c r="GI2" s="2870"/>
      <c r="GJ2" s="2870"/>
      <c r="GK2" s="2870"/>
      <c r="GL2" s="2870"/>
      <c r="GM2" s="2870"/>
      <c r="GN2" s="2870"/>
      <c r="GO2" s="2870"/>
      <c r="GP2" s="2870"/>
      <c r="GQ2" s="2870"/>
      <c r="GR2" s="2870"/>
      <c r="GS2" s="2870"/>
      <c r="GT2" s="2870"/>
      <c r="GU2" s="2870"/>
      <c r="GV2" s="2870"/>
      <c r="GW2" s="2870"/>
      <c r="GX2" s="2870"/>
      <c r="GY2" s="2870"/>
      <c r="GZ2" s="2870"/>
      <c r="HA2" s="2870"/>
      <c r="HB2" s="2870"/>
      <c r="HC2" s="2870"/>
      <c r="HD2" s="2870"/>
      <c r="HE2" s="2870"/>
      <c r="HF2" s="2870"/>
      <c r="HG2" s="2870"/>
      <c r="HH2" s="2870"/>
      <c r="HI2" s="2870"/>
      <c r="HJ2" s="2870"/>
      <c r="HK2" s="2870"/>
      <c r="HL2" s="2870"/>
      <c r="HM2" s="2870"/>
      <c r="HN2" s="2870"/>
      <c r="HO2" s="2870"/>
      <c r="HP2" s="2870"/>
      <c r="HQ2" s="2870"/>
      <c r="HR2" s="2870"/>
      <c r="HS2" s="2870"/>
      <c r="HT2" s="2870"/>
      <c r="HU2" s="2870"/>
      <c r="HV2" s="2870"/>
      <c r="HW2" s="2870"/>
      <c r="HX2" s="2870"/>
      <c r="HY2" s="2870"/>
      <c r="HZ2" s="2870"/>
      <c r="IA2" s="2870"/>
      <c r="IB2" s="2870"/>
      <c r="IC2" s="2870"/>
      <c r="ID2" s="2870"/>
      <c r="IE2" s="2870"/>
      <c r="IF2" s="2870"/>
      <c r="IG2" s="2870"/>
      <c r="IH2" s="2870"/>
      <c r="II2" s="2870"/>
      <c r="IJ2" s="2870"/>
      <c r="IK2" s="2870"/>
      <c r="IL2" s="2870"/>
      <c r="IM2" s="2870"/>
      <c r="IN2" s="2870"/>
      <c r="IO2" s="2870"/>
      <c r="IP2" s="2870"/>
      <c r="IQ2" s="2870"/>
      <c r="IR2" s="2870"/>
      <c r="IS2" s="2870"/>
      <c r="IT2" s="2870"/>
      <c r="IU2" s="2870"/>
      <c r="IV2" s="2870"/>
      <c r="IW2" s="2870"/>
    </row>
    <row r="3" spans="1:257" s="2926" customFormat="1">
      <c r="A3" s="2871"/>
      <c r="B3" s="2930" t="s">
        <v>2795</v>
      </c>
      <c r="C3" s="2932">
        <f>'数据-取费表'!B19</f>
        <v>2</v>
      </c>
      <c r="D3" s="2930" t="s">
        <v>2763</v>
      </c>
      <c r="E3" s="2933">
        <f ca="1">INDIRECT("J"&amp;$J$1)/100</f>
        <v>4.7500000000000001E-2</v>
      </c>
      <c r="G3" s="2872" t="s">
        <v>2766</v>
      </c>
      <c r="H3" s="2873">
        <v>0</v>
      </c>
      <c r="I3" s="2874">
        <f ca="1">INDIRECT("d"&amp;$H$1)</f>
        <v>4.3499999999999996</v>
      </c>
      <c r="J3" s="2874">
        <f ca="1">INDIRECT("d"&amp;$H$1)</f>
        <v>4.3499999999999996</v>
      </c>
      <c r="K3" s="2871"/>
      <c r="L3" s="2871"/>
      <c r="M3" s="2875">
        <v>0.5</v>
      </c>
      <c r="N3" s="2876">
        <f ca="1">INDIRECT("p"&amp;$N$1)</f>
        <v>1.3</v>
      </c>
      <c r="O3" s="2871"/>
      <c r="P3" s="2871"/>
      <c r="Q3" s="2871"/>
      <c r="R3" s="2871"/>
      <c r="S3" s="2871"/>
      <c r="T3" s="2871"/>
      <c r="U3" s="2871"/>
      <c r="V3" s="2871"/>
      <c r="W3" s="2871"/>
      <c r="X3" s="2871"/>
      <c r="Y3" s="2871"/>
      <c r="Z3" s="2871"/>
      <c r="AA3" s="2871"/>
      <c r="AB3" s="2871"/>
      <c r="AC3" s="2871"/>
      <c r="AD3" s="2871"/>
      <c r="AE3" s="2871"/>
      <c r="AF3" s="2871"/>
      <c r="AG3" s="2871"/>
      <c r="AH3" s="2871"/>
      <c r="AI3" s="2871"/>
      <c r="AJ3" s="2871"/>
      <c r="AK3" s="2871"/>
      <c r="AL3" s="2871"/>
      <c r="AM3" s="2871"/>
      <c r="AN3" s="2871"/>
      <c r="AO3" s="2871"/>
      <c r="AP3" s="2871"/>
      <c r="AQ3" s="2871"/>
      <c r="AR3" s="2871"/>
      <c r="AS3" s="2871"/>
      <c r="AT3" s="2871"/>
      <c r="AU3" s="2871"/>
      <c r="AV3" s="2871"/>
      <c r="AW3" s="2871"/>
      <c r="AX3" s="2871"/>
      <c r="AY3" s="2871"/>
      <c r="AZ3" s="2871"/>
      <c r="BA3" s="2871"/>
      <c r="BB3" s="2871"/>
      <c r="BC3" s="2871"/>
      <c r="BD3" s="2871"/>
      <c r="BE3" s="2871"/>
      <c r="BF3" s="2871"/>
      <c r="BG3" s="2871"/>
      <c r="BH3" s="2871"/>
      <c r="BI3" s="2871"/>
      <c r="BJ3" s="2871"/>
      <c r="BK3" s="2871"/>
      <c r="BL3" s="2871"/>
      <c r="BM3" s="2871"/>
      <c r="BN3" s="2871"/>
      <c r="BO3" s="2871"/>
      <c r="BP3" s="2871"/>
      <c r="BQ3" s="2871"/>
      <c r="BR3" s="2871"/>
      <c r="BS3" s="2871"/>
      <c r="BT3" s="2871"/>
      <c r="BU3" s="2871"/>
      <c r="BV3" s="2871"/>
      <c r="BW3" s="2871"/>
      <c r="BX3" s="2871"/>
      <c r="BY3" s="2871"/>
      <c r="BZ3" s="2871"/>
      <c r="CA3" s="2871"/>
      <c r="CB3" s="2871"/>
      <c r="CC3" s="2871"/>
      <c r="CD3" s="2871"/>
      <c r="CE3" s="2871"/>
      <c r="CF3" s="2871"/>
      <c r="CG3" s="2871"/>
      <c r="CH3" s="2871"/>
      <c r="CI3" s="2871"/>
      <c r="CJ3" s="2871"/>
      <c r="CK3" s="2871"/>
      <c r="CL3" s="2871"/>
      <c r="CM3" s="2871"/>
      <c r="CN3" s="2871"/>
      <c r="CO3" s="2871"/>
      <c r="CP3" s="2871"/>
      <c r="CQ3" s="2871"/>
      <c r="CR3" s="2871"/>
      <c r="CS3" s="2871"/>
      <c r="CT3" s="2871"/>
      <c r="CU3" s="2871"/>
      <c r="CV3" s="2871"/>
      <c r="CW3" s="2871"/>
      <c r="CX3" s="2871"/>
      <c r="CY3" s="2871"/>
      <c r="CZ3" s="2871"/>
      <c r="DA3" s="2871"/>
      <c r="DB3" s="2871"/>
      <c r="DC3" s="2871"/>
      <c r="DD3" s="2871"/>
      <c r="DE3" s="2871"/>
      <c r="DF3" s="2871"/>
      <c r="DG3" s="2871"/>
      <c r="DH3" s="2871"/>
      <c r="DI3" s="2871"/>
      <c r="DJ3" s="2871"/>
      <c r="DK3" s="2871"/>
      <c r="DL3" s="2871"/>
      <c r="DM3" s="2871"/>
      <c r="DN3" s="2871"/>
      <c r="DO3" s="2871"/>
      <c r="DP3" s="2871"/>
      <c r="DQ3" s="2871"/>
      <c r="DR3" s="2871"/>
      <c r="DS3" s="2871"/>
      <c r="DT3" s="2871"/>
      <c r="DU3" s="2871"/>
      <c r="DV3" s="2871"/>
      <c r="DW3" s="2871"/>
      <c r="DX3" s="2871"/>
      <c r="DY3" s="2871"/>
      <c r="DZ3" s="2871"/>
      <c r="EA3" s="2871"/>
      <c r="EB3" s="2871"/>
      <c r="EC3" s="2871"/>
      <c r="ED3" s="2871"/>
      <c r="EE3" s="2871"/>
      <c r="EF3" s="2871"/>
      <c r="EG3" s="2871"/>
      <c r="EH3" s="2871"/>
      <c r="EI3" s="2871"/>
      <c r="EJ3" s="2871"/>
      <c r="EK3" s="2871"/>
      <c r="EL3" s="2871"/>
      <c r="EM3" s="2871"/>
      <c r="EN3" s="2871"/>
      <c r="EO3" s="2871"/>
      <c r="EP3" s="2871"/>
      <c r="EQ3" s="2871"/>
      <c r="ER3" s="2871"/>
      <c r="ES3" s="2871"/>
      <c r="ET3" s="2871"/>
      <c r="EU3" s="2871"/>
      <c r="EV3" s="2871"/>
      <c r="EW3" s="2871"/>
      <c r="EX3" s="2871"/>
      <c r="EY3" s="2871"/>
      <c r="EZ3" s="2871"/>
      <c r="FA3" s="2871"/>
      <c r="FB3" s="2871"/>
      <c r="FC3" s="2871"/>
      <c r="FD3" s="2871"/>
      <c r="FE3" s="2871"/>
      <c r="FF3" s="2871"/>
      <c r="FG3" s="2871"/>
      <c r="FH3" s="2871"/>
      <c r="FI3" s="2871"/>
      <c r="FJ3" s="2871"/>
      <c r="FK3" s="2871"/>
      <c r="FL3" s="2871"/>
      <c r="FM3" s="2871"/>
      <c r="FN3" s="2871"/>
      <c r="FO3" s="2871"/>
      <c r="FP3" s="2871"/>
      <c r="FQ3" s="2871"/>
      <c r="FR3" s="2871"/>
      <c r="FS3" s="2871"/>
      <c r="FT3" s="2871"/>
      <c r="FU3" s="2871"/>
      <c r="FV3" s="2871"/>
      <c r="FW3" s="2871"/>
      <c r="FX3" s="2871"/>
      <c r="FY3" s="2871"/>
      <c r="FZ3" s="2871"/>
      <c r="GA3" s="2871"/>
      <c r="GB3" s="2871"/>
      <c r="GC3" s="2871"/>
      <c r="GD3" s="2871"/>
      <c r="GE3" s="2871"/>
      <c r="GF3" s="2871"/>
      <c r="GG3" s="2871"/>
      <c r="GH3" s="2871"/>
      <c r="GI3" s="2871"/>
      <c r="GJ3" s="2871"/>
      <c r="GK3" s="2871"/>
      <c r="GL3" s="2871"/>
      <c r="GM3" s="2871"/>
      <c r="GN3" s="2871"/>
      <c r="GO3" s="2871"/>
      <c r="GP3" s="2871"/>
      <c r="GQ3" s="2871"/>
      <c r="GR3" s="2871"/>
      <c r="GS3" s="2871"/>
      <c r="GT3" s="2871"/>
      <c r="GU3" s="2871"/>
      <c r="GV3" s="2871"/>
      <c r="GW3" s="2871"/>
      <c r="GX3" s="2871"/>
      <c r="GY3" s="2871"/>
      <c r="GZ3" s="2871"/>
      <c r="HA3" s="2871"/>
      <c r="HB3" s="2871"/>
      <c r="HC3" s="2871"/>
      <c r="HD3" s="2871"/>
      <c r="HE3" s="2871"/>
      <c r="HF3" s="2871"/>
      <c r="HG3" s="2871"/>
      <c r="HH3" s="2871"/>
      <c r="HI3" s="2871"/>
      <c r="HJ3" s="2871"/>
      <c r="HK3" s="2871"/>
      <c r="HL3" s="2871"/>
      <c r="HM3" s="2871"/>
      <c r="HN3" s="2871"/>
      <c r="HO3" s="2871"/>
      <c r="HP3" s="2871"/>
      <c r="HQ3" s="2871"/>
      <c r="HR3" s="2871"/>
      <c r="HS3" s="2871"/>
      <c r="HT3" s="2871"/>
      <c r="HU3" s="2871"/>
      <c r="HV3" s="2871"/>
      <c r="HW3" s="2871"/>
      <c r="HX3" s="2871"/>
      <c r="HY3" s="2871"/>
      <c r="HZ3" s="2871"/>
      <c r="IA3" s="2871"/>
      <c r="IB3" s="2871"/>
      <c r="IC3" s="2871"/>
      <c r="ID3" s="2871"/>
      <c r="IE3" s="2871"/>
      <c r="IF3" s="2871"/>
      <c r="IG3" s="2871"/>
      <c r="IH3" s="2871"/>
      <c r="II3" s="2871"/>
      <c r="IJ3" s="2871"/>
      <c r="IK3" s="2871"/>
      <c r="IL3" s="2871"/>
      <c r="IM3" s="2871"/>
      <c r="IN3" s="2871"/>
      <c r="IO3" s="2871"/>
      <c r="IP3" s="2871"/>
      <c r="IQ3" s="2871"/>
      <c r="IR3" s="2871"/>
      <c r="IS3" s="2871"/>
      <c r="IT3" s="2871"/>
      <c r="IU3" s="2871"/>
      <c r="IV3" s="2871"/>
    </row>
    <row r="4" spans="1:257" s="2926" customFormat="1">
      <c r="A4" s="2871"/>
      <c r="B4" s="2930" t="s">
        <v>2794</v>
      </c>
      <c r="C4" s="2933">
        <f ca="1">N4/100</f>
        <v>1.4999999999999999E-2</v>
      </c>
      <c r="G4" s="2878" t="s">
        <v>2767</v>
      </c>
      <c r="H4" s="2879">
        <v>0.5</v>
      </c>
      <c r="I4" s="2880">
        <f ca="1">INDIRECT("e"&amp;$H$1)</f>
        <v>4.3499999999999996</v>
      </c>
      <c r="J4" s="2880">
        <f ca="1">INDIRECT("e"&amp;$H$1)</f>
        <v>4.3499999999999996</v>
      </c>
      <c r="K4" s="2871"/>
      <c r="L4" s="2871"/>
      <c r="M4" s="2881">
        <v>1</v>
      </c>
      <c r="N4" s="2882">
        <f ca="1">INDIRECT("q"&amp;$N$1)</f>
        <v>1.5</v>
      </c>
      <c r="O4" s="2871"/>
      <c r="P4" s="2871"/>
      <c r="Q4" s="2871"/>
      <c r="R4" s="2871"/>
      <c r="S4" s="2871"/>
      <c r="T4" s="2871"/>
      <c r="U4" s="2871"/>
      <c r="V4" s="2871"/>
      <c r="W4" s="2871"/>
      <c r="X4" s="2871"/>
      <c r="Y4" s="2871"/>
      <c r="Z4" s="2871"/>
      <c r="AA4" s="2871"/>
      <c r="AB4" s="2871"/>
      <c r="AC4" s="2871"/>
      <c r="AD4" s="2871"/>
      <c r="AE4" s="2871"/>
      <c r="AF4" s="2871"/>
      <c r="AG4" s="2871"/>
      <c r="AH4" s="2871"/>
      <c r="AI4" s="2871"/>
      <c r="AJ4" s="2871"/>
      <c r="AK4" s="2871"/>
      <c r="AL4" s="2871"/>
      <c r="AM4" s="2871"/>
      <c r="AN4" s="2871"/>
      <c r="AO4" s="2871"/>
      <c r="AP4" s="2871"/>
      <c r="AQ4" s="2871"/>
      <c r="AR4" s="2871"/>
      <c r="AS4" s="2871"/>
      <c r="AT4" s="2871"/>
      <c r="AU4" s="2871"/>
      <c r="AV4" s="2871"/>
      <c r="AW4" s="2871"/>
      <c r="AX4" s="2871"/>
      <c r="AY4" s="2871"/>
      <c r="AZ4" s="2871"/>
      <c r="BA4" s="2871"/>
      <c r="BB4" s="2871"/>
      <c r="BC4" s="2871"/>
      <c r="BD4" s="2871"/>
      <c r="BE4" s="2871"/>
      <c r="BF4" s="2871"/>
      <c r="BG4" s="2871"/>
      <c r="BH4" s="2871"/>
      <c r="BI4" s="2871"/>
      <c r="BJ4" s="2871"/>
      <c r="BK4" s="2871"/>
      <c r="BL4" s="2871"/>
      <c r="BM4" s="2871"/>
      <c r="BN4" s="2871"/>
      <c r="BO4" s="2871"/>
      <c r="BP4" s="2871"/>
      <c r="BQ4" s="2871"/>
      <c r="BR4" s="2871"/>
      <c r="BS4" s="2871"/>
      <c r="BT4" s="2871"/>
      <c r="BU4" s="2871"/>
      <c r="BV4" s="2871"/>
      <c r="BW4" s="2871"/>
      <c r="BX4" s="2871"/>
      <c r="BY4" s="2871"/>
      <c r="BZ4" s="2871"/>
      <c r="CA4" s="2871"/>
      <c r="CB4" s="2871"/>
      <c r="CC4" s="2871"/>
      <c r="CD4" s="2871"/>
      <c r="CE4" s="2871"/>
      <c r="CF4" s="2871"/>
      <c r="CG4" s="2871"/>
      <c r="CH4" s="2871"/>
      <c r="CI4" s="2871"/>
      <c r="CJ4" s="2871"/>
      <c r="CK4" s="2871"/>
      <c r="CL4" s="2871"/>
      <c r="CM4" s="2871"/>
      <c r="CN4" s="2871"/>
      <c r="CO4" s="2871"/>
      <c r="CP4" s="2871"/>
      <c r="CQ4" s="2871"/>
      <c r="CR4" s="2871"/>
      <c r="CS4" s="2871"/>
      <c r="CT4" s="2871"/>
      <c r="CU4" s="2871"/>
      <c r="CV4" s="2871"/>
      <c r="CW4" s="2871"/>
      <c r="CX4" s="2871"/>
      <c r="CY4" s="2871"/>
      <c r="CZ4" s="2871"/>
      <c r="DA4" s="2871"/>
      <c r="DB4" s="2871"/>
      <c r="DC4" s="2871"/>
      <c r="DD4" s="2871"/>
      <c r="DE4" s="2871"/>
      <c r="DF4" s="2871"/>
      <c r="DG4" s="2871"/>
      <c r="DH4" s="2871"/>
      <c r="DI4" s="2871"/>
      <c r="DJ4" s="2871"/>
      <c r="DK4" s="2871"/>
      <c r="DL4" s="2871"/>
      <c r="DM4" s="2871"/>
      <c r="DN4" s="2871"/>
      <c r="DO4" s="2871"/>
      <c r="DP4" s="2871"/>
      <c r="DQ4" s="2871"/>
      <c r="DR4" s="2871"/>
      <c r="DS4" s="2871"/>
      <c r="DT4" s="2871"/>
      <c r="DU4" s="2871"/>
      <c r="DV4" s="2871"/>
      <c r="DW4" s="2871"/>
      <c r="DX4" s="2871"/>
      <c r="DY4" s="2871"/>
      <c r="DZ4" s="2871"/>
      <c r="EA4" s="2871"/>
      <c r="EB4" s="2871"/>
      <c r="EC4" s="2871"/>
      <c r="ED4" s="2871"/>
      <c r="EE4" s="2871"/>
      <c r="EF4" s="2871"/>
      <c r="EG4" s="2871"/>
      <c r="EH4" s="2871"/>
      <c r="EI4" s="2871"/>
      <c r="EJ4" s="2871"/>
      <c r="EK4" s="2871"/>
      <c r="EL4" s="2871"/>
      <c r="EM4" s="2871"/>
      <c r="EN4" s="2871"/>
      <c r="EO4" s="2871"/>
      <c r="EP4" s="2871"/>
      <c r="EQ4" s="2871"/>
      <c r="ER4" s="2871"/>
      <c r="ES4" s="2871"/>
      <c r="ET4" s="2871"/>
      <c r="EU4" s="2871"/>
      <c r="EV4" s="2871"/>
      <c r="EW4" s="2871"/>
      <c r="EX4" s="2871"/>
      <c r="EY4" s="2871"/>
      <c r="EZ4" s="2871"/>
      <c r="FA4" s="2871"/>
      <c r="FB4" s="2871"/>
      <c r="FC4" s="2871"/>
      <c r="FD4" s="2871"/>
      <c r="FE4" s="2871"/>
      <c r="FF4" s="2871"/>
      <c r="FG4" s="2871"/>
      <c r="FH4" s="2871"/>
      <c r="FI4" s="2871"/>
      <c r="FJ4" s="2871"/>
      <c r="FK4" s="2871"/>
      <c r="FL4" s="2871"/>
      <c r="FM4" s="2871"/>
      <c r="FN4" s="2871"/>
      <c r="FO4" s="2871"/>
      <c r="FP4" s="2871"/>
      <c r="FQ4" s="2871"/>
      <c r="FR4" s="2871"/>
      <c r="FS4" s="2871"/>
      <c r="FT4" s="2871"/>
      <c r="FU4" s="2871"/>
      <c r="FV4" s="2871"/>
      <c r="FW4" s="2871"/>
      <c r="FX4" s="2871"/>
      <c r="FY4" s="2871"/>
      <c r="FZ4" s="2871"/>
      <c r="GA4" s="2871"/>
      <c r="GB4" s="2871"/>
      <c r="GC4" s="2871"/>
      <c r="GD4" s="2871"/>
      <c r="GE4" s="2871"/>
      <c r="GF4" s="2871"/>
      <c r="GG4" s="2871"/>
      <c r="GH4" s="2871"/>
      <c r="GI4" s="2871"/>
      <c r="GJ4" s="2871"/>
      <c r="GK4" s="2871"/>
      <c r="GL4" s="2871"/>
      <c r="GM4" s="2871"/>
      <c r="GN4" s="2871"/>
      <c r="GO4" s="2871"/>
      <c r="GP4" s="2871"/>
      <c r="GQ4" s="2871"/>
      <c r="GR4" s="2871"/>
      <c r="GS4" s="2871"/>
      <c r="GT4" s="2871"/>
      <c r="GU4" s="2871"/>
      <c r="GV4" s="2871"/>
      <c r="GW4" s="2871"/>
      <c r="GX4" s="2871"/>
      <c r="GY4" s="2871"/>
      <c r="GZ4" s="2871"/>
      <c r="HA4" s="2871"/>
      <c r="HB4" s="2871"/>
      <c r="HC4" s="2871"/>
      <c r="HD4" s="2871"/>
      <c r="HE4" s="2871"/>
      <c r="HF4" s="2871"/>
      <c r="HG4" s="2871"/>
      <c r="HH4" s="2871"/>
      <c r="HI4" s="2871"/>
      <c r="HJ4" s="2871"/>
      <c r="HK4" s="2871"/>
      <c r="HL4" s="2871"/>
      <c r="HM4" s="2871"/>
      <c r="HN4" s="2871"/>
      <c r="HO4" s="2871"/>
      <c r="HP4" s="2871"/>
      <c r="HQ4" s="2871"/>
      <c r="HR4" s="2871"/>
      <c r="HS4" s="2871"/>
      <c r="HT4" s="2871"/>
      <c r="HU4" s="2871"/>
      <c r="HV4" s="2871"/>
      <c r="HW4" s="2871"/>
      <c r="HX4" s="2871"/>
      <c r="HY4" s="2871"/>
      <c r="HZ4" s="2871"/>
      <c r="IA4" s="2871"/>
      <c r="IB4" s="2871"/>
      <c r="IC4" s="2871"/>
      <c r="ID4" s="2871"/>
      <c r="IE4" s="2871"/>
      <c r="IF4" s="2871"/>
      <c r="IG4" s="2871"/>
      <c r="IH4" s="2871"/>
      <c r="II4" s="2871"/>
      <c r="IJ4" s="2871"/>
      <c r="IK4" s="2871"/>
      <c r="IL4" s="2871"/>
      <c r="IM4" s="2871"/>
      <c r="IN4" s="2871"/>
      <c r="IO4" s="2871"/>
      <c r="IP4" s="2871"/>
      <c r="IQ4" s="2871"/>
      <c r="IR4" s="2871"/>
      <c r="IS4" s="2871"/>
      <c r="IT4" s="2871"/>
      <c r="IU4" s="2871"/>
      <c r="IV4" s="2871"/>
    </row>
    <row r="5" spans="1:257" s="2926" customFormat="1">
      <c r="A5" s="2871"/>
      <c r="G5" s="2878" t="s">
        <v>2768</v>
      </c>
      <c r="H5" s="2879">
        <v>1</v>
      </c>
      <c r="I5" s="2880">
        <f ca="1">INDIRECT("f"&amp;$H$1)</f>
        <v>4.75</v>
      </c>
      <c r="J5" s="2880">
        <f ca="1">INDIRECT("f"&amp;$H$1)</f>
        <v>4.75</v>
      </c>
      <c r="K5" s="2871"/>
      <c r="L5" s="2871"/>
      <c r="M5" s="2881">
        <v>2</v>
      </c>
      <c r="N5" s="2882">
        <f ca="1">INDIRECT("r"&amp;$N$1)</f>
        <v>2.1</v>
      </c>
      <c r="O5" s="2871"/>
      <c r="P5" s="2871"/>
      <c r="Q5" s="2871"/>
      <c r="R5" s="2871"/>
      <c r="S5" s="2871"/>
      <c r="T5" s="2871"/>
      <c r="U5" s="2871"/>
      <c r="V5" s="2871"/>
      <c r="W5" s="2871"/>
      <c r="X5" s="2871"/>
      <c r="Y5" s="2871"/>
      <c r="Z5" s="2871"/>
      <c r="AA5" s="2871"/>
      <c r="AB5" s="2871"/>
      <c r="AC5" s="2871"/>
      <c r="AD5" s="2871"/>
      <c r="AE5" s="2871"/>
      <c r="AF5" s="2871"/>
      <c r="AG5" s="2871"/>
      <c r="AH5" s="2871"/>
      <c r="AI5" s="2871"/>
      <c r="AJ5" s="2871"/>
      <c r="AK5" s="2871"/>
      <c r="AL5" s="2871"/>
      <c r="AM5" s="2871"/>
      <c r="AN5" s="2871"/>
      <c r="AO5" s="2871"/>
      <c r="AP5" s="2871"/>
      <c r="AQ5" s="2871"/>
      <c r="AR5" s="2871"/>
      <c r="AS5" s="2871"/>
      <c r="AT5" s="2871"/>
      <c r="AU5" s="2871"/>
      <c r="AV5" s="2871"/>
      <c r="AW5" s="2871"/>
      <c r="AX5" s="2871"/>
      <c r="AY5" s="2871"/>
      <c r="AZ5" s="2871"/>
      <c r="BA5" s="2871"/>
      <c r="BB5" s="2871"/>
      <c r="BC5" s="2871"/>
      <c r="BD5" s="2871"/>
      <c r="BE5" s="2871"/>
      <c r="BF5" s="2871"/>
      <c r="BG5" s="2871"/>
      <c r="BH5" s="2871"/>
      <c r="BI5" s="2871"/>
      <c r="BJ5" s="2871"/>
      <c r="BK5" s="2871"/>
      <c r="BL5" s="2871"/>
      <c r="BM5" s="2871"/>
      <c r="BN5" s="2871"/>
      <c r="BO5" s="2871"/>
      <c r="BP5" s="2871"/>
      <c r="BQ5" s="2871"/>
      <c r="BR5" s="2871"/>
      <c r="BS5" s="2871"/>
      <c r="BT5" s="2871"/>
      <c r="BU5" s="2871"/>
      <c r="BV5" s="2871"/>
      <c r="BW5" s="2871"/>
      <c r="BX5" s="2871"/>
      <c r="BY5" s="2871"/>
      <c r="BZ5" s="2871"/>
      <c r="CA5" s="2871"/>
      <c r="CB5" s="2871"/>
      <c r="CC5" s="2871"/>
      <c r="CD5" s="2871"/>
      <c r="CE5" s="2871"/>
      <c r="CF5" s="2871"/>
      <c r="CG5" s="2871"/>
      <c r="CH5" s="2871"/>
      <c r="CI5" s="2871"/>
      <c r="CJ5" s="2871"/>
      <c r="CK5" s="2871"/>
      <c r="CL5" s="2871"/>
      <c r="CM5" s="2871"/>
      <c r="CN5" s="2871"/>
      <c r="CO5" s="2871"/>
      <c r="CP5" s="2871"/>
      <c r="CQ5" s="2871"/>
      <c r="CR5" s="2871"/>
      <c r="CS5" s="2871"/>
      <c r="CT5" s="2871"/>
      <c r="CU5" s="2871"/>
      <c r="CV5" s="2871"/>
      <c r="CW5" s="2871"/>
      <c r="CX5" s="2871"/>
      <c r="CY5" s="2871"/>
      <c r="CZ5" s="2871"/>
      <c r="DA5" s="2871"/>
      <c r="DB5" s="2871"/>
      <c r="DC5" s="2871"/>
      <c r="DD5" s="2871"/>
      <c r="DE5" s="2871"/>
      <c r="DF5" s="2871"/>
      <c r="DG5" s="2871"/>
      <c r="DH5" s="2871"/>
      <c r="DI5" s="2871"/>
      <c r="DJ5" s="2871"/>
      <c r="DK5" s="2871"/>
      <c r="DL5" s="2871"/>
      <c r="DM5" s="2871"/>
      <c r="DN5" s="2871"/>
      <c r="DO5" s="2871"/>
      <c r="DP5" s="2871"/>
      <c r="DQ5" s="2871"/>
      <c r="DR5" s="2871"/>
      <c r="DS5" s="2871"/>
      <c r="DT5" s="2871"/>
      <c r="DU5" s="2871"/>
      <c r="DV5" s="2871"/>
      <c r="DW5" s="2871"/>
      <c r="DX5" s="2871"/>
      <c r="DY5" s="2871"/>
      <c r="DZ5" s="2871"/>
      <c r="EA5" s="2871"/>
      <c r="EB5" s="2871"/>
      <c r="EC5" s="2871"/>
      <c r="ED5" s="2871"/>
      <c r="EE5" s="2871"/>
      <c r="EF5" s="2871"/>
      <c r="EG5" s="2871"/>
      <c r="EH5" s="2871"/>
      <c r="EI5" s="2871"/>
      <c r="EJ5" s="2871"/>
      <c r="EK5" s="2871"/>
      <c r="EL5" s="2871"/>
      <c r="EM5" s="2871"/>
      <c r="EN5" s="2871"/>
      <c r="EO5" s="2871"/>
      <c r="EP5" s="2871"/>
      <c r="EQ5" s="2871"/>
      <c r="ER5" s="2871"/>
      <c r="ES5" s="2871"/>
      <c r="ET5" s="2871"/>
      <c r="EU5" s="2871"/>
      <c r="EV5" s="2871"/>
      <c r="EW5" s="2871"/>
      <c r="EX5" s="2871"/>
      <c r="EY5" s="2871"/>
      <c r="EZ5" s="2871"/>
      <c r="FA5" s="2871"/>
      <c r="FB5" s="2871"/>
      <c r="FC5" s="2871"/>
      <c r="FD5" s="2871"/>
      <c r="FE5" s="2871"/>
      <c r="FF5" s="2871"/>
      <c r="FG5" s="2871"/>
      <c r="FH5" s="2871"/>
      <c r="FI5" s="2871"/>
      <c r="FJ5" s="2871"/>
      <c r="FK5" s="2871"/>
      <c r="FL5" s="2871"/>
      <c r="FM5" s="2871"/>
      <c r="FN5" s="2871"/>
      <c r="FO5" s="2871"/>
      <c r="FP5" s="2871"/>
      <c r="FQ5" s="2871"/>
      <c r="FR5" s="2871"/>
      <c r="FS5" s="2871"/>
      <c r="FT5" s="2871"/>
      <c r="FU5" s="2871"/>
      <c r="FV5" s="2871"/>
      <c r="FW5" s="2871"/>
      <c r="FX5" s="2871"/>
      <c r="FY5" s="2871"/>
      <c r="FZ5" s="2871"/>
      <c r="GA5" s="2871"/>
      <c r="GB5" s="2871"/>
      <c r="GC5" s="2871"/>
      <c r="GD5" s="2871"/>
      <c r="GE5" s="2871"/>
      <c r="GF5" s="2871"/>
      <c r="GG5" s="2871"/>
      <c r="GH5" s="2871"/>
      <c r="GI5" s="2871"/>
      <c r="GJ5" s="2871"/>
      <c r="GK5" s="2871"/>
      <c r="GL5" s="2871"/>
      <c r="GM5" s="2871"/>
      <c r="GN5" s="2871"/>
      <c r="GO5" s="2871"/>
      <c r="GP5" s="2871"/>
      <c r="GQ5" s="2871"/>
      <c r="GR5" s="2871"/>
      <c r="GS5" s="2871"/>
      <c r="GT5" s="2871"/>
      <c r="GU5" s="2871"/>
      <c r="GV5" s="2871"/>
      <c r="GW5" s="2871"/>
      <c r="GX5" s="2871"/>
      <c r="GY5" s="2871"/>
      <c r="GZ5" s="2871"/>
      <c r="HA5" s="2871"/>
      <c r="HB5" s="2871"/>
      <c r="HC5" s="2871"/>
      <c r="HD5" s="2871"/>
      <c r="HE5" s="2871"/>
      <c r="HF5" s="2871"/>
      <c r="HG5" s="2871"/>
      <c r="HH5" s="2871"/>
      <c r="HI5" s="2871"/>
      <c r="HJ5" s="2871"/>
      <c r="HK5" s="2871"/>
      <c r="HL5" s="2871"/>
      <c r="HM5" s="2871"/>
      <c r="HN5" s="2871"/>
      <c r="HO5" s="2871"/>
      <c r="HP5" s="2871"/>
      <c r="HQ5" s="2871"/>
      <c r="HR5" s="2871"/>
      <c r="HS5" s="2871"/>
      <c r="HT5" s="2871"/>
      <c r="HU5" s="2871"/>
      <c r="HV5" s="2871"/>
      <c r="HW5" s="2871"/>
      <c r="HX5" s="2871"/>
      <c r="HY5" s="2871"/>
      <c r="HZ5" s="2871"/>
      <c r="IA5" s="2871"/>
      <c r="IB5" s="2871"/>
      <c r="IC5" s="2871"/>
      <c r="ID5" s="2871"/>
      <c r="IE5" s="2871"/>
      <c r="IF5" s="2871"/>
      <c r="IG5" s="2871"/>
      <c r="IH5" s="2871"/>
      <c r="II5" s="2871"/>
      <c r="IJ5" s="2871"/>
      <c r="IK5" s="2871"/>
      <c r="IL5" s="2871"/>
      <c r="IM5" s="2871"/>
      <c r="IN5" s="2871"/>
      <c r="IO5" s="2871"/>
      <c r="IP5" s="2871"/>
      <c r="IQ5" s="2871"/>
      <c r="IR5" s="2871"/>
      <c r="IS5" s="2871"/>
      <c r="IT5" s="2871"/>
      <c r="IU5" s="2871"/>
      <c r="IV5" s="2871"/>
    </row>
    <row r="6" spans="1:257" s="2926" customFormat="1">
      <c r="A6" s="2871"/>
      <c r="G6" s="2878" t="s">
        <v>2769</v>
      </c>
      <c r="H6" s="2879">
        <v>3</v>
      </c>
      <c r="I6" s="2880">
        <f ca="1">INDIRECT("g"&amp;$H$1)</f>
        <v>4.75</v>
      </c>
      <c r="J6" s="2880">
        <f ca="1">INDIRECT("g"&amp;$H$1)</f>
        <v>4.75</v>
      </c>
      <c r="K6" s="2871"/>
      <c r="L6" s="2871"/>
      <c r="M6" s="2881">
        <v>3</v>
      </c>
      <c r="N6" s="2882">
        <f ca="1">INDIRECT("s"&amp;$N$1)</f>
        <v>2.75</v>
      </c>
      <c r="O6" s="2871"/>
      <c r="P6" s="2871"/>
      <c r="Q6" s="2871"/>
      <c r="R6" s="2871"/>
      <c r="S6" s="2871"/>
      <c r="T6" s="2871"/>
      <c r="U6" s="2871"/>
      <c r="V6" s="2871"/>
      <c r="W6" s="2871"/>
      <c r="X6" s="2871"/>
      <c r="Y6" s="2871"/>
      <c r="Z6" s="2871"/>
      <c r="AA6" s="2871"/>
      <c r="AB6" s="2871"/>
      <c r="AC6" s="2871"/>
      <c r="AD6" s="2871"/>
      <c r="AE6" s="2871"/>
      <c r="AF6" s="2871"/>
      <c r="AG6" s="2871"/>
      <c r="AH6" s="2871"/>
      <c r="AI6" s="2871"/>
      <c r="AJ6" s="2871"/>
      <c r="AK6" s="2871"/>
      <c r="AL6" s="2871"/>
      <c r="AM6" s="2871"/>
      <c r="AN6" s="2871"/>
      <c r="AO6" s="2871"/>
      <c r="AP6" s="2871"/>
      <c r="AQ6" s="2871"/>
      <c r="AR6" s="2871"/>
      <c r="AS6" s="2871"/>
      <c r="AT6" s="2871"/>
      <c r="AU6" s="2871"/>
      <c r="AV6" s="2871"/>
      <c r="AW6" s="2871"/>
      <c r="AX6" s="2871"/>
      <c r="AY6" s="2871"/>
      <c r="AZ6" s="2871"/>
      <c r="BA6" s="2871"/>
      <c r="BB6" s="2871"/>
      <c r="BC6" s="2871"/>
      <c r="BD6" s="2871"/>
      <c r="BE6" s="2871"/>
      <c r="BF6" s="2871"/>
      <c r="BG6" s="2871"/>
      <c r="BH6" s="2871"/>
      <c r="BI6" s="2871"/>
      <c r="BJ6" s="2871"/>
      <c r="BK6" s="2871"/>
      <c r="BL6" s="2871"/>
      <c r="BM6" s="2871"/>
      <c r="BN6" s="2871"/>
      <c r="BO6" s="2871"/>
      <c r="BP6" s="2871"/>
      <c r="BQ6" s="2871"/>
      <c r="BR6" s="2871"/>
      <c r="BS6" s="2871"/>
      <c r="BT6" s="2871"/>
      <c r="BU6" s="2871"/>
      <c r="BV6" s="2871"/>
      <c r="BW6" s="2871"/>
      <c r="BX6" s="2871"/>
      <c r="BY6" s="2871"/>
      <c r="BZ6" s="2871"/>
      <c r="CA6" s="2871"/>
      <c r="CB6" s="2871"/>
      <c r="CC6" s="2871"/>
      <c r="CD6" s="2871"/>
      <c r="CE6" s="2871"/>
      <c r="CF6" s="2871"/>
      <c r="CG6" s="2871"/>
      <c r="CH6" s="2871"/>
      <c r="CI6" s="2871"/>
      <c r="CJ6" s="2871"/>
      <c r="CK6" s="2871"/>
      <c r="CL6" s="2871"/>
      <c r="CM6" s="2871"/>
      <c r="CN6" s="2871"/>
      <c r="CO6" s="2871"/>
      <c r="CP6" s="2871"/>
      <c r="CQ6" s="2871"/>
      <c r="CR6" s="2871"/>
      <c r="CS6" s="2871"/>
      <c r="CT6" s="2871"/>
      <c r="CU6" s="2871"/>
      <c r="CV6" s="2871"/>
      <c r="CW6" s="2871"/>
      <c r="CX6" s="2871"/>
      <c r="CY6" s="2871"/>
      <c r="CZ6" s="2871"/>
      <c r="DA6" s="2871"/>
      <c r="DB6" s="2871"/>
      <c r="DC6" s="2871"/>
      <c r="DD6" s="2871"/>
      <c r="DE6" s="2871"/>
      <c r="DF6" s="2871"/>
      <c r="DG6" s="2871"/>
      <c r="DH6" s="2871"/>
      <c r="DI6" s="2871"/>
      <c r="DJ6" s="2871"/>
      <c r="DK6" s="2871"/>
      <c r="DL6" s="2871"/>
      <c r="DM6" s="2871"/>
      <c r="DN6" s="2871"/>
      <c r="DO6" s="2871"/>
      <c r="DP6" s="2871"/>
      <c r="DQ6" s="2871"/>
      <c r="DR6" s="2871"/>
      <c r="DS6" s="2871"/>
      <c r="DT6" s="2871"/>
      <c r="DU6" s="2871"/>
      <c r="DV6" s="2871"/>
      <c r="DW6" s="2871"/>
      <c r="DX6" s="2871"/>
      <c r="DY6" s="2871"/>
      <c r="DZ6" s="2871"/>
      <c r="EA6" s="2871"/>
      <c r="EB6" s="2871"/>
      <c r="EC6" s="2871"/>
      <c r="ED6" s="2871"/>
      <c r="EE6" s="2871"/>
      <c r="EF6" s="2871"/>
      <c r="EG6" s="2871"/>
      <c r="EH6" s="2871"/>
      <c r="EI6" s="2871"/>
      <c r="EJ6" s="2871"/>
      <c r="EK6" s="2871"/>
      <c r="EL6" s="2871"/>
      <c r="EM6" s="2871"/>
      <c r="EN6" s="2871"/>
      <c r="EO6" s="2871"/>
      <c r="EP6" s="2871"/>
      <c r="EQ6" s="2871"/>
      <c r="ER6" s="2871"/>
      <c r="ES6" s="2871"/>
      <c r="ET6" s="2871"/>
      <c r="EU6" s="2871"/>
      <c r="EV6" s="2871"/>
      <c r="EW6" s="2871"/>
      <c r="EX6" s="2871"/>
      <c r="EY6" s="2871"/>
      <c r="EZ6" s="2871"/>
      <c r="FA6" s="2871"/>
      <c r="FB6" s="2871"/>
      <c r="FC6" s="2871"/>
      <c r="FD6" s="2871"/>
      <c r="FE6" s="2871"/>
      <c r="FF6" s="2871"/>
      <c r="FG6" s="2871"/>
      <c r="FH6" s="2871"/>
      <c r="FI6" s="2871"/>
      <c r="FJ6" s="2871"/>
      <c r="FK6" s="2871"/>
      <c r="FL6" s="2871"/>
      <c r="FM6" s="2871"/>
      <c r="FN6" s="2871"/>
      <c r="FO6" s="2871"/>
      <c r="FP6" s="2871"/>
      <c r="FQ6" s="2871"/>
      <c r="FR6" s="2871"/>
      <c r="FS6" s="2871"/>
      <c r="FT6" s="2871"/>
      <c r="FU6" s="2871"/>
      <c r="FV6" s="2871"/>
      <c r="FW6" s="2871"/>
      <c r="FX6" s="2871"/>
      <c r="FY6" s="2871"/>
      <c r="FZ6" s="2871"/>
      <c r="GA6" s="2871"/>
      <c r="GB6" s="2871"/>
      <c r="GC6" s="2871"/>
      <c r="GD6" s="2871"/>
      <c r="GE6" s="2871"/>
      <c r="GF6" s="2871"/>
      <c r="GG6" s="2871"/>
      <c r="GH6" s="2871"/>
      <c r="GI6" s="2871"/>
      <c r="GJ6" s="2871"/>
      <c r="GK6" s="2871"/>
      <c r="GL6" s="2871"/>
      <c r="GM6" s="2871"/>
      <c r="GN6" s="2871"/>
      <c r="GO6" s="2871"/>
      <c r="GP6" s="2871"/>
      <c r="GQ6" s="2871"/>
      <c r="GR6" s="2871"/>
      <c r="GS6" s="2871"/>
      <c r="GT6" s="2871"/>
      <c r="GU6" s="2871"/>
      <c r="GV6" s="2871"/>
      <c r="GW6" s="2871"/>
      <c r="GX6" s="2871"/>
      <c r="GY6" s="2871"/>
      <c r="GZ6" s="2871"/>
      <c r="HA6" s="2871"/>
      <c r="HB6" s="2871"/>
      <c r="HC6" s="2871"/>
      <c r="HD6" s="2871"/>
      <c r="HE6" s="2871"/>
      <c r="HF6" s="2871"/>
      <c r="HG6" s="2871"/>
      <c r="HH6" s="2871"/>
      <c r="HI6" s="2871"/>
      <c r="HJ6" s="2871"/>
      <c r="HK6" s="2871"/>
      <c r="HL6" s="2871"/>
      <c r="HM6" s="2871"/>
      <c r="HN6" s="2871"/>
      <c r="HO6" s="2871"/>
      <c r="HP6" s="2871"/>
      <c r="HQ6" s="2871"/>
      <c r="HR6" s="2871"/>
      <c r="HS6" s="2871"/>
      <c r="HT6" s="2871"/>
      <c r="HU6" s="2871"/>
      <c r="HV6" s="2871"/>
      <c r="HW6" s="2871"/>
      <c r="HX6" s="2871"/>
      <c r="HY6" s="2871"/>
      <c r="HZ6" s="2871"/>
      <c r="IA6" s="2871"/>
      <c r="IB6" s="2871"/>
      <c r="IC6" s="2871"/>
      <c r="ID6" s="2871"/>
      <c r="IE6" s="2871"/>
      <c r="IF6" s="2871"/>
      <c r="IG6" s="2871"/>
      <c r="IH6" s="2871"/>
      <c r="II6" s="2871"/>
      <c r="IJ6" s="2871"/>
      <c r="IK6" s="2871"/>
      <c r="IL6" s="2871"/>
      <c r="IM6" s="2871"/>
      <c r="IN6" s="2871"/>
      <c r="IO6" s="2871"/>
      <c r="IP6" s="2871"/>
      <c r="IQ6" s="2871"/>
      <c r="IR6" s="2871"/>
      <c r="IS6" s="2871"/>
      <c r="IT6" s="2871"/>
      <c r="IU6" s="2871"/>
      <c r="IV6" s="2871"/>
    </row>
    <row r="7" spans="1:257" s="2926" customFormat="1" ht="14.25" thickBot="1">
      <c r="A7" s="2871"/>
      <c r="G7" s="2883" t="s">
        <v>2770</v>
      </c>
      <c r="H7" s="2884">
        <v>5</v>
      </c>
      <c r="I7" s="2885">
        <f ca="1">INDIRECT("h"&amp;$H$1)</f>
        <v>4.9000000000000004</v>
      </c>
      <c r="J7" s="2885">
        <f ca="1">INDIRECT("h"&amp;$H$1)</f>
        <v>4.9000000000000004</v>
      </c>
      <c r="K7" s="2871"/>
      <c r="L7" s="2871"/>
      <c r="M7" s="2886">
        <v>5</v>
      </c>
      <c r="N7" s="2887">
        <f ca="1">INDIRECT("t"&amp;$N$1)</f>
        <v>0</v>
      </c>
      <c r="O7" s="2871"/>
      <c r="P7" s="2871"/>
      <c r="Q7" s="2871"/>
      <c r="R7" s="2871"/>
      <c r="S7" s="2871"/>
      <c r="T7" s="2871"/>
      <c r="U7" s="2871"/>
      <c r="V7" s="2871"/>
      <c r="W7" s="2871"/>
      <c r="X7" s="2871"/>
      <c r="Y7" s="2871"/>
      <c r="Z7" s="2871"/>
      <c r="AA7" s="2871"/>
      <c r="AB7" s="2871"/>
      <c r="AC7" s="2871"/>
      <c r="AD7" s="2871"/>
      <c r="AE7" s="2871"/>
      <c r="AF7" s="2871"/>
      <c r="AG7" s="2871"/>
      <c r="AH7" s="2871"/>
      <c r="AI7" s="2871"/>
      <c r="AJ7" s="2871"/>
      <c r="AK7" s="2871"/>
      <c r="AL7" s="2871"/>
      <c r="AM7" s="2871"/>
      <c r="AN7" s="2871"/>
      <c r="AO7" s="2871"/>
      <c r="AP7" s="2871"/>
      <c r="AQ7" s="2871"/>
      <c r="AR7" s="2871"/>
      <c r="AS7" s="2871"/>
      <c r="AT7" s="2871"/>
      <c r="AU7" s="2871"/>
      <c r="AV7" s="2871"/>
      <c r="AW7" s="2871"/>
      <c r="AX7" s="2871"/>
      <c r="AY7" s="2871"/>
      <c r="AZ7" s="2871"/>
      <c r="BA7" s="2871"/>
      <c r="BB7" s="2871"/>
      <c r="BC7" s="2871"/>
      <c r="BD7" s="2871"/>
      <c r="BE7" s="2871"/>
      <c r="BF7" s="2871"/>
      <c r="BG7" s="2871"/>
      <c r="BH7" s="2871"/>
      <c r="BI7" s="2871"/>
      <c r="BJ7" s="2871"/>
      <c r="BK7" s="2871"/>
      <c r="BL7" s="2871"/>
      <c r="BM7" s="2871"/>
      <c r="BN7" s="2871"/>
      <c r="BO7" s="2871"/>
      <c r="BP7" s="2871"/>
      <c r="BQ7" s="2871"/>
      <c r="BR7" s="2871"/>
      <c r="BS7" s="2871"/>
      <c r="BT7" s="2871"/>
      <c r="BU7" s="2871"/>
      <c r="BV7" s="2871"/>
      <c r="BW7" s="2871"/>
      <c r="BX7" s="2871"/>
      <c r="BY7" s="2871"/>
      <c r="BZ7" s="2871"/>
      <c r="CA7" s="2871"/>
      <c r="CB7" s="2871"/>
      <c r="CC7" s="2871"/>
      <c r="CD7" s="2871"/>
      <c r="CE7" s="2871"/>
      <c r="CF7" s="2871"/>
      <c r="CG7" s="2871"/>
      <c r="CH7" s="2871"/>
      <c r="CI7" s="2871"/>
      <c r="CJ7" s="2871"/>
      <c r="CK7" s="2871"/>
      <c r="CL7" s="2871"/>
      <c r="CM7" s="2871"/>
      <c r="CN7" s="2871"/>
      <c r="CO7" s="2871"/>
      <c r="CP7" s="2871"/>
      <c r="CQ7" s="2871"/>
      <c r="CR7" s="2871"/>
      <c r="CS7" s="2871"/>
      <c r="CT7" s="2871"/>
      <c r="CU7" s="2871"/>
      <c r="CV7" s="2871"/>
      <c r="CW7" s="2871"/>
      <c r="CX7" s="2871"/>
      <c r="CY7" s="2871"/>
      <c r="CZ7" s="2871"/>
      <c r="DA7" s="2871"/>
      <c r="DB7" s="2871"/>
      <c r="DC7" s="2871"/>
      <c r="DD7" s="2871"/>
      <c r="DE7" s="2871"/>
      <c r="DF7" s="2871"/>
      <c r="DG7" s="2871"/>
      <c r="DH7" s="2871"/>
      <c r="DI7" s="2871"/>
      <c r="DJ7" s="2871"/>
      <c r="DK7" s="2871"/>
      <c r="DL7" s="2871"/>
      <c r="DM7" s="2871"/>
      <c r="DN7" s="2871"/>
      <c r="DO7" s="2871"/>
      <c r="DP7" s="2871"/>
      <c r="DQ7" s="2871"/>
      <c r="DR7" s="2871"/>
      <c r="DS7" s="2871"/>
      <c r="DT7" s="2871"/>
      <c r="DU7" s="2871"/>
      <c r="DV7" s="2871"/>
      <c r="DW7" s="2871"/>
      <c r="DX7" s="2871"/>
      <c r="DY7" s="2871"/>
      <c r="DZ7" s="2871"/>
      <c r="EA7" s="2871"/>
      <c r="EB7" s="2871"/>
      <c r="EC7" s="2871"/>
      <c r="ED7" s="2871"/>
      <c r="EE7" s="2871"/>
      <c r="EF7" s="2871"/>
      <c r="EG7" s="2871"/>
      <c r="EH7" s="2871"/>
      <c r="EI7" s="2871"/>
      <c r="EJ7" s="2871"/>
      <c r="EK7" s="2871"/>
      <c r="EL7" s="2871"/>
      <c r="EM7" s="2871"/>
      <c r="EN7" s="2871"/>
      <c r="EO7" s="2871"/>
      <c r="EP7" s="2871"/>
      <c r="EQ7" s="2871"/>
      <c r="ER7" s="2871"/>
      <c r="ES7" s="2871"/>
      <c r="ET7" s="2871"/>
      <c r="EU7" s="2871"/>
      <c r="EV7" s="2871"/>
      <c r="EW7" s="2871"/>
      <c r="EX7" s="2871"/>
      <c r="EY7" s="2871"/>
      <c r="EZ7" s="2871"/>
      <c r="FA7" s="2871"/>
      <c r="FB7" s="2871"/>
      <c r="FC7" s="2871"/>
      <c r="FD7" s="2871"/>
      <c r="FE7" s="2871"/>
      <c r="FF7" s="2871"/>
      <c r="FG7" s="2871"/>
      <c r="FH7" s="2871"/>
      <c r="FI7" s="2871"/>
      <c r="FJ7" s="2871"/>
      <c r="FK7" s="2871"/>
      <c r="FL7" s="2871"/>
      <c r="FM7" s="2871"/>
      <c r="FN7" s="2871"/>
      <c r="FO7" s="2871"/>
      <c r="FP7" s="2871"/>
      <c r="FQ7" s="2871"/>
      <c r="FR7" s="2871"/>
      <c r="FS7" s="2871"/>
      <c r="FT7" s="2871"/>
      <c r="FU7" s="2871"/>
      <c r="FV7" s="2871"/>
      <c r="FW7" s="2871"/>
      <c r="FX7" s="2871"/>
      <c r="FY7" s="2871"/>
      <c r="FZ7" s="2871"/>
      <c r="GA7" s="2871"/>
      <c r="GB7" s="2871"/>
      <c r="GC7" s="2871"/>
      <c r="GD7" s="2871"/>
      <c r="GE7" s="2871"/>
      <c r="GF7" s="2871"/>
      <c r="GG7" s="2871"/>
      <c r="GH7" s="2871"/>
      <c r="GI7" s="2871"/>
      <c r="GJ7" s="2871"/>
      <c r="GK7" s="2871"/>
      <c r="GL7" s="2871"/>
      <c r="GM7" s="2871"/>
      <c r="GN7" s="2871"/>
      <c r="GO7" s="2871"/>
      <c r="GP7" s="2871"/>
      <c r="GQ7" s="2871"/>
      <c r="GR7" s="2871"/>
      <c r="GS7" s="2871"/>
      <c r="GT7" s="2871"/>
      <c r="GU7" s="2871"/>
      <c r="GV7" s="2871"/>
      <c r="GW7" s="2871"/>
      <c r="GX7" s="2871"/>
      <c r="GY7" s="2871"/>
      <c r="GZ7" s="2871"/>
      <c r="HA7" s="2871"/>
      <c r="HB7" s="2871"/>
      <c r="HC7" s="2871"/>
      <c r="HD7" s="2871"/>
      <c r="HE7" s="2871"/>
      <c r="HF7" s="2871"/>
      <c r="HG7" s="2871"/>
      <c r="HH7" s="2871"/>
      <c r="HI7" s="2871"/>
      <c r="HJ7" s="2871"/>
      <c r="HK7" s="2871"/>
      <c r="HL7" s="2871"/>
      <c r="HM7" s="2871"/>
      <c r="HN7" s="2871"/>
      <c r="HO7" s="2871"/>
      <c r="HP7" s="2871"/>
      <c r="HQ7" s="2871"/>
      <c r="HR7" s="2871"/>
      <c r="HS7" s="2871"/>
      <c r="HT7" s="2871"/>
      <c r="HU7" s="2871"/>
      <c r="HV7" s="2871"/>
      <c r="HW7" s="2871"/>
      <c r="HX7" s="2871"/>
      <c r="HY7" s="2871"/>
      <c r="HZ7" s="2871"/>
      <c r="IA7" s="2871"/>
      <c r="IB7" s="2871"/>
      <c r="IC7" s="2871"/>
      <c r="ID7" s="2871"/>
      <c r="IE7" s="2871"/>
      <c r="IF7" s="2871"/>
      <c r="IG7" s="2871"/>
      <c r="IH7" s="2871"/>
      <c r="II7" s="2871"/>
      <c r="IJ7" s="2871"/>
      <c r="IK7" s="2871"/>
      <c r="IL7" s="2871"/>
      <c r="IM7" s="2871"/>
      <c r="IN7" s="2871"/>
      <c r="IO7" s="2871"/>
      <c r="IP7" s="2871"/>
      <c r="IQ7" s="2871"/>
      <c r="IR7" s="2871"/>
      <c r="IS7" s="2871"/>
      <c r="IT7" s="2871"/>
      <c r="IU7" s="2871"/>
      <c r="IV7" s="2871"/>
    </row>
    <row r="8" spans="1:257">
      <c r="A8" s="2888"/>
      <c r="B8" s="2889"/>
      <c r="C8" s="2890"/>
      <c r="D8" s="2871"/>
      <c r="E8" s="2871"/>
      <c r="F8" s="2871"/>
      <c r="G8" s="2871"/>
      <c r="H8" s="2871"/>
      <c r="I8" s="2871"/>
      <c r="J8" s="2871"/>
      <c r="L8" s="2871"/>
      <c r="M8" s="2871"/>
      <c r="N8" s="2871"/>
      <c r="O8" s="2871"/>
      <c r="P8" s="2871"/>
      <c r="Q8" s="2871"/>
      <c r="R8" s="2871"/>
      <c r="S8" s="2871"/>
      <c r="T8" s="2871"/>
      <c r="U8" s="2871"/>
      <c r="V8" s="2871"/>
      <c r="W8" s="2871"/>
      <c r="X8" s="2871"/>
      <c r="Y8" s="2871"/>
      <c r="Z8" s="2871"/>
    </row>
    <row r="9" spans="1:257" ht="20.25">
      <c r="A9" s="2891"/>
      <c r="B9" s="2892" t="s">
        <v>2771</v>
      </c>
      <c r="C9" s="2893"/>
      <c r="D9" s="2894"/>
      <c r="E9" s="2894"/>
      <c r="F9" s="2894"/>
      <c r="G9" s="2894"/>
      <c r="H9" s="2894"/>
      <c r="I9" s="2894"/>
      <c r="J9" s="2894"/>
      <c r="K9" s="2894"/>
      <c r="L9" s="2894"/>
      <c r="M9" s="2894"/>
      <c r="N9" s="2894"/>
      <c r="O9" s="2894"/>
      <c r="P9" s="2894"/>
      <c r="Q9" s="2894"/>
      <c r="R9" s="2894"/>
      <c r="S9" s="2894"/>
      <c r="T9" s="2894"/>
      <c r="U9" s="2894"/>
      <c r="V9" s="2894"/>
      <c r="W9" s="2894"/>
      <c r="X9" s="2894"/>
      <c r="Y9" s="2894"/>
      <c r="Z9" s="2894"/>
      <c r="AA9" s="2895"/>
      <c r="AB9" s="2895"/>
      <c r="AC9" s="2895"/>
      <c r="AD9" s="2895"/>
      <c r="AE9" s="2895"/>
      <c r="AF9" s="2895"/>
      <c r="AG9" s="2895"/>
      <c r="AH9" s="2895"/>
      <c r="AI9" s="2895"/>
      <c r="AJ9" s="2895"/>
      <c r="AK9" s="2895"/>
      <c r="AL9" s="2895"/>
      <c r="AM9" s="2895"/>
      <c r="AN9" s="2895"/>
      <c r="AO9" s="2895"/>
      <c r="AP9" s="2895"/>
      <c r="AQ9" s="2895"/>
      <c r="AR9" s="2895"/>
      <c r="AS9" s="2895"/>
      <c r="AT9" s="2895"/>
      <c r="AU9" s="2895"/>
      <c r="AV9" s="2895"/>
      <c r="AW9" s="2895"/>
      <c r="AX9" s="2895"/>
      <c r="AY9" s="2895"/>
      <c r="AZ9" s="2895"/>
      <c r="BA9" s="2895"/>
      <c r="BB9" s="2895"/>
      <c r="BC9" s="2895"/>
      <c r="BD9" s="2895"/>
      <c r="BE9" s="2895"/>
      <c r="BF9" s="2895"/>
      <c r="BG9" s="2895"/>
      <c r="BH9" s="2895"/>
      <c r="BI9" s="2895"/>
      <c r="BJ9" s="2895"/>
      <c r="BK9" s="2895"/>
      <c r="BL9" s="2895"/>
      <c r="BM9" s="2895"/>
      <c r="BN9" s="2895"/>
      <c r="BO9" s="2895"/>
      <c r="BP9" s="2895"/>
      <c r="BQ9" s="2895"/>
      <c r="BR9" s="2895"/>
      <c r="BS9" s="2895"/>
      <c r="BT9" s="2895"/>
      <c r="BU9" s="2895"/>
      <c r="BV9" s="2895"/>
      <c r="BW9" s="2895"/>
      <c r="BX9" s="2895"/>
      <c r="BY9" s="2895"/>
      <c r="BZ9" s="2895"/>
      <c r="CA9" s="2895"/>
      <c r="CB9" s="2895"/>
      <c r="CC9" s="2895"/>
      <c r="CD9" s="2895"/>
      <c r="CE9" s="2895"/>
      <c r="CF9" s="2895"/>
      <c r="CG9" s="2895"/>
      <c r="CH9" s="2895"/>
      <c r="CI9" s="2895"/>
      <c r="CJ9" s="2895"/>
      <c r="CK9" s="2895"/>
      <c r="CL9" s="2895"/>
      <c r="CM9" s="2895"/>
      <c r="CN9" s="2895"/>
      <c r="CO9" s="2895"/>
      <c r="CP9" s="2895"/>
      <c r="CQ9" s="2895"/>
      <c r="CR9" s="2895"/>
      <c r="CS9" s="2895"/>
      <c r="CT9" s="2895"/>
      <c r="CU9" s="2895"/>
      <c r="CV9" s="2895"/>
      <c r="CW9" s="2895"/>
      <c r="CX9" s="2895"/>
      <c r="CY9" s="2895"/>
      <c r="CZ9" s="2895"/>
      <c r="DA9" s="2895"/>
      <c r="DB9" s="2895"/>
      <c r="DC9" s="2895"/>
      <c r="DD9" s="2895"/>
      <c r="DE9" s="2895"/>
      <c r="DF9" s="2895"/>
      <c r="DG9" s="2895"/>
      <c r="DH9" s="2895"/>
      <c r="DI9" s="2895"/>
      <c r="DJ9" s="2895"/>
      <c r="DK9" s="2895"/>
      <c r="DL9" s="2895"/>
      <c r="DM9" s="2895"/>
      <c r="DN9" s="2895"/>
      <c r="DO9" s="2895"/>
      <c r="DP9" s="2895"/>
      <c r="DQ9" s="2895"/>
      <c r="DR9" s="2895"/>
      <c r="DS9" s="2895"/>
      <c r="DT9" s="2895"/>
      <c r="DU9" s="2895"/>
      <c r="DV9" s="2895"/>
      <c r="DW9" s="2895"/>
      <c r="DX9" s="2895"/>
      <c r="DY9" s="2895"/>
      <c r="DZ9" s="2895"/>
      <c r="EA9" s="2895"/>
      <c r="EB9" s="2895"/>
      <c r="EC9" s="2895"/>
      <c r="ED9" s="2895"/>
      <c r="EE9" s="2895"/>
      <c r="EF9" s="2895"/>
      <c r="EG9" s="2895"/>
      <c r="EH9" s="2895"/>
      <c r="EI9" s="2895"/>
      <c r="EJ9" s="2895"/>
      <c r="EK9" s="2895"/>
      <c r="EL9" s="2895"/>
      <c r="EM9" s="2895"/>
      <c r="EN9" s="2895"/>
      <c r="EO9" s="2895"/>
      <c r="EP9" s="2895"/>
      <c r="EQ9" s="2895"/>
      <c r="ER9" s="2895"/>
      <c r="ES9" s="2895"/>
      <c r="ET9" s="2895"/>
      <c r="EU9" s="2895"/>
      <c r="EV9" s="2895"/>
      <c r="EW9" s="2895"/>
      <c r="EX9" s="2895"/>
      <c r="EY9" s="2895"/>
      <c r="EZ9" s="2895"/>
      <c r="FA9" s="2895"/>
      <c r="FB9" s="2895"/>
      <c r="FC9" s="2895"/>
      <c r="FD9" s="2895"/>
      <c r="FE9" s="2895"/>
      <c r="FF9" s="2895"/>
      <c r="FG9" s="2895"/>
      <c r="FH9" s="2895"/>
      <c r="FI9" s="2895"/>
      <c r="FJ9" s="2895"/>
      <c r="FK9" s="2895"/>
      <c r="FL9" s="2895"/>
      <c r="FM9" s="2895"/>
      <c r="FN9" s="2895"/>
      <c r="FO9" s="2895"/>
      <c r="FP9" s="2895"/>
      <c r="FQ9" s="2895"/>
      <c r="FR9" s="2895"/>
      <c r="FS9" s="2895"/>
      <c r="FT9" s="2895"/>
      <c r="FU9" s="2895"/>
      <c r="FV9" s="2895"/>
      <c r="FW9" s="2895"/>
      <c r="FX9" s="2895"/>
      <c r="FY9" s="2895"/>
      <c r="FZ9" s="2895"/>
      <c r="GA9" s="2895"/>
      <c r="GB9" s="2895"/>
      <c r="GC9" s="2895"/>
      <c r="GD9" s="2895"/>
      <c r="GE9" s="2895"/>
      <c r="GF9" s="2895"/>
      <c r="GG9" s="2895"/>
      <c r="GH9" s="2895"/>
      <c r="GI9" s="2895"/>
      <c r="GJ9" s="2895"/>
      <c r="GK9" s="2895"/>
      <c r="GL9" s="2895"/>
      <c r="GM9" s="2895"/>
      <c r="GN9" s="2895"/>
      <c r="GO9" s="2895"/>
      <c r="GP9" s="2895"/>
      <c r="GQ9" s="2895"/>
      <c r="GR9" s="2895"/>
      <c r="GS9" s="2895"/>
      <c r="GT9" s="2895"/>
      <c r="GU9" s="2895"/>
      <c r="GV9" s="2895"/>
      <c r="GW9" s="2895"/>
      <c r="GX9" s="2895"/>
      <c r="GY9" s="2895"/>
      <c r="GZ9" s="2895"/>
      <c r="HA9" s="2895"/>
      <c r="HB9" s="2895"/>
      <c r="HC9" s="2895"/>
      <c r="HD9" s="2895"/>
      <c r="HE9" s="2895"/>
      <c r="HF9" s="2895"/>
      <c r="HG9" s="2895"/>
      <c r="HH9" s="2895"/>
      <c r="HI9" s="2895"/>
      <c r="HJ9" s="2895"/>
      <c r="HK9" s="2895"/>
      <c r="HL9" s="2895"/>
      <c r="HM9" s="2895"/>
      <c r="HN9" s="2895"/>
      <c r="HO9" s="2895"/>
      <c r="HP9" s="2895"/>
      <c r="HQ9" s="2895"/>
      <c r="HR9" s="2895"/>
      <c r="HS9" s="2895"/>
      <c r="HT9" s="2895"/>
      <c r="HU9" s="2895"/>
      <c r="HV9" s="2895"/>
      <c r="HW9" s="2895"/>
      <c r="HX9" s="2895"/>
      <c r="HY9" s="2895"/>
      <c r="HZ9" s="2895"/>
      <c r="IA9" s="2895"/>
      <c r="IB9" s="2895"/>
      <c r="IC9" s="2895"/>
      <c r="ID9" s="2895"/>
      <c r="IE9" s="2895"/>
      <c r="IF9" s="2895"/>
      <c r="IG9" s="2895"/>
      <c r="IH9" s="2895"/>
      <c r="II9" s="2895"/>
      <c r="IJ9" s="2895"/>
      <c r="IK9" s="2895"/>
      <c r="IL9" s="2895"/>
      <c r="IM9" s="2895"/>
      <c r="IN9" s="2895"/>
      <c r="IO9" s="2895"/>
      <c r="IP9" s="2895"/>
      <c r="IQ9" s="2895"/>
      <c r="IR9" s="2895"/>
      <c r="IS9" s="2895"/>
      <c r="IT9" s="2895"/>
      <c r="IU9" s="2895"/>
      <c r="IV9" s="2895"/>
      <c r="IW9" s="2896"/>
    </row>
    <row r="10" spans="1:257" ht="22.5">
      <c r="A10" s="2897"/>
      <c r="B10" s="2898" t="s">
        <v>2772</v>
      </c>
      <c r="C10" s="2897"/>
      <c r="D10" s="2897"/>
      <c r="E10" s="2897"/>
      <c r="F10" s="2897"/>
      <c r="G10" s="2897"/>
      <c r="H10" s="2897"/>
      <c r="I10" s="2871"/>
      <c r="J10" s="2871"/>
      <c r="K10" s="2897"/>
      <c r="L10" s="2898" t="s">
        <v>2773</v>
      </c>
      <c r="M10" s="2897"/>
      <c r="N10" s="2897"/>
      <c r="O10" s="2897"/>
      <c r="P10" s="2897"/>
      <c r="Q10" s="2897"/>
      <c r="R10" s="2897"/>
      <c r="S10" s="2897"/>
      <c r="T10" s="2897"/>
      <c r="U10" s="2897"/>
      <c r="V10" s="2897"/>
      <c r="W10" s="2897"/>
      <c r="X10" s="2897"/>
      <c r="Y10" s="2897"/>
      <c r="Z10" s="2897"/>
      <c r="AA10" s="2899"/>
      <c r="AB10" s="2899"/>
      <c r="AC10" s="2899"/>
      <c r="AD10" s="2899"/>
      <c r="AE10" s="2899"/>
      <c r="AF10" s="2899"/>
      <c r="AG10" s="2899"/>
      <c r="AH10" s="2899"/>
      <c r="AI10" s="2899"/>
      <c r="AJ10" s="2899"/>
      <c r="AK10" s="2899"/>
      <c r="AL10" s="2899"/>
      <c r="AM10" s="2899"/>
      <c r="AN10" s="2899"/>
      <c r="AO10" s="2899"/>
      <c r="AP10" s="2899"/>
      <c r="AQ10" s="2899"/>
      <c r="AR10" s="2899"/>
      <c r="AS10" s="2899"/>
      <c r="AT10" s="2899"/>
      <c r="AU10" s="2899"/>
      <c r="AV10" s="2899"/>
      <c r="AW10" s="2899"/>
      <c r="AX10" s="2899"/>
      <c r="AY10" s="2899"/>
      <c r="AZ10" s="2899"/>
      <c r="BA10" s="2899"/>
      <c r="BB10" s="2899"/>
      <c r="BC10" s="2899"/>
      <c r="BD10" s="2899"/>
      <c r="BE10" s="2899"/>
      <c r="BF10" s="2899"/>
      <c r="BG10" s="2899"/>
      <c r="BH10" s="2899"/>
      <c r="BI10" s="2899"/>
      <c r="BJ10" s="2899"/>
      <c r="BK10" s="2899"/>
      <c r="BL10" s="2899"/>
      <c r="BM10" s="2899"/>
      <c r="BN10" s="2899"/>
      <c r="BO10" s="2899"/>
      <c r="BP10" s="2899"/>
      <c r="BQ10" s="2899"/>
      <c r="BR10" s="2899"/>
      <c r="BS10" s="2899"/>
      <c r="BT10" s="2899"/>
      <c r="BU10" s="2899"/>
      <c r="BV10" s="2899"/>
      <c r="BW10" s="2899"/>
      <c r="BX10" s="2899"/>
      <c r="BY10" s="2899"/>
      <c r="BZ10" s="2899"/>
      <c r="CA10" s="2899"/>
      <c r="CB10" s="2899"/>
      <c r="CC10" s="2899"/>
      <c r="CD10" s="2899"/>
      <c r="CE10" s="2899"/>
      <c r="CF10" s="2899"/>
      <c r="CG10" s="2899"/>
      <c r="CH10" s="2899"/>
      <c r="CI10" s="2899"/>
      <c r="CJ10" s="2899"/>
      <c r="CK10" s="2899"/>
      <c r="CL10" s="2899"/>
      <c r="CM10" s="2899"/>
      <c r="CN10" s="2899"/>
      <c r="CO10" s="2899"/>
      <c r="CP10" s="2899"/>
      <c r="CQ10" s="2899"/>
      <c r="CR10" s="2899"/>
      <c r="CS10" s="2899"/>
      <c r="CT10" s="2899"/>
      <c r="CU10" s="2899"/>
      <c r="CV10" s="2899"/>
      <c r="CW10" s="2899"/>
      <c r="CX10" s="2899"/>
      <c r="CY10" s="2899"/>
      <c r="CZ10" s="2899"/>
      <c r="DA10" s="2899"/>
      <c r="DB10" s="2899"/>
      <c r="DC10" s="2899"/>
      <c r="DD10" s="2899"/>
      <c r="DE10" s="2899"/>
      <c r="DF10" s="2899"/>
      <c r="DG10" s="2899"/>
      <c r="DH10" s="2899"/>
      <c r="DI10" s="2899"/>
      <c r="DJ10" s="2899"/>
      <c r="DK10" s="2899"/>
      <c r="DL10" s="2899"/>
      <c r="DM10" s="2899"/>
      <c r="DN10" s="2899"/>
      <c r="DO10" s="2899"/>
      <c r="DP10" s="2899"/>
      <c r="DQ10" s="2899"/>
      <c r="DR10" s="2899"/>
      <c r="DS10" s="2899"/>
      <c r="DT10" s="2899"/>
      <c r="DU10" s="2899"/>
      <c r="DV10" s="2899"/>
      <c r="DW10" s="2899"/>
      <c r="DX10" s="2899"/>
      <c r="DY10" s="2899"/>
      <c r="DZ10" s="2899"/>
      <c r="EA10" s="2899"/>
      <c r="EB10" s="2899"/>
      <c r="EC10" s="2899"/>
      <c r="ED10" s="2899"/>
      <c r="EE10" s="2899"/>
      <c r="EF10" s="2899"/>
      <c r="EG10" s="2899"/>
      <c r="EH10" s="2899"/>
      <c r="EI10" s="2899"/>
      <c r="EJ10" s="2899"/>
      <c r="EK10" s="2899"/>
      <c r="EL10" s="2899"/>
      <c r="EM10" s="2899"/>
      <c r="EN10" s="2899"/>
      <c r="EO10" s="2899"/>
      <c r="EP10" s="2899"/>
      <c r="EQ10" s="2899"/>
      <c r="ER10" s="2899"/>
      <c r="ES10" s="2899"/>
      <c r="ET10" s="2899"/>
      <c r="EU10" s="2899"/>
      <c r="EV10" s="2899"/>
      <c r="EW10" s="2899"/>
      <c r="EX10" s="2899"/>
      <c r="EY10" s="2899"/>
      <c r="EZ10" s="2899"/>
      <c r="FA10" s="2899"/>
      <c r="FB10" s="2899"/>
      <c r="FC10" s="2899"/>
      <c r="FD10" s="2899"/>
      <c r="FE10" s="2899"/>
      <c r="FF10" s="2899"/>
      <c r="FG10" s="2899"/>
      <c r="FH10" s="2899"/>
      <c r="FI10" s="2899"/>
      <c r="FJ10" s="2899"/>
      <c r="FK10" s="2899"/>
      <c r="FL10" s="2899"/>
      <c r="FM10" s="2899"/>
      <c r="FN10" s="2899"/>
      <c r="FO10" s="2899"/>
      <c r="FP10" s="2899"/>
      <c r="FQ10" s="2899"/>
      <c r="FR10" s="2899"/>
      <c r="FS10" s="2899"/>
      <c r="FT10" s="2899"/>
      <c r="FU10" s="2899"/>
      <c r="FV10" s="2899"/>
      <c r="FW10" s="2899"/>
      <c r="FX10" s="2899"/>
      <c r="FY10" s="2899"/>
      <c r="FZ10" s="2899"/>
      <c r="GA10" s="2899"/>
      <c r="GB10" s="2899"/>
      <c r="GC10" s="2899"/>
      <c r="GD10" s="2899"/>
      <c r="GE10" s="2899"/>
      <c r="GF10" s="2899"/>
      <c r="GG10" s="2899"/>
      <c r="GH10" s="2899"/>
      <c r="GI10" s="2899"/>
      <c r="GJ10" s="2899"/>
      <c r="GK10" s="2899"/>
      <c r="GL10" s="2899"/>
      <c r="GM10" s="2899"/>
      <c r="GN10" s="2899"/>
      <c r="GO10" s="2899"/>
      <c r="GP10" s="2899"/>
      <c r="GQ10" s="2899"/>
      <c r="GR10" s="2899"/>
      <c r="GS10" s="2899"/>
      <c r="GT10" s="2899"/>
      <c r="GU10" s="2899"/>
      <c r="GV10" s="2899"/>
      <c r="GW10" s="2899"/>
      <c r="GX10" s="2899"/>
      <c r="GY10" s="2899"/>
      <c r="GZ10" s="2899"/>
      <c r="HA10" s="2899"/>
      <c r="HB10" s="2899"/>
      <c r="HC10" s="2899"/>
      <c r="HD10" s="2899"/>
      <c r="HE10" s="2899"/>
      <c r="HF10" s="2899"/>
      <c r="HG10" s="2899"/>
      <c r="HH10" s="2899"/>
      <c r="HI10" s="2899"/>
      <c r="HJ10" s="2899"/>
      <c r="HK10" s="2899"/>
      <c r="HL10" s="2899"/>
      <c r="HM10" s="2899"/>
      <c r="HN10" s="2899"/>
      <c r="HO10" s="2899"/>
      <c r="HP10" s="2899"/>
      <c r="HQ10" s="2899"/>
      <c r="HR10" s="2899"/>
      <c r="HS10" s="2899"/>
      <c r="HT10" s="2899"/>
      <c r="HU10" s="2899"/>
      <c r="HV10" s="2899"/>
      <c r="HW10" s="2899"/>
      <c r="HX10" s="2899"/>
      <c r="HY10" s="2899"/>
      <c r="HZ10" s="2899"/>
      <c r="IA10" s="2899"/>
      <c r="IB10" s="2899"/>
      <c r="IC10" s="2899"/>
      <c r="ID10" s="2899"/>
      <c r="IE10" s="2899"/>
      <c r="IF10" s="2899"/>
      <c r="IG10" s="2899"/>
      <c r="IH10" s="2899"/>
      <c r="II10" s="2899"/>
      <c r="IJ10" s="2899"/>
      <c r="IK10" s="2899"/>
      <c r="IL10" s="2899"/>
      <c r="IM10" s="2899"/>
      <c r="IN10" s="2899"/>
      <c r="IO10" s="2899"/>
      <c r="IP10" s="2899"/>
      <c r="IQ10" s="2899"/>
      <c r="IR10" s="2899"/>
      <c r="IS10" s="2899"/>
      <c r="IT10" s="2899"/>
      <c r="IU10" s="2899"/>
      <c r="IV10" s="2899"/>
    </row>
    <row r="11" spans="1:257">
      <c r="A11" s="2900"/>
      <c r="B11" s="2901" t="s">
        <v>2774</v>
      </c>
      <c r="C11" s="2902" t="s">
        <v>2775</v>
      </c>
      <c r="D11" s="2903" t="s">
        <v>2776</v>
      </c>
      <c r="E11" s="2904"/>
      <c r="F11" s="2903" t="s">
        <v>2777</v>
      </c>
      <c r="G11" s="2905"/>
      <c r="H11" s="2904"/>
      <c r="I11" s="2903" t="s">
        <v>2778</v>
      </c>
      <c r="J11" s="2904"/>
      <c r="K11" s="2900"/>
      <c r="L11" s="2901" t="s">
        <v>2774</v>
      </c>
      <c r="M11" s="2902" t="s">
        <v>2775</v>
      </c>
      <c r="N11" s="2901" t="s">
        <v>2779</v>
      </c>
      <c r="O11" s="2903" t="s">
        <v>2780</v>
      </c>
      <c r="P11" s="2905"/>
      <c r="Q11" s="2905"/>
      <c r="R11" s="2905"/>
      <c r="S11" s="2905"/>
      <c r="T11" s="2904"/>
      <c r="U11" s="2903" t="s">
        <v>2781</v>
      </c>
      <c r="V11" s="2905"/>
      <c r="W11" s="2904"/>
      <c r="X11" s="2901" t="s">
        <v>2782</v>
      </c>
      <c r="Y11" s="2901" t="s">
        <v>2783</v>
      </c>
      <c r="Z11" s="2901" t="s">
        <v>2784</v>
      </c>
      <c r="AA11" s="2906"/>
      <c r="AB11" s="2906"/>
      <c r="AC11" s="2906"/>
      <c r="AD11" s="2906"/>
      <c r="AE11" s="2906"/>
      <c r="AF11" s="2906"/>
      <c r="AG11" s="2906"/>
      <c r="AH11" s="2906"/>
      <c r="AI11" s="2906"/>
      <c r="AJ11" s="2906"/>
      <c r="AK11" s="2906"/>
      <c r="AL11" s="2906"/>
      <c r="AM11" s="2906"/>
      <c r="AN11" s="2906"/>
      <c r="AO11" s="2906"/>
      <c r="AP11" s="2906"/>
      <c r="AQ11" s="2906"/>
      <c r="AR11" s="2906"/>
      <c r="AS11" s="2906"/>
      <c r="AT11" s="2906"/>
      <c r="AU11" s="2906"/>
      <c r="AV11" s="2906"/>
      <c r="AW11" s="2906"/>
      <c r="AX11" s="2906"/>
      <c r="AY11" s="2906"/>
      <c r="AZ11" s="2906"/>
      <c r="BA11" s="2906"/>
      <c r="BB11" s="2906"/>
      <c r="BC11" s="2906"/>
      <c r="BD11" s="2906"/>
      <c r="BE11" s="2906"/>
      <c r="BF11" s="2906"/>
      <c r="BG11" s="2906"/>
      <c r="BH11" s="2906"/>
      <c r="BI11" s="2906"/>
      <c r="BJ11" s="2906"/>
      <c r="BK11" s="2906"/>
      <c r="BL11" s="2906"/>
      <c r="BM11" s="2906"/>
      <c r="BN11" s="2906"/>
      <c r="BO11" s="2906"/>
      <c r="BP11" s="2906"/>
      <c r="BQ11" s="2906"/>
      <c r="BR11" s="2906"/>
      <c r="BS11" s="2906"/>
      <c r="BT11" s="2906"/>
      <c r="BU11" s="2906"/>
      <c r="BV11" s="2906"/>
      <c r="BW11" s="2906"/>
      <c r="BX11" s="2906"/>
      <c r="BY11" s="2906"/>
      <c r="BZ11" s="2906"/>
      <c r="CA11" s="2906"/>
      <c r="CB11" s="2906"/>
      <c r="CC11" s="2906"/>
      <c r="CD11" s="2906"/>
      <c r="CE11" s="2906"/>
      <c r="CF11" s="2906"/>
      <c r="CG11" s="2906"/>
      <c r="CH11" s="2906"/>
      <c r="CI11" s="2906"/>
      <c r="CJ11" s="2906"/>
      <c r="CK11" s="2906"/>
      <c r="CL11" s="2906"/>
      <c r="CM11" s="2906"/>
      <c r="CN11" s="2906"/>
      <c r="CO11" s="2906"/>
      <c r="CP11" s="2906"/>
      <c r="CQ11" s="2906"/>
      <c r="CR11" s="2906"/>
      <c r="CS11" s="2906"/>
      <c r="CT11" s="2906"/>
      <c r="CU11" s="2906"/>
      <c r="CV11" s="2906"/>
      <c r="CW11" s="2906"/>
      <c r="CX11" s="2906"/>
      <c r="CY11" s="2906"/>
      <c r="CZ11" s="2906"/>
      <c r="DA11" s="2906"/>
      <c r="DB11" s="2906"/>
      <c r="DC11" s="2906"/>
      <c r="DD11" s="2906"/>
      <c r="DE11" s="2906"/>
      <c r="DF11" s="2906"/>
      <c r="DG11" s="2906"/>
      <c r="DH11" s="2906"/>
      <c r="DI11" s="2906"/>
      <c r="DJ11" s="2906"/>
      <c r="DK11" s="2906"/>
      <c r="DL11" s="2906"/>
      <c r="DM11" s="2906"/>
      <c r="DN11" s="2906"/>
      <c r="DO11" s="2906"/>
      <c r="DP11" s="2906"/>
      <c r="DQ11" s="2906"/>
      <c r="DR11" s="2906"/>
      <c r="DS11" s="2906"/>
      <c r="DT11" s="2906"/>
      <c r="DU11" s="2906"/>
      <c r="DV11" s="2906"/>
      <c r="DW11" s="2906"/>
      <c r="DX11" s="2906"/>
      <c r="DY11" s="2906"/>
      <c r="DZ11" s="2906"/>
      <c r="EA11" s="2906"/>
      <c r="EB11" s="2906"/>
      <c r="EC11" s="2906"/>
      <c r="ED11" s="2906"/>
      <c r="EE11" s="2906"/>
      <c r="EF11" s="2906"/>
      <c r="EG11" s="2906"/>
      <c r="EH11" s="2906"/>
      <c r="EI11" s="2906"/>
      <c r="EJ11" s="2906"/>
      <c r="EK11" s="2906"/>
      <c r="EL11" s="2906"/>
      <c r="EM11" s="2906"/>
      <c r="EN11" s="2906"/>
      <c r="EO11" s="2906"/>
      <c r="EP11" s="2906"/>
      <c r="EQ11" s="2906"/>
      <c r="ER11" s="2906"/>
      <c r="ES11" s="2906"/>
      <c r="ET11" s="2906"/>
      <c r="EU11" s="2906"/>
      <c r="EV11" s="2906"/>
      <c r="EW11" s="2906"/>
      <c r="EX11" s="2906"/>
      <c r="EY11" s="2906"/>
      <c r="EZ11" s="2906"/>
      <c r="FA11" s="2906"/>
      <c r="FB11" s="2906"/>
      <c r="FC11" s="2906"/>
      <c r="FD11" s="2906"/>
      <c r="FE11" s="2906"/>
      <c r="FF11" s="2906"/>
      <c r="FG11" s="2906"/>
      <c r="FH11" s="2906"/>
      <c r="FI11" s="2906"/>
      <c r="FJ11" s="2906"/>
      <c r="FK11" s="2906"/>
      <c r="FL11" s="2906"/>
      <c r="FM11" s="2906"/>
      <c r="FN11" s="2906"/>
      <c r="FO11" s="2906"/>
      <c r="FP11" s="2906"/>
      <c r="FQ11" s="2906"/>
      <c r="FR11" s="2906"/>
      <c r="FS11" s="2906"/>
      <c r="FT11" s="2906"/>
      <c r="FU11" s="2906"/>
      <c r="FV11" s="2906"/>
      <c r="FW11" s="2906"/>
      <c r="FX11" s="2906"/>
      <c r="FY11" s="2906"/>
      <c r="FZ11" s="2906"/>
      <c r="GA11" s="2906"/>
      <c r="GB11" s="2906"/>
      <c r="GC11" s="2906"/>
      <c r="GD11" s="2906"/>
      <c r="GE11" s="2906"/>
      <c r="GF11" s="2906"/>
      <c r="GG11" s="2906"/>
      <c r="GH11" s="2906"/>
      <c r="GI11" s="2906"/>
      <c r="GJ11" s="2906"/>
      <c r="GK11" s="2906"/>
      <c r="GL11" s="2906"/>
      <c r="GM11" s="2906"/>
      <c r="GN11" s="2906"/>
      <c r="GO11" s="2906"/>
      <c r="GP11" s="2906"/>
      <c r="GQ11" s="2906"/>
      <c r="GR11" s="2906"/>
      <c r="GS11" s="2906"/>
      <c r="GT11" s="2906"/>
      <c r="GU11" s="2906"/>
      <c r="GV11" s="2906"/>
      <c r="GW11" s="2906"/>
      <c r="GX11" s="2906"/>
      <c r="GY11" s="2906"/>
      <c r="GZ11" s="2906"/>
      <c r="HA11" s="2906"/>
      <c r="HB11" s="2906"/>
      <c r="HC11" s="2906"/>
      <c r="HD11" s="2906"/>
      <c r="HE11" s="2906"/>
      <c r="HF11" s="2906"/>
      <c r="HG11" s="2906"/>
      <c r="HH11" s="2906"/>
      <c r="HI11" s="2906"/>
      <c r="HJ11" s="2906"/>
      <c r="HK11" s="2906"/>
      <c r="HL11" s="2906"/>
      <c r="HM11" s="2906"/>
      <c r="HN11" s="2906"/>
      <c r="HO11" s="2906"/>
      <c r="HP11" s="2906"/>
      <c r="HQ11" s="2906"/>
      <c r="HR11" s="2906"/>
      <c r="HS11" s="2906"/>
      <c r="HT11" s="2906"/>
      <c r="HU11" s="2906"/>
      <c r="HV11" s="2906"/>
      <c r="HW11" s="2906"/>
      <c r="HX11" s="2906"/>
      <c r="HY11" s="2906"/>
      <c r="HZ11" s="2906"/>
      <c r="IA11" s="2906"/>
      <c r="IB11" s="2906"/>
      <c r="IC11" s="2906"/>
      <c r="ID11" s="2906"/>
      <c r="IE11" s="2906"/>
      <c r="IF11" s="2906"/>
      <c r="IG11" s="2906"/>
      <c r="IH11" s="2906"/>
      <c r="II11" s="2906"/>
      <c r="IJ11" s="2906"/>
      <c r="IK11" s="2906"/>
      <c r="IL11" s="2906"/>
      <c r="IM11" s="2906"/>
      <c r="IN11" s="2906"/>
      <c r="IO11" s="2906"/>
      <c r="IP11" s="2906"/>
      <c r="IQ11" s="2906"/>
      <c r="IR11" s="2906"/>
      <c r="IS11" s="2906"/>
      <c r="IT11" s="2906"/>
      <c r="IU11" s="2906"/>
      <c r="IV11" s="2906"/>
    </row>
    <row r="12" spans="1:257">
      <c r="A12" s="2907"/>
      <c r="B12" s="2908"/>
      <c r="C12" s="2909"/>
      <c r="D12" s="2910" t="s">
        <v>2785</v>
      </c>
      <c r="E12" s="2910" t="s">
        <v>2786</v>
      </c>
      <c r="F12" s="2910" t="s">
        <v>2787</v>
      </c>
      <c r="G12" s="2910" t="s">
        <v>2788</v>
      </c>
      <c r="H12" s="2910" t="s">
        <v>2770</v>
      </c>
      <c r="I12" s="2911" t="s">
        <v>2789</v>
      </c>
      <c r="J12" s="2911" t="s">
        <v>2789</v>
      </c>
      <c r="K12" s="2907"/>
      <c r="L12" s="2908"/>
      <c r="M12" s="2909"/>
      <c r="N12" s="2908"/>
      <c r="O12" s="2911" t="s">
        <v>2790</v>
      </c>
      <c r="P12" s="2911">
        <v>0.5</v>
      </c>
      <c r="Q12" s="2911">
        <v>1</v>
      </c>
      <c r="R12" s="2911">
        <v>2</v>
      </c>
      <c r="S12" s="2911">
        <v>3</v>
      </c>
      <c r="T12" s="2911">
        <v>5</v>
      </c>
      <c r="U12" s="2911">
        <v>1</v>
      </c>
      <c r="V12" s="2911">
        <v>3</v>
      </c>
      <c r="W12" s="2911">
        <v>5</v>
      </c>
      <c r="X12" s="2908"/>
      <c r="Y12" s="2908"/>
      <c r="Z12" s="2908"/>
      <c r="AA12" s="2912"/>
      <c r="AB12" s="2912"/>
      <c r="AC12" s="2912"/>
      <c r="AD12" s="2912"/>
      <c r="AE12" s="2912"/>
      <c r="AF12" s="2912"/>
      <c r="AG12" s="2912"/>
      <c r="AH12" s="2912"/>
      <c r="AI12" s="2912"/>
      <c r="AJ12" s="2912"/>
      <c r="AK12" s="2912"/>
      <c r="AL12" s="2912"/>
      <c r="AM12" s="2912"/>
      <c r="AN12" s="2912"/>
      <c r="AO12" s="2912"/>
      <c r="AP12" s="2912"/>
      <c r="AQ12" s="2912"/>
      <c r="AR12" s="2912"/>
      <c r="AS12" s="2912"/>
      <c r="AT12" s="2912"/>
      <c r="AU12" s="2912"/>
      <c r="AV12" s="2912"/>
      <c r="AW12" s="2912"/>
      <c r="AX12" s="2912"/>
      <c r="AY12" s="2912"/>
      <c r="AZ12" s="2912"/>
      <c r="BA12" s="2912"/>
      <c r="BB12" s="2912"/>
      <c r="BC12" s="2912"/>
      <c r="BD12" s="2912"/>
      <c r="BE12" s="2912"/>
      <c r="BF12" s="2912"/>
      <c r="BG12" s="2912"/>
      <c r="BH12" s="2912"/>
      <c r="BI12" s="2912"/>
      <c r="BJ12" s="2912"/>
      <c r="BK12" s="2912"/>
      <c r="BL12" s="2912"/>
      <c r="BM12" s="2912"/>
      <c r="BN12" s="2912"/>
      <c r="BO12" s="2912"/>
      <c r="BP12" s="2912"/>
      <c r="BQ12" s="2912"/>
      <c r="BR12" s="2912"/>
      <c r="BS12" s="2912"/>
      <c r="BT12" s="2912"/>
      <c r="BU12" s="2912"/>
      <c r="BV12" s="2912"/>
      <c r="BW12" s="2912"/>
      <c r="BX12" s="2912"/>
      <c r="BY12" s="2912"/>
      <c r="BZ12" s="2912"/>
      <c r="CA12" s="2912"/>
      <c r="CB12" s="2912"/>
      <c r="CC12" s="2912"/>
      <c r="CD12" s="2912"/>
      <c r="CE12" s="2912"/>
      <c r="CF12" s="2912"/>
      <c r="CG12" s="2912"/>
      <c r="CH12" s="2912"/>
      <c r="CI12" s="2912"/>
      <c r="CJ12" s="2912"/>
      <c r="CK12" s="2912"/>
      <c r="CL12" s="2912"/>
      <c r="CM12" s="2912"/>
      <c r="CN12" s="2912"/>
      <c r="CO12" s="2912"/>
      <c r="CP12" s="2912"/>
      <c r="CQ12" s="2912"/>
      <c r="CR12" s="2912"/>
      <c r="CS12" s="2912"/>
      <c r="CT12" s="2912"/>
      <c r="CU12" s="2912"/>
      <c r="CV12" s="2912"/>
      <c r="CW12" s="2912"/>
      <c r="CX12" s="2912"/>
      <c r="CY12" s="2912"/>
      <c r="CZ12" s="2912"/>
      <c r="DA12" s="2912"/>
      <c r="DB12" s="2912"/>
      <c r="DC12" s="2912"/>
      <c r="DD12" s="2912"/>
      <c r="DE12" s="2912"/>
      <c r="DF12" s="2912"/>
      <c r="DG12" s="2912"/>
      <c r="DH12" s="2912"/>
      <c r="DI12" s="2912"/>
      <c r="DJ12" s="2912"/>
      <c r="DK12" s="2912"/>
      <c r="DL12" s="2912"/>
      <c r="DM12" s="2912"/>
      <c r="DN12" s="2912"/>
      <c r="DO12" s="2912"/>
      <c r="DP12" s="2912"/>
      <c r="DQ12" s="2912"/>
      <c r="DR12" s="2912"/>
      <c r="DS12" s="2912"/>
      <c r="DT12" s="2912"/>
      <c r="DU12" s="2912"/>
      <c r="DV12" s="2912"/>
      <c r="DW12" s="2912"/>
      <c r="DX12" s="2912"/>
      <c r="DY12" s="2912"/>
      <c r="DZ12" s="2912"/>
      <c r="EA12" s="2912"/>
      <c r="EB12" s="2912"/>
      <c r="EC12" s="2912"/>
      <c r="ED12" s="2912"/>
      <c r="EE12" s="2912"/>
      <c r="EF12" s="2912"/>
      <c r="EG12" s="2912"/>
      <c r="EH12" s="2912"/>
      <c r="EI12" s="2912"/>
      <c r="EJ12" s="2912"/>
      <c r="EK12" s="2912"/>
      <c r="EL12" s="2912"/>
      <c r="EM12" s="2912"/>
      <c r="EN12" s="2912"/>
      <c r="EO12" s="2912"/>
      <c r="EP12" s="2912"/>
      <c r="EQ12" s="2912"/>
      <c r="ER12" s="2912"/>
      <c r="ES12" s="2912"/>
      <c r="ET12" s="2912"/>
      <c r="EU12" s="2912"/>
      <c r="EV12" s="2912"/>
      <c r="EW12" s="2912"/>
      <c r="EX12" s="2912"/>
      <c r="EY12" s="2912"/>
      <c r="EZ12" s="2912"/>
      <c r="FA12" s="2912"/>
      <c r="FB12" s="2912"/>
      <c r="FC12" s="2912"/>
      <c r="FD12" s="2912"/>
      <c r="FE12" s="2912"/>
      <c r="FF12" s="2912"/>
      <c r="FG12" s="2912"/>
      <c r="FH12" s="2912"/>
      <c r="FI12" s="2912"/>
      <c r="FJ12" s="2912"/>
      <c r="FK12" s="2912"/>
      <c r="FL12" s="2912"/>
      <c r="FM12" s="2912"/>
      <c r="FN12" s="2912"/>
      <c r="FO12" s="2912"/>
      <c r="FP12" s="2912"/>
      <c r="FQ12" s="2912"/>
      <c r="FR12" s="2912"/>
      <c r="FS12" s="2912"/>
      <c r="FT12" s="2912"/>
      <c r="FU12" s="2912"/>
      <c r="FV12" s="2912"/>
      <c r="FW12" s="2912"/>
      <c r="FX12" s="2912"/>
      <c r="FY12" s="2912"/>
      <c r="FZ12" s="2912"/>
      <c r="GA12" s="2912"/>
      <c r="GB12" s="2912"/>
      <c r="GC12" s="2912"/>
      <c r="GD12" s="2912"/>
      <c r="GE12" s="2912"/>
      <c r="GF12" s="2912"/>
      <c r="GG12" s="2912"/>
      <c r="GH12" s="2912"/>
      <c r="GI12" s="2912"/>
      <c r="GJ12" s="2912"/>
      <c r="GK12" s="2912"/>
      <c r="GL12" s="2912"/>
      <c r="GM12" s="2912"/>
      <c r="GN12" s="2912"/>
      <c r="GO12" s="2912"/>
      <c r="GP12" s="2912"/>
      <c r="GQ12" s="2912"/>
      <c r="GR12" s="2912"/>
      <c r="GS12" s="2912"/>
      <c r="GT12" s="2912"/>
      <c r="GU12" s="2912"/>
      <c r="GV12" s="2912"/>
      <c r="GW12" s="2912"/>
      <c r="GX12" s="2912"/>
      <c r="GY12" s="2912"/>
      <c r="GZ12" s="2912"/>
      <c r="HA12" s="2912"/>
      <c r="HB12" s="2912"/>
      <c r="HC12" s="2912"/>
      <c r="HD12" s="2912"/>
      <c r="HE12" s="2912"/>
      <c r="HF12" s="2912"/>
      <c r="HG12" s="2912"/>
      <c r="HH12" s="2912"/>
      <c r="HI12" s="2912"/>
      <c r="HJ12" s="2912"/>
      <c r="HK12" s="2912"/>
      <c r="HL12" s="2912"/>
      <c r="HM12" s="2912"/>
      <c r="HN12" s="2912"/>
      <c r="HO12" s="2912"/>
      <c r="HP12" s="2912"/>
      <c r="HQ12" s="2912"/>
      <c r="HR12" s="2912"/>
      <c r="HS12" s="2912"/>
      <c r="HT12" s="2912"/>
      <c r="HU12" s="2912"/>
      <c r="HV12" s="2912"/>
      <c r="HW12" s="2912"/>
      <c r="HX12" s="2912"/>
      <c r="HY12" s="2912"/>
      <c r="HZ12" s="2912"/>
      <c r="IA12" s="2912"/>
      <c r="IB12" s="2912"/>
      <c r="IC12" s="2912"/>
      <c r="ID12" s="2912"/>
      <c r="IE12" s="2912"/>
      <c r="IF12" s="2912"/>
      <c r="IG12" s="2912"/>
      <c r="IH12" s="2912"/>
      <c r="II12" s="2912"/>
      <c r="IJ12" s="2912"/>
      <c r="IK12" s="2912"/>
      <c r="IL12" s="2912"/>
      <c r="IM12" s="2912"/>
      <c r="IN12" s="2912"/>
      <c r="IO12" s="2912"/>
      <c r="IP12" s="2912"/>
      <c r="IQ12" s="2912"/>
      <c r="IR12" s="2912"/>
      <c r="IS12" s="2912"/>
      <c r="IT12" s="2912"/>
      <c r="IU12" s="2912"/>
      <c r="IV12" s="2912"/>
    </row>
    <row r="13" spans="1:257" ht="14.25">
      <c r="A13" s="2913"/>
      <c r="B13" s="2914" t="s">
        <v>2791</v>
      </c>
      <c r="C13" s="2915">
        <v>42301</v>
      </c>
      <c r="D13" s="2916">
        <v>4.3499999999999996</v>
      </c>
      <c r="E13" s="2916">
        <v>4.3499999999999996</v>
      </c>
      <c r="F13" s="2916">
        <v>4.75</v>
      </c>
      <c r="G13" s="2916">
        <v>4.75</v>
      </c>
      <c r="H13" s="2916">
        <v>4.9000000000000004</v>
      </c>
      <c r="I13" s="2916">
        <v>2.75</v>
      </c>
      <c r="J13" s="2916">
        <v>3.25</v>
      </c>
      <c r="K13" s="2913"/>
      <c r="L13" s="2914" t="s">
        <v>2791</v>
      </c>
      <c r="M13" s="2917">
        <v>42301</v>
      </c>
      <c r="N13" s="2916">
        <v>0.35</v>
      </c>
      <c r="O13" s="2916">
        <v>1.1000000000000001</v>
      </c>
      <c r="P13" s="2916">
        <v>1.3</v>
      </c>
      <c r="Q13" s="2916">
        <v>1.5</v>
      </c>
      <c r="R13" s="2916">
        <v>2.1</v>
      </c>
      <c r="S13" s="2916">
        <v>2.75</v>
      </c>
      <c r="T13" s="2916"/>
      <c r="U13" s="2916"/>
      <c r="V13" s="2916"/>
      <c r="W13" s="2916"/>
      <c r="X13" s="2916"/>
      <c r="Y13" s="2916"/>
      <c r="Z13" s="2916"/>
      <c r="AA13" s="2918"/>
      <c r="AB13" s="2918"/>
      <c r="AC13" s="2918"/>
      <c r="AD13" s="2918"/>
      <c r="AE13" s="2918"/>
      <c r="AF13" s="2918"/>
      <c r="AG13" s="2918"/>
      <c r="AH13" s="2918"/>
      <c r="AI13" s="2918"/>
      <c r="AJ13" s="2918"/>
      <c r="AK13" s="2918"/>
      <c r="AL13" s="2918"/>
      <c r="AM13" s="2918"/>
      <c r="AN13" s="2918"/>
      <c r="AO13" s="2918"/>
      <c r="AP13" s="2918"/>
      <c r="AQ13" s="2918"/>
      <c r="AR13" s="2918"/>
      <c r="AS13" s="2918"/>
      <c r="AT13" s="2918"/>
      <c r="AU13" s="2918"/>
      <c r="AV13" s="2918"/>
      <c r="AW13" s="2918"/>
      <c r="AX13" s="2918"/>
      <c r="AY13" s="2918"/>
      <c r="AZ13" s="2918"/>
      <c r="BA13" s="2918"/>
      <c r="BB13" s="2918"/>
      <c r="BC13" s="2918"/>
      <c r="BD13" s="2918"/>
      <c r="BE13" s="2918"/>
      <c r="BF13" s="2918"/>
      <c r="BG13" s="2918"/>
      <c r="BH13" s="2918"/>
      <c r="BI13" s="2918"/>
      <c r="BJ13" s="2918"/>
      <c r="BK13" s="2918"/>
      <c r="BL13" s="2918"/>
      <c r="BM13" s="2918"/>
      <c r="BN13" s="2918"/>
      <c r="BO13" s="2918"/>
      <c r="BP13" s="2918"/>
      <c r="BQ13" s="2918"/>
      <c r="BR13" s="2918"/>
      <c r="BS13" s="2918"/>
      <c r="BT13" s="2918"/>
      <c r="BU13" s="2918"/>
      <c r="BV13" s="2918"/>
      <c r="BW13" s="2918"/>
      <c r="BX13" s="2918"/>
      <c r="BY13" s="2918"/>
      <c r="BZ13" s="2918"/>
      <c r="CA13" s="2918"/>
      <c r="CB13" s="2918"/>
      <c r="CC13" s="2918"/>
      <c r="CD13" s="2918"/>
      <c r="CE13" s="2918"/>
      <c r="CF13" s="2918"/>
      <c r="CG13" s="2918"/>
      <c r="CH13" s="2918"/>
      <c r="CI13" s="2918"/>
      <c r="CJ13" s="2918"/>
      <c r="CK13" s="2918"/>
      <c r="CL13" s="2918"/>
      <c r="CM13" s="2918"/>
      <c r="CN13" s="2918"/>
      <c r="CO13" s="2918"/>
      <c r="CP13" s="2918"/>
      <c r="CQ13" s="2918"/>
      <c r="CR13" s="2918"/>
      <c r="CS13" s="2918"/>
      <c r="CT13" s="2918"/>
      <c r="CU13" s="2918"/>
      <c r="CV13" s="2918"/>
      <c r="CW13" s="2918"/>
      <c r="CX13" s="2918"/>
      <c r="CY13" s="2918"/>
      <c r="CZ13" s="2918"/>
      <c r="DA13" s="2918"/>
      <c r="DB13" s="2918"/>
      <c r="DC13" s="2918"/>
      <c r="DD13" s="2918"/>
      <c r="DE13" s="2918"/>
      <c r="DF13" s="2918"/>
      <c r="DG13" s="2918"/>
      <c r="DH13" s="2918"/>
      <c r="DI13" s="2918"/>
      <c r="DJ13" s="2918"/>
      <c r="DK13" s="2918"/>
      <c r="DL13" s="2918"/>
      <c r="DM13" s="2918"/>
      <c r="DN13" s="2918"/>
      <c r="DO13" s="2918"/>
      <c r="DP13" s="2918"/>
      <c r="DQ13" s="2918"/>
      <c r="DR13" s="2918"/>
      <c r="DS13" s="2918"/>
      <c r="DT13" s="2918"/>
      <c r="DU13" s="2918"/>
      <c r="DV13" s="2918"/>
      <c r="DW13" s="2918"/>
      <c r="DX13" s="2918"/>
      <c r="DY13" s="2918"/>
      <c r="DZ13" s="2918"/>
      <c r="EA13" s="2918"/>
      <c r="EB13" s="2918"/>
      <c r="EC13" s="2918"/>
      <c r="ED13" s="2918"/>
      <c r="EE13" s="2918"/>
      <c r="EF13" s="2918"/>
      <c r="EG13" s="2918"/>
      <c r="EH13" s="2918"/>
      <c r="EI13" s="2918"/>
      <c r="EJ13" s="2918"/>
      <c r="EK13" s="2918"/>
      <c r="EL13" s="2918"/>
      <c r="EM13" s="2918"/>
      <c r="EN13" s="2918"/>
      <c r="EO13" s="2918"/>
      <c r="EP13" s="2918"/>
      <c r="EQ13" s="2918"/>
      <c r="ER13" s="2918"/>
      <c r="ES13" s="2918"/>
      <c r="ET13" s="2918"/>
      <c r="EU13" s="2918"/>
      <c r="EV13" s="2918"/>
      <c r="EW13" s="2918"/>
      <c r="EX13" s="2918"/>
      <c r="EY13" s="2918"/>
      <c r="EZ13" s="2918"/>
      <c r="FA13" s="2918"/>
      <c r="FB13" s="2918"/>
      <c r="FC13" s="2918"/>
      <c r="FD13" s="2918"/>
      <c r="FE13" s="2918"/>
      <c r="FF13" s="2918"/>
      <c r="FG13" s="2918"/>
      <c r="FH13" s="2918"/>
      <c r="FI13" s="2918"/>
      <c r="FJ13" s="2918"/>
      <c r="FK13" s="2918"/>
      <c r="FL13" s="2918"/>
      <c r="FM13" s="2918"/>
      <c r="FN13" s="2918"/>
      <c r="FO13" s="2918"/>
      <c r="FP13" s="2918"/>
      <c r="FQ13" s="2918"/>
      <c r="FR13" s="2918"/>
      <c r="FS13" s="2918"/>
      <c r="FT13" s="2918"/>
      <c r="FU13" s="2918"/>
      <c r="FV13" s="2918"/>
      <c r="FW13" s="2918"/>
      <c r="FX13" s="2918"/>
      <c r="FY13" s="2918"/>
      <c r="FZ13" s="2918"/>
      <c r="GA13" s="2918"/>
      <c r="GB13" s="2918"/>
      <c r="GC13" s="2918"/>
      <c r="GD13" s="2918"/>
      <c r="GE13" s="2918"/>
      <c r="GF13" s="2918"/>
      <c r="GG13" s="2918"/>
      <c r="GH13" s="2918"/>
      <c r="GI13" s="2918"/>
      <c r="GJ13" s="2918"/>
      <c r="GK13" s="2918"/>
      <c r="GL13" s="2918"/>
      <c r="GM13" s="2918"/>
      <c r="GN13" s="2918"/>
      <c r="GO13" s="2918"/>
      <c r="GP13" s="2918"/>
      <c r="GQ13" s="2918"/>
      <c r="GR13" s="2918"/>
      <c r="GS13" s="2918"/>
      <c r="GT13" s="2918"/>
      <c r="GU13" s="2918"/>
      <c r="GV13" s="2918"/>
      <c r="GW13" s="2918"/>
      <c r="GX13" s="2918"/>
      <c r="GY13" s="2918"/>
      <c r="GZ13" s="2918"/>
      <c r="HA13" s="2918"/>
      <c r="HB13" s="2918"/>
      <c r="HC13" s="2918"/>
      <c r="HD13" s="2918"/>
      <c r="HE13" s="2918"/>
      <c r="HF13" s="2918"/>
      <c r="HG13" s="2918"/>
      <c r="HH13" s="2918"/>
      <c r="HI13" s="2918"/>
      <c r="HJ13" s="2918"/>
      <c r="HK13" s="2918"/>
      <c r="HL13" s="2918"/>
      <c r="HM13" s="2918"/>
      <c r="HN13" s="2918"/>
      <c r="HO13" s="2918"/>
      <c r="HP13" s="2918"/>
      <c r="HQ13" s="2918"/>
      <c r="HR13" s="2918"/>
      <c r="HS13" s="2918"/>
      <c r="HT13" s="2918"/>
      <c r="HU13" s="2918"/>
      <c r="HV13" s="2918"/>
      <c r="HW13" s="2918"/>
      <c r="HX13" s="2918"/>
      <c r="HY13" s="2918"/>
      <c r="HZ13" s="2918"/>
      <c r="IA13" s="2918"/>
      <c r="IB13" s="2918"/>
      <c r="IC13" s="2918"/>
      <c r="ID13" s="2918"/>
      <c r="IE13" s="2918"/>
      <c r="IF13" s="2918"/>
      <c r="IG13" s="2918"/>
      <c r="IH13" s="2918"/>
      <c r="II13" s="2918"/>
      <c r="IJ13" s="2918"/>
      <c r="IK13" s="2918"/>
      <c r="IL13" s="2918"/>
      <c r="IM13" s="2918"/>
      <c r="IN13" s="2918"/>
      <c r="IO13" s="2918"/>
      <c r="IP13" s="2918"/>
      <c r="IQ13" s="2918"/>
      <c r="IR13" s="2918"/>
      <c r="IS13" s="2918"/>
      <c r="IT13" s="2918"/>
      <c r="IU13" s="2918"/>
      <c r="IV13" s="2918"/>
      <c r="IW13" s="2919"/>
    </row>
    <row r="14" spans="1:257">
      <c r="B14" s="2920"/>
      <c r="C14" s="2921">
        <v>42242</v>
      </c>
      <c r="D14" s="2920">
        <v>4.5999999999999996</v>
      </c>
      <c r="E14" s="2920">
        <v>4.5999999999999996</v>
      </c>
      <c r="F14" s="2920">
        <v>5</v>
      </c>
      <c r="G14" s="2920">
        <v>5</v>
      </c>
      <c r="H14" s="2920">
        <v>5.15</v>
      </c>
      <c r="I14" s="2920">
        <v>2.75</v>
      </c>
      <c r="J14" s="2920">
        <v>3.25</v>
      </c>
      <c r="L14" s="2920"/>
      <c r="M14" s="2921">
        <v>42242</v>
      </c>
      <c r="N14" s="2920">
        <v>0.35</v>
      </c>
      <c r="O14" s="2920">
        <v>1.35</v>
      </c>
      <c r="P14" s="2920">
        <v>1.55</v>
      </c>
      <c r="Q14" s="2920">
        <v>1.75</v>
      </c>
      <c r="R14" s="2920">
        <v>2.35</v>
      </c>
      <c r="S14" s="2920">
        <v>3</v>
      </c>
      <c r="T14" s="2920"/>
      <c r="U14" s="2920"/>
      <c r="V14" s="2920"/>
      <c r="W14" s="2920"/>
      <c r="X14" s="2920"/>
      <c r="Y14" s="2920"/>
      <c r="Z14" s="2920"/>
    </row>
    <row r="15" spans="1:257">
      <c r="B15" s="2920"/>
      <c r="C15" s="2921">
        <v>42183</v>
      </c>
      <c r="D15" s="2920">
        <v>4.8499999999999996</v>
      </c>
      <c r="E15" s="2920">
        <v>4.8499999999999996</v>
      </c>
      <c r="F15" s="2920">
        <v>5.25</v>
      </c>
      <c r="G15" s="2920">
        <v>5.25</v>
      </c>
      <c r="H15" s="2920">
        <v>5.4</v>
      </c>
      <c r="I15" s="2920">
        <v>3</v>
      </c>
      <c r="J15" s="2920">
        <v>3.5</v>
      </c>
      <c r="L15" s="2920"/>
      <c r="M15" s="2921">
        <v>42183</v>
      </c>
      <c r="N15" s="2920">
        <v>0.35</v>
      </c>
      <c r="O15" s="2920">
        <v>1.6</v>
      </c>
      <c r="P15" s="2920">
        <v>1.8</v>
      </c>
      <c r="Q15" s="2920">
        <v>2</v>
      </c>
      <c r="R15" s="2920">
        <v>2.6</v>
      </c>
      <c r="S15" s="2920">
        <v>3.25</v>
      </c>
      <c r="T15" s="2920"/>
      <c r="U15" s="2920"/>
      <c r="V15" s="2920"/>
      <c r="W15" s="2920"/>
      <c r="X15" s="2920"/>
      <c r="Y15" s="2920"/>
      <c r="Z15" s="2920"/>
    </row>
    <row r="16" spans="1:257">
      <c r="B16" s="2920"/>
      <c r="C16" s="2921">
        <v>42135</v>
      </c>
      <c r="D16" s="2920">
        <v>5.0999999999999996</v>
      </c>
      <c r="E16" s="2920">
        <v>5.0999999999999996</v>
      </c>
      <c r="F16" s="2920">
        <v>5.5</v>
      </c>
      <c r="G16" s="2920">
        <v>5.5</v>
      </c>
      <c r="H16" s="2920">
        <v>5.65</v>
      </c>
      <c r="I16" s="2920">
        <v>3.25</v>
      </c>
      <c r="J16" s="2920">
        <v>3.75</v>
      </c>
      <c r="L16" s="2920"/>
      <c r="M16" s="2921">
        <v>42135</v>
      </c>
      <c r="N16" s="2920">
        <v>0.35</v>
      </c>
      <c r="O16" s="2920">
        <v>1.85</v>
      </c>
      <c r="P16" s="2920">
        <v>2.0499999999999998</v>
      </c>
      <c r="Q16" s="2920">
        <v>2.25</v>
      </c>
      <c r="R16" s="2920">
        <v>2.85</v>
      </c>
      <c r="S16" s="2920">
        <v>3.5</v>
      </c>
      <c r="T16" s="2920"/>
      <c r="U16" s="2920"/>
      <c r="V16" s="2920"/>
      <c r="W16" s="2920"/>
      <c r="X16" s="2920"/>
      <c r="Y16" s="2920"/>
      <c r="Z16" s="2920"/>
    </row>
    <row r="17" spans="2:26">
      <c r="B17" s="2920"/>
      <c r="C17" s="2921">
        <v>42064</v>
      </c>
      <c r="D17" s="2920">
        <v>5.35</v>
      </c>
      <c r="E17" s="2920">
        <v>5.35</v>
      </c>
      <c r="F17" s="2920">
        <v>5.75</v>
      </c>
      <c r="G17" s="2920">
        <v>5.75</v>
      </c>
      <c r="H17" s="2920">
        <v>5.9</v>
      </c>
      <c r="I17" s="2920"/>
      <c r="J17" s="2920"/>
      <c r="L17" s="2920"/>
      <c r="M17" s="2921">
        <v>42064</v>
      </c>
      <c r="N17" s="2920">
        <v>0.35</v>
      </c>
      <c r="O17" s="2920">
        <v>2.1</v>
      </c>
      <c r="P17" s="2920">
        <v>2.2999999999999998</v>
      </c>
      <c r="Q17" s="2920">
        <v>2.5</v>
      </c>
      <c r="R17" s="2920">
        <v>3.1</v>
      </c>
      <c r="S17" s="2920">
        <v>3.75</v>
      </c>
      <c r="T17" s="2920">
        <v>4.5</v>
      </c>
      <c r="U17" s="2920">
        <v>2.35</v>
      </c>
      <c r="V17" s="2920">
        <v>2.5499999999999998</v>
      </c>
      <c r="W17" s="2920">
        <v>2.75</v>
      </c>
      <c r="X17" s="2920"/>
      <c r="Y17" s="2920">
        <v>0.8</v>
      </c>
      <c r="Z17" s="2920">
        <v>1.35</v>
      </c>
    </row>
    <row r="18" spans="2:26" ht="15">
      <c r="B18" s="2920"/>
      <c r="C18" s="2921">
        <v>41965</v>
      </c>
      <c r="D18" s="2920">
        <v>5.6</v>
      </c>
      <c r="E18" s="2920">
        <v>5.6</v>
      </c>
      <c r="F18" s="2920">
        <v>6</v>
      </c>
      <c r="G18" s="2920">
        <v>6</v>
      </c>
      <c r="H18" s="2920">
        <v>6.15</v>
      </c>
      <c r="I18" s="2920"/>
      <c r="J18" s="2920"/>
      <c r="L18" s="2920"/>
      <c r="M18" s="2921">
        <v>41965</v>
      </c>
      <c r="N18" s="2920">
        <v>0.35</v>
      </c>
      <c r="O18" s="2920">
        <v>2.35</v>
      </c>
      <c r="P18" s="2920">
        <v>2.5499999999999998</v>
      </c>
      <c r="Q18" s="2920">
        <v>2.75</v>
      </c>
      <c r="R18" s="2920">
        <v>3.35</v>
      </c>
      <c r="S18" s="2920">
        <v>4</v>
      </c>
      <c r="T18" s="2920">
        <v>4.75</v>
      </c>
      <c r="U18" s="2922">
        <v>2.35</v>
      </c>
      <c r="V18" s="2922">
        <v>2.5499999999999998</v>
      </c>
      <c r="W18" s="2922">
        <v>2.75</v>
      </c>
      <c r="X18" s="2920"/>
      <c r="Y18" s="2922">
        <v>0.8</v>
      </c>
      <c r="Z18" s="2922">
        <v>1.35</v>
      </c>
    </row>
    <row r="19" spans="2:26">
      <c r="B19" s="2920"/>
      <c r="C19" s="2921">
        <v>41096</v>
      </c>
      <c r="D19" s="2920">
        <v>5.6</v>
      </c>
      <c r="E19" s="2920">
        <v>6</v>
      </c>
      <c r="F19" s="2920">
        <v>6.15</v>
      </c>
      <c r="G19" s="2920">
        <v>6.4</v>
      </c>
      <c r="H19" s="2920">
        <v>6.55</v>
      </c>
      <c r="I19" s="2920">
        <v>4</v>
      </c>
      <c r="J19" s="2920">
        <v>4.5</v>
      </c>
      <c r="L19" s="2920"/>
      <c r="M19" s="2921">
        <v>41096</v>
      </c>
      <c r="N19" s="2920">
        <v>0.35</v>
      </c>
      <c r="O19" s="2920">
        <v>2.6</v>
      </c>
      <c r="P19" s="2920">
        <v>2.8</v>
      </c>
      <c r="Q19" s="2920">
        <v>3</v>
      </c>
      <c r="R19" s="2920">
        <v>3.75</v>
      </c>
      <c r="S19" s="2920">
        <v>4.25</v>
      </c>
      <c r="T19" s="2920">
        <v>4.75</v>
      </c>
      <c r="U19" s="2920">
        <v>2.85</v>
      </c>
      <c r="V19" s="2920">
        <v>2.9</v>
      </c>
      <c r="W19" s="2920">
        <v>3</v>
      </c>
      <c r="X19" s="2920">
        <v>1.1499999999999999</v>
      </c>
      <c r="Y19" s="2920">
        <v>0.8</v>
      </c>
      <c r="Z19" s="2920">
        <v>1.35</v>
      </c>
    </row>
    <row r="20" spans="2:26">
      <c r="B20" s="2920"/>
      <c r="C20" s="2921">
        <v>41068</v>
      </c>
      <c r="D20" s="2920">
        <v>5.85</v>
      </c>
      <c r="E20" s="2920">
        <v>6.31</v>
      </c>
      <c r="F20" s="2920">
        <v>6.4</v>
      </c>
      <c r="G20" s="2920">
        <v>6.65</v>
      </c>
      <c r="H20" s="2920">
        <v>6.8</v>
      </c>
      <c r="I20" s="2920">
        <v>4.2</v>
      </c>
      <c r="J20" s="2920">
        <v>4.7</v>
      </c>
      <c r="L20" s="2920"/>
      <c r="M20" s="2921">
        <v>41068</v>
      </c>
      <c r="N20" s="2920">
        <v>0.4</v>
      </c>
      <c r="O20" s="2920">
        <v>2.85</v>
      </c>
      <c r="P20" s="2920">
        <v>3.05</v>
      </c>
      <c r="Q20" s="2920">
        <v>3.25</v>
      </c>
      <c r="R20" s="2920">
        <v>4.0999999999999996</v>
      </c>
      <c r="S20" s="2920">
        <v>4.6500000000000004</v>
      </c>
      <c r="T20" s="2920">
        <v>5.0999999999999996</v>
      </c>
      <c r="U20" s="2920">
        <v>3.1</v>
      </c>
      <c r="V20" s="2920">
        <v>3.15</v>
      </c>
      <c r="W20" s="2920">
        <v>3.25</v>
      </c>
      <c r="X20" s="2920">
        <v>1.31</v>
      </c>
      <c r="Y20" s="2920">
        <v>0.94</v>
      </c>
      <c r="Z20" s="2920">
        <v>1.49</v>
      </c>
    </row>
    <row r="21" spans="2:26">
      <c r="B21" s="2920"/>
      <c r="C21" s="2921">
        <v>40731</v>
      </c>
      <c r="D21" s="2920">
        <v>6.1</v>
      </c>
      <c r="E21" s="2920">
        <v>6.56</v>
      </c>
      <c r="F21" s="2920">
        <v>6.65</v>
      </c>
      <c r="G21" s="2920">
        <v>6.9</v>
      </c>
      <c r="H21" s="2920">
        <v>7.05</v>
      </c>
      <c r="I21" s="2920">
        <v>4.45</v>
      </c>
      <c r="J21" s="2920">
        <v>4.9000000000000004</v>
      </c>
      <c r="L21" s="2920"/>
      <c r="M21" s="2921">
        <v>40731</v>
      </c>
      <c r="N21" s="2920">
        <v>0.5</v>
      </c>
      <c r="O21" s="2920">
        <v>3.1</v>
      </c>
      <c r="P21" s="2920">
        <v>3.3</v>
      </c>
      <c r="Q21" s="2920">
        <v>3.5</v>
      </c>
      <c r="R21" s="2920">
        <v>4.4000000000000004</v>
      </c>
      <c r="S21" s="2920">
        <v>5</v>
      </c>
      <c r="T21" s="2920">
        <v>5.5</v>
      </c>
      <c r="U21" s="2920">
        <v>3.1</v>
      </c>
      <c r="V21" s="2920">
        <v>3.3</v>
      </c>
      <c r="W21" s="2920">
        <v>3.5</v>
      </c>
      <c r="X21" s="2920">
        <v>1.31</v>
      </c>
      <c r="Y21" s="2920">
        <v>0.95</v>
      </c>
      <c r="Z21" s="2920">
        <v>1.49</v>
      </c>
    </row>
    <row r="22" spans="2:26">
      <c r="B22" s="2920"/>
      <c r="C22" s="2921">
        <v>40639</v>
      </c>
      <c r="D22" s="2920">
        <v>5.85</v>
      </c>
      <c r="E22" s="2920">
        <v>6.31</v>
      </c>
      <c r="F22" s="2920">
        <v>6.4</v>
      </c>
      <c r="G22" s="2920">
        <v>6.65</v>
      </c>
      <c r="H22" s="2920">
        <v>6.8</v>
      </c>
      <c r="I22" s="2920">
        <v>4.2</v>
      </c>
      <c r="J22" s="2920">
        <v>4.7</v>
      </c>
      <c r="L22" s="2920"/>
      <c r="M22" s="2921">
        <v>40639</v>
      </c>
      <c r="N22" s="2920">
        <v>0.5</v>
      </c>
      <c r="O22" s="2920">
        <v>2.85</v>
      </c>
      <c r="P22" s="2920">
        <v>3.05</v>
      </c>
      <c r="Q22" s="2920">
        <v>3.25</v>
      </c>
      <c r="R22" s="2920">
        <v>4.1500000000000004</v>
      </c>
      <c r="S22" s="2920">
        <v>4.75</v>
      </c>
      <c r="T22" s="2920">
        <v>5.25</v>
      </c>
      <c r="U22" s="2920">
        <v>2.85</v>
      </c>
      <c r="V22" s="2920">
        <v>3.05</v>
      </c>
      <c r="W22" s="2920">
        <v>3.25</v>
      </c>
      <c r="X22" s="2920">
        <v>1.31</v>
      </c>
      <c r="Y22" s="2920">
        <v>0.95</v>
      </c>
      <c r="Z22" s="2920">
        <v>1.49</v>
      </c>
    </row>
    <row r="23" spans="2:26">
      <c r="B23" s="2920"/>
      <c r="C23" s="2921">
        <v>40583</v>
      </c>
      <c r="D23" s="2920">
        <v>5.6</v>
      </c>
      <c r="E23" s="2920">
        <v>6.06</v>
      </c>
      <c r="F23" s="2920">
        <v>6.1</v>
      </c>
      <c r="G23" s="2920">
        <v>6.45</v>
      </c>
      <c r="H23" s="2920">
        <v>6.6</v>
      </c>
      <c r="I23" s="2920">
        <v>4</v>
      </c>
      <c r="J23" s="2920">
        <v>4.5</v>
      </c>
      <c r="L23" s="2920"/>
      <c r="M23" s="2921">
        <v>40583</v>
      </c>
      <c r="N23" s="2920">
        <v>0.4</v>
      </c>
      <c r="O23" s="2920">
        <v>2.6</v>
      </c>
      <c r="P23" s="2920">
        <v>2.8</v>
      </c>
      <c r="Q23" s="2920">
        <v>3</v>
      </c>
      <c r="R23" s="2920">
        <v>3.9</v>
      </c>
      <c r="S23" s="2920">
        <v>4.5</v>
      </c>
      <c r="T23" s="2920">
        <v>5</v>
      </c>
      <c r="U23" s="2920">
        <v>2.6</v>
      </c>
      <c r="V23" s="2920">
        <v>2.8</v>
      </c>
      <c r="W23" s="2920">
        <v>3</v>
      </c>
      <c r="X23" s="2920">
        <v>1.21</v>
      </c>
      <c r="Y23" s="2920">
        <v>0.85</v>
      </c>
      <c r="Z23" s="2920">
        <v>1.39</v>
      </c>
    </row>
    <row r="24" spans="2:26">
      <c r="B24" s="2920"/>
      <c r="C24" s="2921">
        <v>40538</v>
      </c>
      <c r="D24" s="2920">
        <v>5.35</v>
      </c>
      <c r="E24" s="2920">
        <v>5.81</v>
      </c>
      <c r="F24" s="2920">
        <v>5.85</v>
      </c>
      <c r="G24" s="2920">
        <v>6.22</v>
      </c>
      <c r="H24" s="2920">
        <v>6.4</v>
      </c>
      <c r="I24" s="2920">
        <v>3.75</v>
      </c>
      <c r="J24" s="2920">
        <v>4.3</v>
      </c>
      <c r="L24" s="2920"/>
      <c r="M24" s="2921">
        <v>40538</v>
      </c>
      <c r="N24" s="2920">
        <v>0.36</v>
      </c>
      <c r="O24" s="2920">
        <v>2.25</v>
      </c>
      <c r="P24" s="2920">
        <v>2.5</v>
      </c>
      <c r="Q24" s="2920">
        <v>2.75</v>
      </c>
      <c r="R24" s="2920">
        <v>3.55</v>
      </c>
      <c r="S24" s="2920">
        <v>4.1500000000000004</v>
      </c>
      <c r="T24" s="2920">
        <v>4.55</v>
      </c>
      <c r="U24" s="2920">
        <v>2.16</v>
      </c>
      <c r="V24" s="2920">
        <v>2.5</v>
      </c>
      <c r="W24" s="2920">
        <v>2.85</v>
      </c>
      <c r="X24" s="2920">
        <v>1.17</v>
      </c>
      <c r="Y24" s="2920">
        <v>0.81</v>
      </c>
      <c r="Z24" s="2920">
        <v>1.35</v>
      </c>
    </row>
    <row r="25" spans="2:26">
      <c r="B25" s="2920"/>
      <c r="C25" s="2921">
        <v>40471</v>
      </c>
      <c r="D25" s="2920">
        <v>5.0999999999999996</v>
      </c>
      <c r="E25" s="2920">
        <v>5.56</v>
      </c>
      <c r="F25" s="2920">
        <v>5.6</v>
      </c>
      <c r="G25" s="2920">
        <v>5.96</v>
      </c>
      <c r="H25" s="2920">
        <v>6.14</v>
      </c>
      <c r="I25" s="2920">
        <v>3.5</v>
      </c>
      <c r="J25" s="2920">
        <v>4.05</v>
      </c>
      <c r="L25" s="2920"/>
      <c r="M25" s="2921">
        <v>40471</v>
      </c>
      <c r="N25" s="2920">
        <v>0.36</v>
      </c>
      <c r="O25" s="2920">
        <v>1.91</v>
      </c>
      <c r="P25" s="2920">
        <v>2.2000000000000002</v>
      </c>
      <c r="Q25" s="2920">
        <v>2.5</v>
      </c>
      <c r="R25" s="2920">
        <v>3.25</v>
      </c>
      <c r="S25" s="2920">
        <v>3.85</v>
      </c>
      <c r="T25" s="2920">
        <v>4.2</v>
      </c>
      <c r="U25" s="2920">
        <v>1.91</v>
      </c>
      <c r="V25" s="2920">
        <v>2.2000000000000002</v>
      </c>
      <c r="W25" s="2920">
        <v>2.5</v>
      </c>
      <c r="X25" s="2920">
        <v>1.17</v>
      </c>
      <c r="Y25" s="2920">
        <v>0.81</v>
      </c>
      <c r="Z25" s="2920">
        <v>1.35</v>
      </c>
    </row>
    <row r="26" spans="2:26">
      <c r="B26" s="2920"/>
      <c r="C26" s="2921">
        <v>39805</v>
      </c>
      <c r="D26" s="2920">
        <v>4.8600000000000003</v>
      </c>
      <c r="E26" s="2920">
        <v>5.31</v>
      </c>
      <c r="F26" s="2920">
        <v>5.4</v>
      </c>
      <c r="G26" s="2920">
        <v>5.76</v>
      </c>
      <c r="H26" s="2920">
        <v>5.94</v>
      </c>
      <c r="I26" s="2920">
        <v>3.33</v>
      </c>
      <c r="J26" s="2920">
        <v>3.87</v>
      </c>
      <c r="L26" s="2920"/>
      <c r="M26" s="2921">
        <v>39805</v>
      </c>
      <c r="N26" s="2920">
        <v>0.36</v>
      </c>
      <c r="O26" s="2920">
        <v>1.71</v>
      </c>
      <c r="P26" s="2920">
        <v>1.98</v>
      </c>
      <c r="Q26" s="2920">
        <v>2.25</v>
      </c>
      <c r="R26" s="2920">
        <v>2.79</v>
      </c>
      <c r="S26" s="2920">
        <v>3.33</v>
      </c>
      <c r="T26" s="2920">
        <v>3.6</v>
      </c>
      <c r="U26" s="2920">
        <v>1.71</v>
      </c>
      <c r="V26" s="2920">
        <v>1.98</v>
      </c>
      <c r="W26" s="2920">
        <v>2.25</v>
      </c>
      <c r="X26" s="2920">
        <v>1.17</v>
      </c>
      <c r="Y26" s="2920">
        <v>0.81</v>
      </c>
      <c r="Z26" s="2920">
        <v>1.35</v>
      </c>
    </row>
    <row r="27" spans="2:26">
      <c r="B27" s="2920"/>
      <c r="C27" s="2921">
        <v>39779</v>
      </c>
      <c r="D27" s="2920">
        <v>5.04</v>
      </c>
      <c r="E27" s="2920">
        <v>5.58</v>
      </c>
      <c r="F27" s="2920">
        <v>5.67</v>
      </c>
      <c r="G27" s="2920">
        <v>5.94</v>
      </c>
      <c r="H27" s="2920">
        <v>6.12</v>
      </c>
      <c r="I27" s="2920">
        <v>3.51</v>
      </c>
      <c r="J27" s="2920">
        <v>4.05</v>
      </c>
      <c r="L27" s="2920"/>
      <c r="M27" s="2921">
        <v>39779</v>
      </c>
      <c r="N27" s="2920">
        <v>0.36</v>
      </c>
      <c r="O27" s="2920">
        <v>1.98</v>
      </c>
      <c r="P27" s="2920">
        <v>2.25</v>
      </c>
      <c r="Q27" s="2920">
        <v>2.52</v>
      </c>
      <c r="R27" s="2920">
        <v>3.06</v>
      </c>
      <c r="S27" s="2920">
        <v>3.6</v>
      </c>
      <c r="T27" s="2920">
        <v>3.87</v>
      </c>
      <c r="U27" s="2920">
        <v>1.98</v>
      </c>
      <c r="V27" s="2920">
        <v>2.25</v>
      </c>
      <c r="W27" s="2920">
        <v>2.52</v>
      </c>
      <c r="X27" s="2920">
        <v>1.17</v>
      </c>
      <c r="Y27" s="2920">
        <v>0.81</v>
      </c>
      <c r="Z27" s="2920">
        <v>1.35</v>
      </c>
    </row>
    <row r="28" spans="2:26">
      <c r="B28" s="2920"/>
      <c r="C28" s="2921">
        <v>39751</v>
      </c>
      <c r="D28" s="2920">
        <v>6.03</v>
      </c>
      <c r="E28" s="2920">
        <v>6.66</v>
      </c>
      <c r="F28" s="2920">
        <v>6.75</v>
      </c>
      <c r="G28" s="2920">
        <v>7.02</v>
      </c>
      <c r="H28" s="2920">
        <v>7.2</v>
      </c>
      <c r="I28" s="2920">
        <v>4.05</v>
      </c>
      <c r="J28" s="2920">
        <v>4.59</v>
      </c>
      <c r="L28" s="2920"/>
      <c r="M28" s="2921">
        <v>39751</v>
      </c>
      <c r="N28" s="2920">
        <v>0.72</v>
      </c>
      <c r="O28" s="2920">
        <v>2.88</v>
      </c>
      <c r="P28" s="2920">
        <v>3.24</v>
      </c>
      <c r="Q28" s="2920">
        <v>3.6</v>
      </c>
      <c r="R28" s="2920">
        <v>4.1399999999999997</v>
      </c>
      <c r="S28" s="2920">
        <v>4.7699999999999996</v>
      </c>
      <c r="T28" s="2920">
        <v>5.13</v>
      </c>
      <c r="U28" s="2920">
        <v>2.88</v>
      </c>
      <c r="V28" s="2920">
        <v>3.24</v>
      </c>
      <c r="W28" s="2920">
        <v>3.6</v>
      </c>
      <c r="X28" s="2920">
        <v>1.53</v>
      </c>
      <c r="Y28" s="2920">
        <v>1.17</v>
      </c>
      <c r="Z28" s="2920">
        <v>1.71</v>
      </c>
    </row>
    <row r="29" spans="2:26">
      <c r="B29" s="2920"/>
      <c r="C29" s="2923">
        <v>39748</v>
      </c>
      <c r="D29" s="2920">
        <v>6.12</v>
      </c>
      <c r="E29" s="2920">
        <v>6.93</v>
      </c>
      <c r="F29" s="2920">
        <v>7.02</v>
      </c>
      <c r="G29" s="2920">
        <v>7.29</v>
      </c>
      <c r="H29" s="2920">
        <v>7.47</v>
      </c>
      <c r="I29" s="2920">
        <v>4.05</v>
      </c>
      <c r="J29" s="2920">
        <v>4.59</v>
      </c>
      <c r="L29" s="2920"/>
      <c r="M29" s="2923">
        <v>39736</v>
      </c>
      <c r="N29" s="2920">
        <v>0.72</v>
      </c>
      <c r="O29" s="2920">
        <v>3.15</v>
      </c>
      <c r="P29" s="2920">
        <v>3.51</v>
      </c>
      <c r="Q29" s="2920">
        <v>3.87</v>
      </c>
      <c r="R29" s="2920">
        <v>4.41</v>
      </c>
      <c r="S29" s="2920">
        <v>5.13</v>
      </c>
      <c r="T29" s="2920">
        <v>5.58</v>
      </c>
      <c r="U29" s="2920">
        <v>3.15</v>
      </c>
      <c r="V29" s="2920">
        <v>3.51</v>
      </c>
      <c r="W29" s="2920">
        <v>3.87</v>
      </c>
      <c r="X29" s="2920">
        <v>1.53</v>
      </c>
      <c r="Y29" s="2920">
        <v>1.17</v>
      </c>
      <c r="Z29" s="2920">
        <v>1.71</v>
      </c>
    </row>
    <row r="30" spans="2:26">
      <c r="B30" s="2920"/>
      <c r="C30" s="2921">
        <v>39730</v>
      </c>
      <c r="D30" s="2920">
        <v>6.12</v>
      </c>
      <c r="E30" s="2920">
        <v>6.93</v>
      </c>
      <c r="F30" s="2920">
        <v>7.02</v>
      </c>
      <c r="G30" s="2920">
        <v>7.29</v>
      </c>
      <c r="H30" s="2920">
        <v>7.47</v>
      </c>
      <c r="I30" s="2920">
        <v>4.32</v>
      </c>
      <c r="J30" s="2920">
        <v>4.8600000000000003</v>
      </c>
      <c r="L30" s="2920"/>
      <c r="M30" s="2921">
        <v>39730</v>
      </c>
      <c r="N30" s="2920">
        <v>0.72</v>
      </c>
      <c r="O30" s="2920">
        <v>3.15</v>
      </c>
      <c r="P30" s="2920">
        <v>3.51</v>
      </c>
      <c r="Q30" s="2920">
        <v>3.87</v>
      </c>
      <c r="R30" s="2920">
        <v>4.41</v>
      </c>
      <c r="S30" s="2920">
        <v>5.13</v>
      </c>
      <c r="T30" s="2920">
        <v>5.58</v>
      </c>
      <c r="U30" s="2920">
        <v>3.15</v>
      </c>
      <c r="V30" s="2920">
        <v>3.51</v>
      </c>
      <c r="W30" s="2920">
        <v>3.87</v>
      </c>
      <c r="X30" s="2920">
        <v>1.53</v>
      </c>
      <c r="Y30" s="2920">
        <v>1.17</v>
      </c>
      <c r="Z30" s="2920">
        <v>1.71</v>
      </c>
    </row>
    <row r="31" spans="2:26">
      <c r="B31" s="2920"/>
      <c r="C31" s="2921">
        <v>39707</v>
      </c>
      <c r="D31" s="2920">
        <v>6.21</v>
      </c>
      <c r="E31" s="2920">
        <v>7.2</v>
      </c>
      <c r="F31" s="2920">
        <v>7.29</v>
      </c>
      <c r="G31" s="2920">
        <v>7.56</v>
      </c>
      <c r="H31" s="2920">
        <v>7.74</v>
      </c>
      <c r="I31" s="2920">
        <v>4.59</v>
      </c>
      <c r="J31" s="2920">
        <v>5.13</v>
      </c>
      <c r="L31" s="2920"/>
      <c r="M31" s="2921">
        <v>39437</v>
      </c>
      <c r="N31" s="2920">
        <v>0.72</v>
      </c>
      <c r="O31" s="2920">
        <v>3.33</v>
      </c>
      <c r="P31" s="2920">
        <v>3.78</v>
      </c>
      <c r="Q31" s="2920">
        <v>4.1399999999999997</v>
      </c>
      <c r="R31" s="2920">
        <v>4.68</v>
      </c>
      <c r="S31" s="2920">
        <v>5.4</v>
      </c>
      <c r="T31" s="2920">
        <v>5.85</v>
      </c>
      <c r="U31" s="2920">
        <v>3.33</v>
      </c>
      <c r="V31" s="2920">
        <v>3.78</v>
      </c>
      <c r="W31" s="2920">
        <v>4.1399999999999997</v>
      </c>
      <c r="X31" s="2920">
        <v>1.53</v>
      </c>
      <c r="Y31" s="2920">
        <v>1.17</v>
      </c>
      <c r="Z31" s="2920">
        <v>1.71</v>
      </c>
    </row>
    <row r="32" spans="2:26">
      <c r="B32" s="2920"/>
      <c r="C32" s="2921">
        <v>39437</v>
      </c>
      <c r="D32" s="2920">
        <v>6.57</v>
      </c>
      <c r="E32" s="2920">
        <v>7.47</v>
      </c>
      <c r="F32" s="2920">
        <v>7.56</v>
      </c>
      <c r="G32" s="2920">
        <v>7.74</v>
      </c>
      <c r="H32" s="2920">
        <v>7.83</v>
      </c>
      <c r="I32" s="2920">
        <v>4.7699999999999996</v>
      </c>
      <c r="J32" s="2920">
        <v>5.22</v>
      </c>
      <c r="L32" s="2920"/>
      <c r="M32" s="2921">
        <v>39340</v>
      </c>
      <c r="N32" s="2920">
        <v>0.81</v>
      </c>
      <c r="O32" s="2920">
        <v>2.88</v>
      </c>
      <c r="P32" s="2920">
        <v>3.42</v>
      </c>
      <c r="Q32" s="2920">
        <v>3.87</v>
      </c>
      <c r="R32" s="2920">
        <v>4.5</v>
      </c>
      <c r="S32" s="2920">
        <v>5.22</v>
      </c>
      <c r="T32" s="2920">
        <v>5.76</v>
      </c>
      <c r="U32" s="2920">
        <v>2.88</v>
      </c>
      <c r="V32" s="2920">
        <v>3.42</v>
      </c>
      <c r="W32" s="2920">
        <v>3.87</v>
      </c>
      <c r="X32" s="2920">
        <v>1.53</v>
      </c>
      <c r="Y32" s="2920">
        <v>1.17</v>
      </c>
      <c r="Z32" s="2920">
        <v>1.71</v>
      </c>
    </row>
    <row r="33" spans="2:26">
      <c r="B33" s="2920"/>
      <c r="C33" s="2921">
        <v>39340</v>
      </c>
      <c r="D33" s="2920">
        <v>6.48</v>
      </c>
      <c r="E33" s="2920">
        <v>7.29</v>
      </c>
      <c r="F33" s="2920">
        <v>7.47</v>
      </c>
      <c r="G33" s="2920">
        <v>7.65</v>
      </c>
      <c r="H33" s="2920">
        <v>7.83</v>
      </c>
      <c r="I33" s="2920">
        <v>4.7699999999999996</v>
      </c>
      <c r="J33" s="2920">
        <v>5.22</v>
      </c>
      <c r="L33" s="2920"/>
      <c r="M33" s="2921">
        <v>39316</v>
      </c>
      <c r="N33" s="2920">
        <v>0.81</v>
      </c>
      <c r="O33" s="2920">
        <v>2.61</v>
      </c>
      <c r="P33" s="2920">
        <v>3.15</v>
      </c>
      <c r="Q33" s="2920">
        <v>3.6</v>
      </c>
      <c r="R33" s="2920">
        <v>4.2300000000000004</v>
      </c>
      <c r="S33" s="2920">
        <v>4.95</v>
      </c>
      <c r="T33" s="2920">
        <v>5.49</v>
      </c>
      <c r="U33" s="2920">
        <v>2.61</v>
      </c>
      <c r="V33" s="2920">
        <v>3.15</v>
      </c>
      <c r="W33" s="2920">
        <v>3.6</v>
      </c>
      <c r="X33" s="2920">
        <v>1.53</v>
      </c>
      <c r="Y33" s="2920">
        <v>1.17</v>
      </c>
      <c r="Z33" s="2920">
        <v>1.71</v>
      </c>
    </row>
    <row r="34" spans="2:26">
      <c r="B34" s="2920"/>
      <c r="C34" s="2921">
        <v>39316</v>
      </c>
      <c r="D34" s="2920">
        <v>6.21</v>
      </c>
      <c r="E34" s="2920">
        <v>7.02</v>
      </c>
      <c r="F34" s="2920">
        <v>7.2</v>
      </c>
      <c r="G34" s="2920">
        <v>7.38</v>
      </c>
      <c r="H34" s="2920">
        <v>7.56</v>
      </c>
      <c r="I34" s="2920">
        <v>4.59</v>
      </c>
      <c r="J34" s="2920">
        <v>5.04</v>
      </c>
      <c r="L34" s="2920"/>
      <c r="M34" s="2921">
        <v>39284</v>
      </c>
      <c r="N34" s="2920">
        <v>0.81</v>
      </c>
      <c r="O34" s="2920">
        <v>2.34</v>
      </c>
      <c r="P34" s="2920">
        <v>2.88</v>
      </c>
      <c r="Q34" s="2920">
        <v>3.33</v>
      </c>
      <c r="R34" s="2920">
        <v>3.96</v>
      </c>
      <c r="S34" s="2920">
        <v>4.68</v>
      </c>
      <c r="T34" s="2920">
        <v>5.22</v>
      </c>
      <c r="U34" s="2920">
        <v>2.34</v>
      </c>
      <c r="V34" s="2920">
        <v>2.88</v>
      </c>
      <c r="W34" s="2920">
        <v>3.33</v>
      </c>
      <c r="X34" s="2920">
        <v>1.53</v>
      </c>
      <c r="Y34" s="2920">
        <v>1.17</v>
      </c>
      <c r="Z34" s="2920">
        <v>1.71</v>
      </c>
    </row>
    <row r="35" spans="2:26">
      <c r="B35" s="2920"/>
      <c r="C35" s="2921">
        <v>39284</v>
      </c>
      <c r="D35" s="2920">
        <v>6.03</v>
      </c>
      <c r="E35" s="2920">
        <v>6.84</v>
      </c>
      <c r="F35" s="2920">
        <v>7.02</v>
      </c>
      <c r="G35" s="2920">
        <v>7.2</v>
      </c>
      <c r="H35" s="2920">
        <v>7.38</v>
      </c>
      <c r="I35" s="2920">
        <v>4.5</v>
      </c>
      <c r="J35" s="2920">
        <v>4.95</v>
      </c>
      <c r="L35" s="2920"/>
      <c r="M35" s="2921">
        <v>39221</v>
      </c>
      <c r="N35" s="2920">
        <v>0.72</v>
      </c>
      <c r="O35" s="2920">
        <v>2.0699999999999998</v>
      </c>
      <c r="P35" s="2920">
        <v>2.61</v>
      </c>
      <c r="Q35" s="2920">
        <v>3.06</v>
      </c>
      <c r="R35" s="2920">
        <v>3.69</v>
      </c>
      <c r="S35" s="2920">
        <v>4.41</v>
      </c>
      <c r="T35" s="2920">
        <v>4.95</v>
      </c>
      <c r="U35" s="2920">
        <v>2.0699999999999998</v>
      </c>
      <c r="V35" s="2920">
        <v>2.61</v>
      </c>
      <c r="W35" s="2920">
        <v>3.06</v>
      </c>
      <c r="X35" s="2920">
        <v>1.44</v>
      </c>
      <c r="Y35" s="2920">
        <v>1.08</v>
      </c>
      <c r="Z35" s="2920">
        <v>1.62</v>
      </c>
    </row>
    <row r="36" spans="2:26">
      <c r="B36" s="2920"/>
      <c r="C36" s="2921">
        <v>39221</v>
      </c>
      <c r="D36" s="2920">
        <v>5.85</v>
      </c>
      <c r="E36" s="2920">
        <v>6.57</v>
      </c>
      <c r="F36" s="2920">
        <v>6.75</v>
      </c>
      <c r="G36" s="2920">
        <v>6.93</v>
      </c>
      <c r="H36" s="2920">
        <v>7.2</v>
      </c>
      <c r="I36" s="2920">
        <v>4.41</v>
      </c>
      <c r="J36" s="2920">
        <v>4.8600000000000003</v>
      </c>
      <c r="L36" s="2920"/>
      <c r="M36" s="2921">
        <v>39159</v>
      </c>
      <c r="N36" s="2920">
        <v>0.72</v>
      </c>
      <c r="O36" s="2920">
        <v>1.98</v>
      </c>
      <c r="P36" s="2920">
        <v>2.4300000000000002</v>
      </c>
      <c r="Q36" s="2920">
        <v>2.79</v>
      </c>
      <c r="R36" s="2920">
        <v>3.33</v>
      </c>
      <c r="S36" s="2920">
        <v>3.96</v>
      </c>
      <c r="T36" s="2920">
        <v>4.41</v>
      </c>
      <c r="U36" s="2920">
        <v>1.98</v>
      </c>
      <c r="V36" s="2920">
        <v>2.4300000000000002</v>
      </c>
      <c r="W36" s="2920">
        <v>2.79</v>
      </c>
      <c r="X36" s="2920">
        <v>1.44</v>
      </c>
      <c r="Y36" s="2920">
        <v>1.08</v>
      </c>
      <c r="Z36" s="2920">
        <v>1.62</v>
      </c>
    </row>
    <row r="37" spans="2:26">
      <c r="B37" s="2920"/>
      <c r="C37" s="2921">
        <v>39159</v>
      </c>
      <c r="D37" s="2920">
        <v>5.67</v>
      </c>
      <c r="E37" s="2920">
        <v>6.39</v>
      </c>
      <c r="F37" s="2920">
        <v>6.57</v>
      </c>
      <c r="G37" s="2920">
        <v>6.75</v>
      </c>
      <c r="H37" s="2920">
        <v>7.11</v>
      </c>
      <c r="I37" s="2920">
        <v>4.32</v>
      </c>
      <c r="J37" s="2920">
        <v>4.7699999999999996</v>
      </c>
      <c r="L37" s="2920"/>
      <c r="M37" s="2921">
        <v>38948</v>
      </c>
      <c r="N37" s="2920">
        <v>0.72</v>
      </c>
      <c r="O37" s="2920">
        <v>1.8</v>
      </c>
      <c r="P37" s="2920">
        <v>2.25</v>
      </c>
      <c r="Q37" s="2920">
        <v>2.52</v>
      </c>
      <c r="R37" s="2920">
        <v>3.06</v>
      </c>
      <c r="S37" s="2920">
        <v>3.69</v>
      </c>
      <c r="T37" s="2920">
        <v>4.1399999999999997</v>
      </c>
      <c r="U37" s="2920">
        <v>1.8</v>
      </c>
      <c r="V37" s="2920">
        <v>2.25</v>
      </c>
      <c r="W37" s="2920">
        <v>2.52</v>
      </c>
      <c r="X37" s="2920">
        <v>1.44</v>
      </c>
      <c r="Y37" s="2920">
        <v>1.08</v>
      </c>
      <c r="Z37" s="2920">
        <v>1.62</v>
      </c>
    </row>
    <row r="38" spans="2:26">
      <c r="B38" s="2920"/>
      <c r="C38" s="2921">
        <v>38948</v>
      </c>
      <c r="D38" s="2920">
        <v>5.58</v>
      </c>
      <c r="E38" s="2920">
        <v>6.12</v>
      </c>
      <c r="F38" s="2920">
        <v>6.3</v>
      </c>
      <c r="G38" s="2920">
        <v>6.48</v>
      </c>
      <c r="H38" s="2920">
        <v>6.84</v>
      </c>
      <c r="I38" s="2920">
        <v>4.1399999999999997</v>
      </c>
      <c r="J38" s="2920">
        <v>4.59</v>
      </c>
      <c r="L38" s="2920"/>
      <c r="M38" s="2921">
        <v>38289</v>
      </c>
      <c r="N38" s="2920">
        <v>0.72</v>
      </c>
      <c r="O38" s="2920">
        <v>1.71</v>
      </c>
      <c r="P38" s="2920">
        <v>2.0699999999999998</v>
      </c>
      <c r="Q38" s="2920">
        <v>2.25</v>
      </c>
      <c r="R38" s="2920">
        <v>2.7</v>
      </c>
      <c r="S38" s="2920">
        <v>3.24</v>
      </c>
      <c r="T38" s="2920">
        <v>3.6</v>
      </c>
      <c r="U38" s="2920">
        <v>1.71</v>
      </c>
      <c r="V38" s="2920">
        <v>2.0699999999999998</v>
      </c>
      <c r="W38" s="2920">
        <v>2.25</v>
      </c>
      <c r="X38" s="2920">
        <v>1.44</v>
      </c>
      <c r="Y38" s="2920">
        <v>1.08</v>
      </c>
      <c r="Z38" s="2920">
        <v>1.62</v>
      </c>
    </row>
    <row r="39" spans="2:26">
      <c r="B39" s="2920"/>
      <c r="C39" s="2921">
        <v>38835</v>
      </c>
      <c r="D39" s="2920">
        <v>5.4</v>
      </c>
      <c r="E39" s="2920">
        <v>5.85</v>
      </c>
      <c r="F39" s="2920">
        <v>6.03</v>
      </c>
      <c r="G39" s="2920">
        <v>6.12</v>
      </c>
      <c r="H39" s="2920">
        <v>6.39</v>
      </c>
      <c r="I39" s="2920">
        <v>4.1399999999999997</v>
      </c>
      <c r="J39" s="2920">
        <v>4.59</v>
      </c>
      <c r="L39" s="2920"/>
      <c r="M39" s="2921">
        <v>37308</v>
      </c>
      <c r="N39" s="2920">
        <v>0.72</v>
      </c>
      <c r="O39" s="2920">
        <v>1.71</v>
      </c>
      <c r="P39" s="2920">
        <v>1.89</v>
      </c>
      <c r="Q39" s="2920">
        <v>1.98</v>
      </c>
      <c r="R39" s="2920">
        <v>2.25</v>
      </c>
      <c r="S39" s="2920">
        <v>2.52</v>
      </c>
      <c r="T39" s="2920">
        <v>2.79</v>
      </c>
      <c r="U39" s="2920">
        <v>1.71</v>
      </c>
      <c r="V39" s="2920">
        <v>1.89</v>
      </c>
      <c r="W39" s="2920">
        <v>1.98</v>
      </c>
      <c r="X39" s="2920">
        <v>1.44</v>
      </c>
      <c r="Y39" s="2920">
        <v>1.08</v>
      </c>
      <c r="Z39" s="2920">
        <v>1.62</v>
      </c>
    </row>
    <row r="40" spans="2:26">
      <c r="B40" s="2920"/>
      <c r="C40" s="2921">
        <v>38428</v>
      </c>
      <c r="D40" s="2920">
        <v>5.22</v>
      </c>
      <c r="E40" s="2920">
        <v>5.58</v>
      </c>
      <c r="F40" s="2920">
        <v>5.76</v>
      </c>
      <c r="G40" s="2920">
        <v>5.85</v>
      </c>
      <c r="H40" s="2920">
        <v>6.12</v>
      </c>
      <c r="I40" s="2920">
        <v>3.96</v>
      </c>
      <c r="J40" s="2920">
        <v>4.41</v>
      </c>
      <c r="L40" s="2920"/>
      <c r="M40" s="2921">
        <v>36321</v>
      </c>
      <c r="N40" s="2920">
        <v>0.99</v>
      </c>
      <c r="O40" s="2920">
        <v>1.98</v>
      </c>
      <c r="P40" s="2920">
        <v>2.16</v>
      </c>
      <c r="Q40" s="2920">
        <v>2.25</v>
      </c>
      <c r="R40" s="2920">
        <v>2.4300000000000002</v>
      </c>
      <c r="S40" s="2920">
        <v>2.7</v>
      </c>
      <c r="T40" s="2920">
        <v>2.88</v>
      </c>
      <c r="U40" s="2920">
        <v>1.98</v>
      </c>
      <c r="V40" s="2920">
        <v>2.16</v>
      </c>
      <c r="W40" s="2920">
        <v>2.25</v>
      </c>
      <c r="X40" s="2920">
        <v>1.71</v>
      </c>
      <c r="Y40" s="2920">
        <v>1.35</v>
      </c>
      <c r="Z40" s="2920">
        <v>1.89</v>
      </c>
    </row>
    <row r="41" spans="2:26">
      <c r="B41" s="2920"/>
      <c r="C41" s="2921">
        <v>38289</v>
      </c>
      <c r="D41" s="2920">
        <v>5.22</v>
      </c>
      <c r="E41" s="2920">
        <v>5.58</v>
      </c>
      <c r="F41" s="2920">
        <v>5.76</v>
      </c>
      <c r="G41" s="2920">
        <v>5.85</v>
      </c>
      <c r="H41" s="2920">
        <v>6.12</v>
      </c>
      <c r="I41" s="2920">
        <v>3.78</v>
      </c>
      <c r="J41" s="2920">
        <v>4.2300000000000004</v>
      </c>
      <c r="L41" s="2920"/>
      <c r="M41" s="2921">
        <v>36136</v>
      </c>
      <c r="N41" s="2920">
        <v>1.44</v>
      </c>
      <c r="O41" s="2920">
        <v>2.79</v>
      </c>
      <c r="P41" s="2920">
        <v>3.33</v>
      </c>
      <c r="Q41" s="2920">
        <v>3.78</v>
      </c>
      <c r="R41" s="2920">
        <v>3.96</v>
      </c>
      <c r="S41" s="2920">
        <v>4.1399999999999997</v>
      </c>
      <c r="T41" s="2920">
        <v>4.5</v>
      </c>
      <c r="U41" s="2920">
        <v>3.33</v>
      </c>
      <c r="V41" s="2920">
        <v>3.78</v>
      </c>
      <c r="W41" s="2920">
        <v>4.1399999999999997</v>
      </c>
      <c r="X41" s="2920">
        <v>2.16</v>
      </c>
      <c r="Y41" s="2920">
        <v>1.8</v>
      </c>
      <c r="Z41" s="2920">
        <v>2.34</v>
      </c>
    </row>
    <row r="42" spans="2:26">
      <c r="B42" s="2920"/>
      <c r="C42" s="2921">
        <v>37308</v>
      </c>
      <c r="D42" s="2920">
        <v>5.04</v>
      </c>
      <c r="E42" s="2920">
        <v>5.31</v>
      </c>
      <c r="F42" s="2920">
        <v>5.49</v>
      </c>
      <c r="G42" s="2920">
        <v>5.58</v>
      </c>
      <c r="H42" s="2920">
        <v>5.76</v>
      </c>
      <c r="I42" s="2920">
        <v>3.6</v>
      </c>
      <c r="J42" s="2920">
        <v>4.05</v>
      </c>
      <c r="L42" s="2920"/>
      <c r="M42" s="2921">
        <v>35977</v>
      </c>
      <c r="N42" s="2920">
        <v>1.44</v>
      </c>
      <c r="O42" s="2920">
        <v>2.79</v>
      </c>
      <c r="P42" s="2920">
        <v>3.96</v>
      </c>
      <c r="Q42" s="2920">
        <v>4.7699999999999996</v>
      </c>
      <c r="R42" s="2920">
        <v>4.8600000000000003</v>
      </c>
      <c r="S42" s="2920">
        <v>4.95</v>
      </c>
      <c r="T42" s="2920">
        <v>5.22</v>
      </c>
      <c r="U42" s="2920">
        <v>3.96</v>
      </c>
      <c r="V42" s="2920">
        <v>4.7699999999999996</v>
      </c>
      <c r="W42" s="2920">
        <v>4.95</v>
      </c>
      <c r="X42" s="2920" t="s">
        <v>2792</v>
      </c>
      <c r="Y42" s="2920" t="s">
        <v>2792</v>
      </c>
      <c r="Z42" s="2920" t="s">
        <v>2792</v>
      </c>
    </row>
    <row r="43" spans="2:26">
      <c r="B43" s="2920"/>
      <c r="C43" s="2921">
        <v>36321</v>
      </c>
      <c r="D43" s="2920">
        <v>5.58</v>
      </c>
      <c r="E43" s="2920">
        <v>5.85</v>
      </c>
      <c r="F43" s="2920">
        <v>5.94</v>
      </c>
      <c r="G43" s="2920">
        <v>6.03</v>
      </c>
      <c r="H43" s="2920">
        <v>6.21</v>
      </c>
      <c r="I43" s="2920">
        <v>4.1399999999999997</v>
      </c>
      <c r="J43" s="2920">
        <v>4.59</v>
      </c>
      <c r="L43" s="2920"/>
      <c r="M43" s="2921">
        <v>35879</v>
      </c>
      <c r="N43" s="2920">
        <v>1.71</v>
      </c>
      <c r="O43" s="2920">
        <v>2.88</v>
      </c>
      <c r="P43" s="2920">
        <v>4.1399999999999997</v>
      </c>
      <c r="Q43" s="2920">
        <v>5.22</v>
      </c>
      <c r="R43" s="2920">
        <v>5.58</v>
      </c>
      <c r="S43" s="2920">
        <v>6.21</v>
      </c>
      <c r="T43" s="2920">
        <v>6.66</v>
      </c>
      <c r="U43" s="2920">
        <v>4.1399999999999997</v>
      </c>
      <c r="V43" s="2920">
        <v>5.22</v>
      </c>
      <c r="W43" s="2920">
        <v>6.21</v>
      </c>
      <c r="X43" s="2920" t="s">
        <v>2792</v>
      </c>
      <c r="Y43" s="2920" t="s">
        <v>2792</v>
      </c>
      <c r="Z43" s="2920" t="s">
        <v>2792</v>
      </c>
    </row>
    <row r="44" spans="2:26">
      <c r="B44" s="2920"/>
      <c r="C44" s="2921">
        <v>36136</v>
      </c>
      <c r="D44" s="2920">
        <v>6.12</v>
      </c>
      <c r="E44" s="2920">
        <v>6.39</v>
      </c>
      <c r="F44" s="2920">
        <v>6.66</v>
      </c>
      <c r="G44" s="2920">
        <v>7.2</v>
      </c>
      <c r="H44" s="2920">
        <v>7.56</v>
      </c>
      <c r="I44" s="2920">
        <v>0</v>
      </c>
      <c r="J44" s="2920">
        <v>0</v>
      </c>
      <c r="L44" s="2920"/>
      <c r="M44" s="2921">
        <v>35726</v>
      </c>
      <c r="N44" s="2920">
        <v>1.71</v>
      </c>
      <c r="O44" s="2920">
        <v>2.88</v>
      </c>
      <c r="P44" s="2920">
        <v>4.1399999999999997</v>
      </c>
      <c r="Q44" s="2920">
        <v>5.67</v>
      </c>
      <c r="R44" s="2920">
        <v>5.94</v>
      </c>
      <c r="S44" s="2920">
        <v>6.21</v>
      </c>
      <c r="T44" s="2920">
        <v>6.66</v>
      </c>
      <c r="U44" s="2920">
        <v>4.1399999999999997</v>
      </c>
      <c r="V44" s="2920">
        <v>5.67</v>
      </c>
      <c r="W44" s="2920">
        <v>6.21</v>
      </c>
      <c r="X44" s="2920" t="s">
        <v>2792</v>
      </c>
      <c r="Y44" s="2920" t="s">
        <v>2792</v>
      </c>
      <c r="Z44" s="2920" t="s">
        <v>2792</v>
      </c>
    </row>
    <row r="45" spans="2:26">
      <c r="B45" s="2920"/>
      <c r="C45" s="2921">
        <v>35977</v>
      </c>
      <c r="D45" s="2920">
        <v>6.57</v>
      </c>
      <c r="E45" s="2920">
        <v>6.93</v>
      </c>
      <c r="F45" s="2920">
        <v>7.11</v>
      </c>
      <c r="G45" s="2920">
        <v>7.65</v>
      </c>
      <c r="H45" s="2920">
        <v>8.01</v>
      </c>
      <c r="I45" s="2920">
        <v>0</v>
      </c>
      <c r="J45" s="2920">
        <v>0</v>
      </c>
      <c r="L45" s="2920"/>
      <c r="M45" s="2921">
        <v>35300</v>
      </c>
      <c r="N45" s="2920">
        <v>1.98</v>
      </c>
      <c r="O45" s="2920">
        <v>3.33</v>
      </c>
      <c r="P45" s="2920">
        <v>5.4</v>
      </c>
      <c r="Q45" s="2920">
        <v>7.47</v>
      </c>
      <c r="R45" s="2920">
        <v>7.92</v>
      </c>
      <c r="S45" s="2920">
        <v>8.2799999999999994</v>
      </c>
      <c r="T45" s="2920">
        <v>9</v>
      </c>
      <c r="U45" s="2920">
        <v>5.4</v>
      </c>
      <c r="V45" s="2920">
        <v>7.47</v>
      </c>
      <c r="W45" s="2920">
        <v>8.2799999999999994</v>
      </c>
      <c r="X45" s="2920" t="s">
        <v>2792</v>
      </c>
      <c r="Y45" s="2920" t="s">
        <v>2792</v>
      </c>
      <c r="Z45" s="2920" t="s">
        <v>2792</v>
      </c>
    </row>
    <row r="46" spans="2:26">
      <c r="B46" s="2920"/>
      <c r="C46" s="2921">
        <v>35879</v>
      </c>
      <c r="D46" s="2920">
        <v>7.02</v>
      </c>
      <c r="E46" s="2920">
        <v>7.92</v>
      </c>
      <c r="F46" s="2920">
        <v>9</v>
      </c>
      <c r="G46" s="2920">
        <v>9.7200000000000006</v>
      </c>
      <c r="H46" s="2920">
        <v>10.35</v>
      </c>
      <c r="I46" s="2920">
        <v>0</v>
      </c>
      <c r="J46" s="2920">
        <v>0</v>
      </c>
      <c r="L46" s="2920"/>
      <c r="M46" s="2921">
        <v>35186</v>
      </c>
      <c r="N46" s="2920">
        <v>2.97</v>
      </c>
      <c r="O46" s="2920">
        <v>4.8600000000000003</v>
      </c>
      <c r="P46" s="2920">
        <v>7.2</v>
      </c>
      <c r="Q46" s="2920">
        <v>9.18</v>
      </c>
      <c r="R46" s="2920">
        <v>9.9</v>
      </c>
      <c r="S46" s="2920">
        <v>10.8</v>
      </c>
      <c r="T46" s="2920">
        <v>12.06</v>
      </c>
      <c r="U46" s="2920">
        <v>7.2</v>
      </c>
      <c r="V46" s="2920">
        <v>9.18</v>
      </c>
      <c r="W46" s="2920">
        <v>10.8</v>
      </c>
      <c r="X46" s="2920" t="s">
        <v>2792</v>
      </c>
      <c r="Y46" s="2920" t="s">
        <v>2792</v>
      </c>
      <c r="Z46" s="2920" t="s">
        <v>2792</v>
      </c>
    </row>
    <row r="47" spans="2:26">
      <c r="B47" s="2920"/>
      <c r="C47" s="2921">
        <v>35726</v>
      </c>
      <c r="D47" s="2920">
        <v>7.65</v>
      </c>
      <c r="E47" s="2920">
        <v>8.64</v>
      </c>
      <c r="F47" s="2920">
        <v>9.36</v>
      </c>
      <c r="G47" s="2920">
        <v>9.9</v>
      </c>
      <c r="H47" s="2920">
        <v>10.53</v>
      </c>
      <c r="I47" s="2920">
        <v>0</v>
      </c>
      <c r="J47" s="2920">
        <v>0</v>
      </c>
      <c r="L47" s="2920"/>
      <c r="M47" s="2921">
        <v>34161</v>
      </c>
      <c r="N47" s="2920">
        <v>3.15</v>
      </c>
      <c r="O47" s="2920">
        <v>6.66</v>
      </c>
      <c r="P47" s="2920">
        <v>9</v>
      </c>
      <c r="Q47" s="2920">
        <v>10.98</v>
      </c>
      <c r="R47" s="2920">
        <v>11.7</v>
      </c>
      <c r="S47" s="2920">
        <v>12.24</v>
      </c>
      <c r="T47" s="2920">
        <v>13.86</v>
      </c>
      <c r="U47" s="2920">
        <v>9</v>
      </c>
      <c r="V47" s="2920">
        <v>10.98</v>
      </c>
      <c r="W47" s="2920">
        <v>12.24</v>
      </c>
      <c r="X47" s="2920" t="s">
        <v>2792</v>
      </c>
      <c r="Y47" s="2920" t="s">
        <v>2792</v>
      </c>
      <c r="Z47" s="2920" t="s">
        <v>2792</v>
      </c>
    </row>
    <row r="48" spans="2:26">
      <c r="B48" s="2920"/>
      <c r="C48" s="2921">
        <v>35300</v>
      </c>
      <c r="D48" s="2920">
        <v>9.18</v>
      </c>
      <c r="E48" s="2920">
        <v>10.08</v>
      </c>
      <c r="F48" s="2920">
        <v>10.98</v>
      </c>
      <c r="G48" s="2920">
        <v>11.7</v>
      </c>
      <c r="H48" s="2920">
        <v>12.42</v>
      </c>
      <c r="I48" s="2920">
        <v>0</v>
      </c>
      <c r="J48" s="2920">
        <v>0</v>
      </c>
      <c r="L48" s="2920"/>
      <c r="M48" s="2921">
        <v>34104</v>
      </c>
      <c r="N48" s="2920">
        <v>2.16</v>
      </c>
      <c r="O48" s="2920">
        <v>4.8600000000000003</v>
      </c>
      <c r="P48" s="2920">
        <v>7.2</v>
      </c>
      <c r="Q48" s="2920">
        <v>9.18</v>
      </c>
      <c r="R48" s="2920">
        <v>9.9</v>
      </c>
      <c r="S48" s="2920">
        <v>10.8</v>
      </c>
      <c r="T48" s="2920">
        <v>12.06</v>
      </c>
      <c r="U48" s="2920">
        <v>7.2</v>
      </c>
      <c r="V48" s="2920">
        <v>9.18</v>
      </c>
      <c r="W48" s="2920">
        <v>10.8</v>
      </c>
      <c r="X48" s="2920" t="s">
        <v>2792</v>
      </c>
      <c r="Y48" s="2920" t="s">
        <v>2792</v>
      </c>
      <c r="Z48" s="2920" t="s">
        <v>2792</v>
      </c>
    </row>
    <row r="49" spans="2:26">
      <c r="B49" s="2920"/>
      <c r="C49" s="2921">
        <v>35186</v>
      </c>
      <c r="D49" s="2920">
        <v>9.7200000000000006</v>
      </c>
      <c r="E49" s="2920">
        <v>10.98</v>
      </c>
      <c r="F49" s="2920">
        <v>13.14</v>
      </c>
      <c r="G49" s="2920">
        <v>14.94</v>
      </c>
      <c r="H49" s="2920">
        <v>15.12</v>
      </c>
      <c r="I49" s="2920">
        <v>0</v>
      </c>
      <c r="J49" s="2920">
        <v>0</v>
      </c>
      <c r="L49" s="2920"/>
      <c r="M49" s="2921">
        <v>33349</v>
      </c>
      <c r="N49" s="2920">
        <v>1.8</v>
      </c>
      <c r="O49" s="2920">
        <v>3.24</v>
      </c>
      <c r="P49" s="2920">
        <v>5.4</v>
      </c>
      <c r="Q49" s="2920">
        <v>7.56</v>
      </c>
      <c r="R49" s="2920">
        <v>7.92</v>
      </c>
      <c r="S49" s="2920">
        <v>8.2799999999999994</v>
      </c>
      <c r="T49" s="2920">
        <v>9</v>
      </c>
      <c r="U49" s="2920">
        <v>6.12</v>
      </c>
      <c r="V49" s="2920">
        <v>6.84</v>
      </c>
      <c r="W49" s="2920">
        <v>7.56</v>
      </c>
      <c r="X49" s="2920" t="s">
        <v>2792</v>
      </c>
      <c r="Y49" s="2920" t="s">
        <v>2792</v>
      </c>
      <c r="Z49" s="2920" t="s">
        <v>2792</v>
      </c>
    </row>
    <row r="50" spans="2:26">
      <c r="B50" s="2920"/>
      <c r="C50" s="2921">
        <v>34881</v>
      </c>
      <c r="D50" s="2920">
        <v>10.08</v>
      </c>
      <c r="E50" s="2920">
        <v>12.06</v>
      </c>
      <c r="F50" s="2920">
        <v>13.5</v>
      </c>
      <c r="G50" s="2920">
        <v>15.12</v>
      </c>
      <c r="H50" s="2920">
        <v>15.3</v>
      </c>
      <c r="I50" s="2920">
        <v>0</v>
      </c>
      <c r="J50" s="2920">
        <v>0</v>
      </c>
      <c r="L50" s="2920"/>
      <c r="M50" s="2921">
        <v>33106</v>
      </c>
      <c r="N50" s="2920">
        <v>2.16</v>
      </c>
      <c r="O50" s="2920">
        <v>4.32</v>
      </c>
      <c r="P50" s="2920">
        <v>6.48</v>
      </c>
      <c r="Q50" s="2920">
        <v>8.64</v>
      </c>
      <c r="R50" s="2920">
        <v>9.36</v>
      </c>
      <c r="S50" s="2920">
        <v>10.08</v>
      </c>
      <c r="T50" s="2920">
        <v>11.52</v>
      </c>
      <c r="U50" s="2920">
        <v>7.2</v>
      </c>
      <c r="V50" s="2920">
        <v>8.64</v>
      </c>
      <c r="W50" s="2920">
        <v>10.08</v>
      </c>
      <c r="X50" s="2920" t="s">
        <v>2792</v>
      </c>
      <c r="Y50" s="2920" t="s">
        <v>2792</v>
      </c>
      <c r="Z50" s="2920" t="s">
        <v>2792</v>
      </c>
    </row>
    <row r="51" spans="2:26">
      <c r="B51" s="2920"/>
      <c r="C51" s="2921">
        <v>34700</v>
      </c>
      <c r="D51" s="2920">
        <v>9</v>
      </c>
      <c r="E51" s="2920">
        <v>10.98</v>
      </c>
      <c r="F51" s="2920">
        <v>12.96</v>
      </c>
      <c r="G51" s="2920">
        <v>14.58</v>
      </c>
      <c r="H51" s="2920">
        <v>14.76</v>
      </c>
      <c r="I51" s="2920">
        <v>0</v>
      </c>
      <c r="J51" s="2920">
        <v>0</v>
      </c>
      <c r="L51" s="2920"/>
      <c r="M51" s="2921">
        <v>32978</v>
      </c>
      <c r="N51" s="2920">
        <v>2.88</v>
      </c>
      <c r="O51" s="2920">
        <v>6.3</v>
      </c>
      <c r="P51" s="2920">
        <v>7.74</v>
      </c>
      <c r="Q51" s="2920">
        <v>10.08</v>
      </c>
      <c r="R51" s="2920">
        <v>10.98</v>
      </c>
      <c r="S51" s="2920">
        <v>11.88</v>
      </c>
      <c r="T51" s="2920">
        <v>13.68</v>
      </c>
      <c r="U51" s="2920" t="s">
        <v>2792</v>
      </c>
      <c r="V51" s="2920" t="s">
        <v>2792</v>
      </c>
      <c r="W51" s="2920" t="s">
        <v>2792</v>
      </c>
      <c r="X51" s="2920" t="s">
        <v>2792</v>
      </c>
      <c r="Y51" s="2920" t="s">
        <v>2792</v>
      </c>
      <c r="Z51" s="2920" t="s">
        <v>2792</v>
      </c>
    </row>
    <row r="52" spans="2:26">
      <c r="B52" s="2920"/>
      <c r="C52" s="2921">
        <v>34161</v>
      </c>
      <c r="D52" s="2920">
        <v>9</v>
      </c>
      <c r="E52" s="2920">
        <v>10.98</v>
      </c>
      <c r="F52" s="2920">
        <v>12.24</v>
      </c>
      <c r="G52" s="2920">
        <v>13.86</v>
      </c>
      <c r="H52" s="2920">
        <v>14.04</v>
      </c>
      <c r="I52" s="2920">
        <v>0</v>
      </c>
      <c r="J52" s="2920">
        <v>0</v>
      </c>
      <c r="L52" s="2920"/>
      <c r="M52" s="2921"/>
      <c r="N52" s="2920"/>
      <c r="O52" s="2920"/>
      <c r="P52" s="2920"/>
      <c r="Q52" s="2920"/>
      <c r="R52" s="2920"/>
      <c r="S52" s="2920"/>
      <c r="T52" s="2920"/>
      <c r="U52" s="2920"/>
      <c r="V52" s="2920"/>
      <c r="W52" s="2920"/>
      <c r="X52" s="2920"/>
      <c r="Y52" s="2920"/>
      <c r="Z52" s="2920"/>
    </row>
    <row r="53" spans="2:26">
      <c r="B53" s="2920"/>
      <c r="C53" s="2921">
        <v>34104</v>
      </c>
      <c r="D53" s="2920">
        <v>8.82</v>
      </c>
      <c r="E53" s="2920">
        <v>9.36</v>
      </c>
      <c r="F53" s="2920">
        <v>10.8</v>
      </c>
      <c r="G53" s="2920">
        <v>12.06</v>
      </c>
      <c r="H53" s="2920">
        <v>12.24</v>
      </c>
      <c r="I53" s="2920">
        <v>0</v>
      </c>
      <c r="J53" s="2920">
        <v>0</v>
      </c>
      <c r="L53" s="2920"/>
      <c r="M53" s="2921"/>
      <c r="N53" s="2920"/>
      <c r="O53" s="2920"/>
      <c r="P53" s="2920"/>
      <c r="Q53" s="2920"/>
      <c r="R53" s="2920"/>
      <c r="S53" s="2920"/>
      <c r="T53" s="2920"/>
      <c r="U53" s="2920"/>
      <c r="V53" s="2920"/>
      <c r="W53" s="2920"/>
      <c r="X53" s="2920"/>
      <c r="Y53" s="2920"/>
      <c r="Z53" s="2920"/>
    </row>
    <row r="54" spans="2:26">
      <c r="B54" s="2920"/>
      <c r="C54" s="2921">
        <v>33349</v>
      </c>
      <c r="D54" s="2920">
        <v>8.1</v>
      </c>
      <c r="E54" s="2920">
        <v>8.64</v>
      </c>
      <c r="F54" s="2920">
        <v>9</v>
      </c>
      <c r="G54" s="2920">
        <v>9.5399999999999991</v>
      </c>
      <c r="H54" s="2920">
        <v>9.7200000000000006</v>
      </c>
      <c r="I54" s="2920">
        <v>0</v>
      </c>
      <c r="J54" s="2920">
        <v>0</v>
      </c>
      <c r="L54" s="2920"/>
      <c r="M54" s="2921"/>
      <c r="N54" s="2920"/>
      <c r="O54" s="2920"/>
      <c r="P54" s="2920"/>
      <c r="Q54" s="2920"/>
      <c r="R54" s="2920"/>
      <c r="S54" s="2920"/>
      <c r="T54" s="2920"/>
      <c r="U54" s="2920"/>
      <c r="V54" s="2920"/>
      <c r="W54" s="2920"/>
      <c r="X54" s="2920"/>
      <c r="Y54" s="2920"/>
      <c r="Z54" s="2920"/>
    </row>
    <row r="55" spans="2:26">
      <c r="B55" s="2920"/>
      <c r="C55" s="2921">
        <v>33318</v>
      </c>
      <c r="D55" s="2920">
        <v>9</v>
      </c>
      <c r="E55" s="2920">
        <v>10.08</v>
      </c>
      <c r="F55" s="2920">
        <v>10.8</v>
      </c>
      <c r="G55" s="2920">
        <v>11.52</v>
      </c>
      <c r="H55" s="2920">
        <v>11.88</v>
      </c>
      <c r="I55" s="2920" t="s">
        <v>2792</v>
      </c>
      <c r="J55" s="2920" t="s">
        <v>2792</v>
      </c>
      <c r="L55" s="2920"/>
      <c r="M55" s="2921"/>
      <c r="N55" s="2920"/>
      <c r="O55" s="2920"/>
      <c r="P55" s="2920"/>
      <c r="Q55" s="2920"/>
      <c r="R55" s="2920"/>
      <c r="S55" s="2920"/>
      <c r="T55" s="2920"/>
      <c r="U55" s="2920"/>
      <c r="V55" s="2920"/>
      <c r="W55" s="2920"/>
      <c r="X55" s="2920"/>
      <c r="Y55" s="2920"/>
      <c r="Z55" s="2920"/>
    </row>
    <row r="56" spans="2:26">
      <c r="B56" s="2920"/>
      <c r="C56" s="2921">
        <v>33106</v>
      </c>
      <c r="D56" s="2920">
        <v>8.64</v>
      </c>
      <c r="E56" s="2920">
        <v>9.36</v>
      </c>
      <c r="F56" s="2920">
        <v>10.08</v>
      </c>
      <c r="G56" s="2920">
        <v>10.8</v>
      </c>
      <c r="H56" s="2920">
        <v>11.16</v>
      </c>
      <c r="I56" s="2920">
        <v>0</v>
      </c>
      <c r="J56" s="2920">
        <v>0</v>
      </c>
      <c r="L56" s="2920"/>
      <c r="M56" s="2921"/>
      <c r="N56" s="2920"/>
      <c r="O56" s="2920"/>
      <c r="P56" s="2920"/>
      <c r="Q56" s="2920"/>
      <c r="R56" s="2920"/>
      <c r="S56" s="2920"/>
      <c r="T56" s="2920"/>
      <c r="U56" s="2920"/>
      <c r="V56" s="2920"/>
      <c r="W56" s="2920"/>
      <c r="X56" s="2920"/>
      <c r="Y56" s="2920"/>
      <c r="Z56" s="2920"/>
    </row>
    <row r="57" spans="2:26">
      <c r="B57" s="2920"/>
      <c r="C57" s="2921">
        <v>32540</v>
      </c>
      <c r="D57" s="2920">
        <v>11.34</v>
      </c>
      <c r="E57" s="2920">
        <v>11.34</v>
      </c>
      <c r="F57" s="2920">
        <v>12.78</v>
      </c>
      <c r="G57" s="2920">
        <v>14.4</v>
      </c>
      <c r="H57" s="2920">
        <v>19.260000000000002</v>
      </c>
      <c r="I57" s="2920">
        <v>0</v>
      </c>
      <c r="J57" s="2920">
        <v>0</v>
      </c>
      <c r="L57" s="2920"/>
      <c r="M57" s="2921"/>
      <c r="N57" s="2920"/>
      <c r="O57" s="2920"/>
      <c r="P57" s="2920"/>
      <c r="Q57" s="2920"/>
      <c r="R57" s="2920"/>
      <c r="S57" s="2920"/>
      <c r="T57" s="2920"/>
      <c r="U57" s="2920"/>
      <c r="V57" s="2920"/>
      <c r="W57" s="2920"/>
      <c r="X57" s="2920"/>
      <c r="Y57" s="2920"/>
      <c r="Z57" s="2920"/>
    </row>
    <row r="58" spans="2:26">
      <c r="B58" s="2920"/>
      <c r="C58" s="2921"/>
      <c r="D58" s="2920"/>
      <c r="E58" s="2920"/>
      <c r="F58" s="2920"/>
      <c r="G58" s="2920"/>
      <c r="H58" s="2920"/>
      <c r="I58" s="2920"/>
      <c r="J58" s="2920"/>
    </row>
    <row r="59" spans="2:26">
      <c r="B59" s="2924"/>
      <c r="C59" s="2925"/>
      <c r="D59" s="2924"/>
      <c r="E59" s="2924"/>
      <c r="F59" s="2924"/>
      <c r="G59" s="2924"/>
      <c r="H59" s="2924"/>
      <c r="I59" s="2924"/>
      <c r="J59" s="2924"/>
    </row>
    <row r="60" spans="2:26">
      <c r="B60" s="2924"/>
      <c r="C60" s="2925"/>
      <c r="D60" s="2924"/>
      <c r="E60" s="2924"/>
      <c r="F60" s="2924"/>
      <c r="G60" s="2924"/>
      <c r="H60" s="2924"/>
      <c r="I60" s="2924"/>
      <c r="J60" s="2924"/>
    </row>
    <row r="61" spans="2:26">
      <c r="B61" s="2924"/>
      <c r="C61" s="2925"/>
      <c r="D61" s="2924"/>
      <c r="E61" s="2924"/>
      <c r="F61" s="2924"/>
      <c r="G61" s="2924"/>
      <c r="H61" s="2924"/>
      <c r="I61" s="2924"/>
      <c r="J61" s="2924"/>
    </row>
    <row r="62" spans="2:26">
      <c r="B62" s="2871"/>
      <c r="C62" s="2871"/>
      <c r="D62" s="2871"/>
      <c r="E62" s="2871"/>
      <c r="F62" s="2871"/>
      <c r="G62" s="2871"/>
      <c r="H62" s="2871"/>
      <c r="I62" s="2871"/>
      <c r="J62" s="2871"/>
    </row>
    <row r="63" spans="2:26">
      <c r="B63" s="2871"/>
      <c r="C63" s="2871"/>
      <c r="D63" s="2871"/>
      <c r="E63" s="2871"/>
      <c r="F63" s="2871"/>
      <c r="G63" s="2871"/>
      <c r="H63" s="2871"/>
      <c r="I63" s="2871"/>
      <c r="J63" s="2871"/>
    </row>
  </sheetData>
  <sheetProtection sheet="1" objects="1" scenarios="1"/>
  <phoneticPr fontId="23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0" sqref="L30"/>
    </sheetView>
  </sheetViews>
  <sheetFormatPr defaultRowHeight="13.5"/>
  <sheetData/>
  <phoneticPr fontId="23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603" t="s">
        <v>2014</v>
      </c>
      <c r="B1" s="3603"/>
      <c r="C1" s="3603"/>
      <c r="D1" s="3603"/>
      <c r="E1" s="3603"/>
      <c r="F1" s="3603"/>
      <c r="G1" s="3603"/>
      <c r="H1" s="3603"/>
      <c r="I1" s="3603"/>
      <c r="J1" s="3603"/>
      <c r="K1" s="3603"/>
      <c r="L1" s="3603"/>
      <c r="M1" s="3603"/>
      <c r="N1" s="3603"/>
      <c r="O1" s="3603"/>
      <c r="P1" s="3603"/>
      <c r="Q1" s="3603"/>
      <c r="R1" s="3603"/>
    </row>
    <row r="2" spans="1:18">
      <c r="A2" s="1783" t="s">
        <v>2016</v>
      </c>
      <c r="B2" s="1783"/>
      <c r="C2" s="1783"/>
      <c r="D2" s="1783"/>
      <c r="E2" s="1783"/>
      <c r="F2" s="1783"/>
      <c r="G2" s="1783"/>
      <c r="H2" s="1783"/>
      <c r="I2" s="1784"/>
      <c r="J2" s="1784"/>
      <c r="K2" s="1785" t="str">
        <f>"估价期日："&amp;TEXT(项目基本情况!D3,"yyyy年m月d日;;")</f>
        <v>估价期日：2020年4月12日</v>
      </c>
      <c r="L2" s="1783"/>
      <c r="M2" s="1783"/>
      <c r="N2" s="1783"/>
      <c r="O2" s="1783"/>
      <c r="P2" s="1783"/>
      <c r="Q2" s="1783"/>
      <c r="R2" s="1785" t="str">
        <f>"估价期日的国有建设用地使用权性质："&amp;项目基本情况!B16</f>
        <v>估价期日的国有建设用地使用权性质：出让</v>
      </c>
    </row>
    <row r="3" spans="1:18" ht="23.25" customHeight="1">
      <c r="A3" s="3604" t="s">
        <v>2005</v>
      </c>
      <c r="B3" s="3604" t="s">
        <v>2705</v>
      </c>
      <c r="C3" s="3605" t="s">
        <v>2006</v>
      </c>
      <c r="D3" s="3604" t="s">
        <v>2709</v>
      </c>
      <c r="E3" s="3599" t="s">
        <v>2007</v>
      </c>
      <c r="F3" s="3599"/>
      <c r="G3" s="3599"/>
      <c r="H3" s="3599" t="s">
        <v>2008</v>
      </c>
      <c r="I3" s="3599"/>
      <c r="J3" s="3599"/>
      <c r="K3" s="3605" t="s">
        <v>2009</v>
      </c>
      <c r="L3" s="3605" t="s">
        <v>2010</v>
      </c>
      <c r="M3" s="3604" t="s">
        <v>2706</v>
      </c>
      <c r="N3" s="3606" t="str">
        <f>"（分摊）"&amp;项目基本情况!B16&amp;"国有建设用地使用权面积/㎡"</f>
        <v>（分摊）出让国有建设用地使用权面积/㎡</v>
      </c>
      <c r="O3" s="3604" t="s">
        <v>2039</v>
      </c>
      <c r="P3" s="3605" t="s">
        <v>2019</v>
      </c>
      <c r="Q3" s="3605" t="s">
        <v>2040</v>
      </c>
      <c r="R3" s="3605" t="s">
        <v>2011</v>
      </c>
    </row>
    <row r="4" spans="1:18" ht="36.75" customHeight="1">
      <c r="A4" s="3604"/>
      <c r="B4" s="3604"/>
      <c r="C4" s="3605"/>
      <c r="D4" s="3604"/>
      <c r="E4" s="2588" t="s">
        <v>2018</v>
      </c>
      <c r="F4" s="2588" t="s">
        <v>2718</v>
      </c>
      <c r="G4" s="2588" t="s">
        <v>2012</v>
      </c>
      <c r="H4" s="2588" t="s">
        <v>2013</v>
      </c>
      <c r="I4" s="2588" t="s">
        <v>2719</v>
      </c>
      <c r="J4" s="2588" t="s">
        <v>2012</v>
      </c>
      <c r="K4" s="3605"/>
      <c r="L4" s="3605"/>
      <c r="M4" s="3604"/>
      <c r="N4" s="3606"/>
      <c r="O4" s="3604"/>
      <c r="P4" s="3605"/>
      <c r="Q4" s="3605"/>
      <c r="R4" s="3605"/>
    </row>
    <row r="5" spans="1:18" ht="135" customHeight="1">
      <c r="A5" s="1919" t="s">
        <v>2629</v>
      </c>
      <c r="B5" s="2797" t="s">
        <v>2627</v>
      </c>
      <c r="C5" s="2587">
        <v>22</v>
      </c>
      <c r="D5" s="2586" t="s">
        <v>2628</v>
      </c>
      <c r="E5" s="1786">
        <f>项目基本情况!B12</f>
        <v>0</v>
      </c>
      <c r="F5" s="2586">
        <v>258</v>
      </c>
      <c r="G5" s="1786">
        <f>项目基本情况!B13</f>
        <v>0</v>
      </c>
      <c r="H5" s="2586">
        <v>1.5</v>
      </c>
      <c r="I5" s="2586">
        <v>1.5</v>
      </c>
      <c r="J5" s="2586">
        <v>1.5</v>
      </c>
      <c r="K5" s="1786" t="str">
        <f>"红线外"&amp;项目基本情况!T40&amp;"、宗地红线内"&amp;项目基本情况!B35</f>
        <v>红线外七通、宗地红线内</v>
      </c>
      <c r="L5" s="1786" t="str">
        <f>"红线外"&amp;项目基本情况!T40&amp;"、宗地红线内场地"&amp;项目基本情况!D36</f>
        <v>红线外七通、宗地红线内场地</v>
      </c>
      <c r="M5" s="1786">
        <f>IF(项目基本情况!B16="出让",项目基本情况!D20,"——")</f>
        <v>0</v>
      </c>
      <c r="N5" s="1786">
        <f>项目基本情况!C22</f>
        <v>370783.53</v>
      </c>
      <c r="O5" s="1786">
        <f>项目基本情况!C21</f>
        <v>556650.11</v>
      </c>
      <c r="P5" s="1786" t="e">
        <f ca="1">结果表!E42</f>
        <v>#DIV/0!</v>
      </c>
      <c r="Q5" s="1786" t="e">
        <f ca="1">结果表!D42</f>
        <v>#DIV/0!</v>
      </c>
      <c r="R5" s="1787" t="e">
        <f ca="1">结果表!C42</f>
        <v>#DIV/0!</v>
      </c>
    </row>
    <row r="6" spans="1:18">
      <c r="A6" s="3600" t="str">
        <f>IF(项目基本情况!B9="市场价格","——","抵押价格")</f>
        <v>——</v>
      </c>
      <c r="B6" s="3601"/>
      <c r="C6" s="3601"/>
      <c r="D6" s="3601"/>
      <c r="E6" s="3601"/>
      <c r="F6" s="3601"/>
      <c r="G6" s="3601"/>
      <c r="H6" s="3601"/>
      <c r="I6" s="3601"/>
      <c r="J6" s="3601"/>
      <c r="K6" s="3601"/>
      <c r="L6" s="3601"/>
      <c r="M6" s="3601"/>
      <c r="N6" s="3601"/>
      <c r="O6" s="3601"/>
      <c r="P6" s="3601"/>
      <c r="Q6" s="3602"/>
      <c r="R6" s="1788" t="str">
        <f>结果表!O39</f>
        <v>——</v>
      </c>
    </row>
    <row r="7" spans="1:18">
      <c r="A7" s="3600" t="str">
        <f>IF(项目基本情况!B9="市场价格","——",IF(项目基本情况!E8="已注销及未注销","抵押担保权已注销时的抵押价格","——"))</f>
        <v>——</v>
      </c>
      <c r="B7" s="3601"/>
      <c r="C7" s="3601"/>
      <c r="D7" s="3601"/>
      <c r="E7" s="3601"/>
      <c r="F7" s="3601"/>
      <c r="G7" s="3601"/>
      <c r="H7" s="3601"/>
      <c r="I7" s="3601"/>
      <c r="J7" s="3601"/>
      <c r="K7" s="3601"/>
      <c r="L7" s="3601"/>
      <c r="M7" s="3601"/>
      <c r="N7" s="3601"/>
      <c r="O7" s="3601"/>
      <c r="P7" s="3601"/>
      <c r="Q7" s="3602"/>
      <c r="R7" s="1788" t="str">
        <f>结果表!O40</f>
        <v>——</v>
      </c>
    </row>
    <row r="8" spans="1:18">
      <c r="A8" s="3600" t="str">
        <f>IF(项目基本情况!B9="市场价格","——",项目基本情况!E9)</f>
        <v>——</v>
      </c>
      <c r="B8" s="3601"/>
      <c r="C8" s="3601"/>
      <c r="D8" s="3601"/>
      <c r="E8" s="3601"/>
      <c r="F8" s="3601"/>
      <c r="G8" s="3601"/>
      <c r="H8" s="3601"/>
      <c r="I8" s="3601"/>
      <c r="J8" s="3601"/>
      <c r="K8" s="3601"/>
      <c r="L8" s="3601"/>
      <c r="M8" s="3601"/>
      <c r="N8" s="3601"/>
      <c r="O8" s="3601"/>
      <c r="P8" s="3601"/>
      <c r="Q8" s="3602"/>
      <c r="R8" s="1788" t="str">
        <f>结果表!O41</f>
        <v>——</v>
      </c>
    </row>
    <row r="9" spans="1:18">
      <c r="A9" s="1789" t="s">
        <v>2017</v>
      </c>
      <c r="B9" s="1783"/>
      <c r="C9" s="1783"/>
      <c r="D9" s="1783"/>
      <c r="E9" s="1783"/>
      <c r="F9" s="1783"/>
      <c r="G9" s="1783"/>
      <c r="H9" s="1783"/>
      <c r="I9" s="1783"/>
      <c r="J9" s="1783"/>
      <c r="K9" s="1783"/>
      <c r="L9" s="1783"/>
      <c r="M9" s="1783"/>
      <c r="N9" s="1783"/>
      <c r="O9" s="1783"/>
      <c r="P9" s="1783"/>
      <c r="Q9" s="1783"/>
      <c r="R9" s="1783"/>
    </row>
    <row r="10" spans="1:18">
      <c r="A10" s="1790"/>
      <c r="B10" s="1783"/>
      <c r="C10" s="1783"/>
      <c r="D10" s="1783"/>
      <c r="E10" s="1783"/>
      <c r="F10" s="1783"/>
      <c r="G10" s="1783"/>
      <c r="H10" s="1783"/>
      <c r="I10" s="1783"/>
      <c r="J10" s="1783"/>
      <c r="K10" s="1783"/>
      <c r="L10" s="1783"/>
      <c r="M10" s="1783"/>
      <c r="N10" s="1783"/>
      <c r="O10" s="1783"/>
      <c r="P10" s="1783"/>
      <c r="Q10" s="1783"/>
      <c r="R10" s="1783"/>
    </row>
    <row r="11" spans="1:18">
      <c r="A11" s="1790" t="s">
        <v>2004</v>
      </c>
      <c r="B11" s="1791"/>
      <c r="C11" s="1791"/>
      <c r="D11" s="1791"/>
      <c r="E11" s="1791"/>
      <c r="F11" s="1791"/>
      <c r="G11" s="1791"/>
      <c r="H11" s="1791"/>
      <c r="I11" s="1791"/>
      <c r="J11" s="1791"/>
      <c r="K11" s="1791"/>
      <c r="L11" s="1791"/>
      <c r="M11" s="1791"/>
      <c r="N11" s="1791"/>
      <c r="O11" s="1791"/>
      <c r="P11" s="1791"/>
      <c r="Q11" s="1791"/>
      <c r="R11" s="179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7"/>
      <c r="B14" s="2"/>
      <c r="C14" s="2"/>
      <c r="D14" s="2"/>
      <c r="E14" s="2"/>
      <c r="F14" s="2"/>
      <c r="G14" s="2"/>
      <c r="H14" s="2"/>
      <c r="I14" s="2"/>
      <c r="J14" s="2"/>
      <c r="K14" s="2"/>
      <c r="L14" s="2"/>
      <c r="M14" s="2"/>
      <c r="N14" s="2"/>
      <c r="O14" s="2"/>
      <c r="P14" s="2"/>
      <c r="Q14" s="2"/>
      <c r="R14" s="2"/>
    </row>
    <row r="15" spans="1:18">
      <c r="A15" s="1769"/>
    </row>
    <row r="16" spans="1:18">
      <c r="A16" s="1769"/>
    </row>
    <row r="17" spans="1:1">
      <c r="A17" s="1769"/>
    </row>
    <row r="18" spans="1:1">
      <c r="A18" s="1769"/>
    </row>
    <row r="19" spans="1:1">
      <c r="A19" s="1769"/>
    </row>
    <row r="20" spans="1:1">
      <c r="A20" s="1768"/>
    </row>
    <row r="21" spans="1:1">
      <c r="A21" s="1768"/>
    </row>
    <row r="22" spans="1:1">
      <c r="A22" s="1769"/>
    </row>
    <row r="23" spans="1:1">
      <c r="A23" s="1769"/>
    </row>
    <row r="24" spans="1:1">
      <c r="A24" s="1769"/>
    </row>
    <row r="25" spans="1:1">
      <c r="A25" s="1769"/>
    </row>
    <row r="26" spans="1:1">
      <c r="A26" s="1769"/>
    </row>
    <row r="27" spans="1:1">
      <c r="A27" s="1769"/>
    </row>
    <row r="28" spans="1:1">
      <c r="A28" s="1769"/>
    </row>
    <row r="29" spans="1:1">
      <c r="A29" s="1769"/>
    </row>
    <row r="30" spans="1:1">
      <c r="A30" s="1769"/>
    </row>
    <row r="31" spans="1:1">
      <c r="A31" s="1769"/>
    </row>
    <row r="32" spans="1:1">
      <c r="A32" s="1769"/>
    </row>
    <row r="33" spans="1:1">
      <c r="A33" s="1769"/>
    </row>
    <row r="34" spans="1:1">
      <c r="A34" s="1769"/>
    </row>
    <row r="35" spans="1:1">
      <c r="A35" s="1769"/>
    </row>
    <row r="36" spans="1:1">
      <c r="A36" s="1769"/>
    </row>
    <row r="37" spans="1:1">
      <c r="A37" s="176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40"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778" customWidth="1"/>
    <col min="2" max="3" width="21.375" style="1778" customWidth="1"/>
    <col min="4" max="4" width="19.875" style="1778" customWidth="1"/>
    <col min="5" max="16384" width="9" style="1778"/>
  </cols>
  <sheetData>
    <row r="1" spans="1:4">
      <c r="A1" s="3607" t="s">
        <v>2041</v>
      </c>
      <c r="B1" s="3607"/>
      <c r="C1" s="3607"/>
      <c r="D1" s="3607"/>
    </row>
    <row r="2" spans="1:4" ht="47.25" customHeight="1">
      <c r="A2" s="3611" t="str">
        <f>"1.权利限制："&amp;项目基本情况!L24&amp;"未设定租赁等其他他项权利。"</f>
        <v>1.权利限制：根据估价对象《不动产权证书》原件、《国有土地使用权》复印件，截至估价期日，估价对象抵押权未见登记。未设定租赁等其他他项权利。</v>
      </c>
      <c r="B2" s="3611"/>
      <c r="C2" s="3611"/>
      <c r="D2" s="3611"/>
    </row>
    <row r="3" spans="1:4" ht="48" customHeight="1">
      <c r="A3" s="36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07"/>
      <c r="C3" s="3607"/>
      <c r="D3" s="3607"/>
    </row>
    <row r="4" spans="1:4" ht="36.75" customHeight="1">
      <c r="A4" s="3607" t="str">
        <f>"3.估价规划限制条件：详见"&amp;项目基本情况!E21&amp;"。"</f>
        <v>3.估价规划限制条件：详见《建设工程规划许可证》[]、《出让合同》[]。</v>
      </c>
      <c r="B4" s="3607"/>
      <c r="C4" s="3607"/>
      <c r="D4" s="3607"/>
    </row>
    <row r="5" spans="1:4">
      <c r="A5" s="3610" t="s">
        <v>2042</v>
      </c>
      <c r="B5" s="3610"/>
      <c r="C5" s="3610"/>
      <c r="D5" s="3610"/>
    </row>
    <row r="6" spans="1:4">
      <c r="A6" s="3607" t="s">
        <v>2020</v>
      </c>
      <c r="B6" s="3607"/>
      <c r="C6" s="3607"/>
      <c r="D6" s="3607"/>
    </row>
    <row r="7" spans="1:4" ht="33" customHeight="1">
      <c r="A7" s="3607" t="s">
        <v>2549</v>
      </c>
      <c r="B7" s="3607"/>
      <c r="C7" s="3607"/>
      <c r="D7" s="3607"/>
    </row>
    <row r="8" spans="1:4" ht="32.25" customHeight="1">
      <c r="A8" s="36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07"/>
      <c r="C8" s="3607"/>
      <c r="D8" s="3607"/>
    </row>
    <row r="9" spans="1:4" ht="33.75" customHeight="1">
      <c r="A9" s="3607" t="str">
        <f>IF(项目基本情况!B8="抵押","3.抵押双方在办理抵押登记手续时，应使用本公司出具的正式《土地估价报告》，特提请报告使用者注意。","——")</f>
        <v>——</v>
      </c>
      <c r="B9" s="3607"/>
      <c r="C9" s="3607"/>
      <c r="D9" s="3607"/>
    </row>
    <row r="10" spans="1:4">
      <c r="A10" s="3607" t="str">
        <f>IF(项目基本情况!B8="抵押","4.估价师所知悉的法定优先受偿款情况为：","——")</f>
        <v>——</v>
      </c>
      <c r="B10" s="3607"/>
      <c r="C10" s="3607"/>
      <c r="D10" s="3607"/>
    </row>
    <row r="11" spans="1:4" ht="37.5" customHeight="1">
      <c r="A11" s="3609" t="str">
        <f>IF(项目基本情况!B8="抵押","（1）"&amp;CONCATENATE(项目基本情况!L24,项目基本情况!L25,项目基本情况!L26),"——")</f>
        <v>——</v>
      </c>
      <c r="B11" s="3609"/>
      <c r="C11" s="3609"/>
      <c r="D11" s="3609"/>
    </row>
    <row r="12" spans="1:4" ht="168" customHeight="1">
      <c r="A12" s="3610" t="s">
        <v>2044</v>
      </c>
      <c r="B12" s="3610"/>
      <c r="C12" s="3610"/>
      <c r="D12" s="3610"/>
    </row>
    <row r="13" spans="1:4">
      <c r="A13" s="3608" t="s">
        <v>2720</v>
      </c>
      <c r="B13" s="3608"/>
      <c r="C13" s="3608"/>
      <c r="D13" s="3608"/>
    </row>
    <row r="14" spans="1:4">
      <c r="A14" s="3609" t="str">
        <f>IF(项目基本情况!B8="抵押","综上，"&amp;结果表!K47,"——")</f>
        <v>——</v>
      </c>
      <c r="B14" s="3609"/>
      <c r="C14" s="3609"/>
      <c r="D14" s="3609"/>
    </row>
    <row r="15" spans="1:4" ht="58.5" customHeight="1">
      <c r="A15" s="36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07"/>
      <c r="C15" s="3607"/>
      <c r="D15" s="3607"/>
    </row>
    <row r="16" spans="1:4" ht="70.5" customHeight="1">
      <c r="A16" s="36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07"/>
      <c r="C16" s="3607"/>
      <c r="D16" s="3607"/>
    </row>
    <row r="17" spans="1:4">
      <c r="A17" s="3607" t="s">
        <v>2676</v>
      </c>
      <c r="B17" s="3607"/>
      <c r="C17" s="3607"/>
      <c r="D17" s="3607"/>
    </row>
    <row r="18" spans="1:4">
      <c r="A18" s="3607" t="s">
        <v>2668</v>
      </c>
      <c r="B18" s="3607"/>
      <c r="C18" s="3607"/>
      <c r="D18" s="3607"/>
    </row>
    <row r="19" spans="1:4">
      <c r="A19" s="2798" t="s">
        <v>2669</v>
      </c>
      <c r="B19" s="2798" t="s">
        <v>2670</v>
      </c>
      <c r="C19" s="2798" t="s">
        <v>2671</v>
      </c>
      <c r="D19" s="2798" t="s">
        <v>2672</v>
      </c>
    </row>
    <row r="20" spans="1:4">
      <c r="A20" s="2798" t="str">
        <f>项目基本情况!B4</f>
        <v>土地估价师</v>
      </c>
      <c r="B20" s="2798">
        <f>项目基本情况!C4</f>
        <v>0</v>
      </c>
      <c r="C20" s="2800"/>
      <c r="D20" s="1776" t="s">
        <v>2677</v>
      </c>
    </row>
    <row r="21" spans="1:4">
      <c r="A21" s="2798" t="str">
        <f>项目基本情况!D4</f>
        <v>土地估价师</v>
      </c>
      <c r="B21" s="2798">
        <f>项目基本情况!E4</f>
        <v>0</v>
      </c>
      <c r="C21" s="2800"/>
      <c r="D21" s="1776" t="s">
        <v>2678</v>
      </c>
    </row>
    <row r="23" spans="1:4">
      <c r="A23" s="3607" t="s">
        <v>2673</v>
      </c>
      <c r="B23" s="3607"/>
      <c r="C23" s="3607"/>
      <c r="D23" s="3607"/>
    </row>
    <row r="24" spans="1:4">
      <c r="A24" s="2798" t="s">
        <v>2669</v>
      </c>
      <c r="B24" s="2798" t="s">
        <v>2674</v>
      </c>
      <c r="C24" s="2798" t="s">
        <v>2671</v>
      </c>
      <c r="D24" s="2798" t="s">
        <v>2672</v>
      </c>
    </row>
    <row r="25" spans="1:4">
      <c r="A25" s="2801" t="s">
        <v>2675</v>
      </c>
      <c r="B25" s="2798" t="s">
        <v>930</v>
      </c>
      <c r="C25" s="2800"/>
      <c r="D25" s="1776" t="s">
        <v>2678</v>
      </c>
    </row>
    <row r="29" spans="1:4">
      <c r="D29" s="2799" t="s">
        <v>2015</v>
      </c>
    </row>
    <row r="30" spans="1:4">
      <c r="D30" s="280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23" sqref="C23"/>
      <selection pane="bottomLeft" activeCell="C23" sqref="C23"/>
    </sheetView>
  </sheetViews>
  <sheetFormatPr defaultColWidth="14.5" defaultRowHeight="15.75"/>
  <cols>
    <col min="1" max="1" width="14.5" style="1152" customWidth="1"/>
    <col min="2" max="16384" width="14.5" style="1150"/>
  </cols>
  <sheetData>
    <row r="1" spans="1:7" s="1148" customFormat="1" ht="18.75">
      <c r="A1" s="1147" t="s">
        <v>64</v>
      </c>
    </row>
    <row r="3" spans="1:7" ht="14.25">
      <c r="A3" s="1149" t="s">
        <v>65</v>
      </c>
      <c r="B3" s="1150" t="s">
        <v>66</v>
      </c>
      <c r="G3" s="1151"/>
    </row>
    <row r="4" spans="1:7">
      <c r="G4" s="1151"/>
    </row>
    <row r="5" spans="1:7" ht="14.25">
      <c r="A5" s="1153" t="s">
        <v>44</v>
      </c>
      <c r="B5" s="1150" t="s">
        <v>45</v>
      </c>
      <c r="G5" s="1151"/>
    </row>
    <row r="6" spans="1:7">
      <c r="G6" s="1151"/>
    </row>
    <row r="7" spans="1:7" ht="14.25">
      <c r="A7" s="1154" t="s">
        <v>46</v>
      </c>
      <c r="B7" s="1150" t="s">
        <v>47</v>
      </c>
      <c r="G7" s="1151"/>
    </row>
    <row r="8" spans="1:7">
      <c r="G8" s="1151"/>
    </row>
    <row r="9" spans="1:7">
      <c r="A9" s="1155" t="s">
        <v>48</v>
      </c>
      <c r="B9" s="1150" t="s">
        <v>49</v>
      </c>
    </row>
    <row r="11" spans="1:7">
      <c r="A11" s="1156" t="s">
        <v>50</v>
      </c>
      <c r="B11" s="1157" t="s">
        <v>850</v>
      </c>
    </row>
    <row r="13" spans="1:7">
      <c r="A13" s="1158" t="s">
        <v>51</v>
      </c>
    </row>
    <row r="15" spans="1:7" ht="14.25">
      <c r="A15" s="3619" t="s">
        <v>52</v>
      </c>
      <c r="B15" s="3620" t="s">
        <v>824</v>
      </c>
      <c r="C15" s="3616"/>
    </row>
    <row r="16" spans="1:7" ht="14.25">
      <c r="A16" s="3619"/>
      <c r="B16" s="3617" t="s">
        <v>53</v>
      </c>
      <c r="C16" s="1159" t="s">
        <v>52</v>
      </c>
    </row>
    <row r="17" spans="1:3" ht="14.25">
      <c r="A17" s="3619"/>
      <c r="B17" s="3617"/>
      <c r="C17" s="1159" t="s">
        <v>54</v>
      </c>
    </row>
    <row r="18" spans="1:3" ht="14.25">
      <c r="A18" s="3619"/>
      <c r="B18" s="3617"/>
      <c r="C18" s="1159" t="s">
        <v>55</v>
      </c>
    </row>
    <row r="19" spans="1:3" ht="14.25">
      <c r="A19" s="3619"/>
      <c r="B19" s="3615" t="s">
        <v>56</v>
      </c>
      <c r="C19" s="3616"/>
    </row>
    <row r="20" spans="1:3" ht="14.25">
      <c r="A20" s="1160" t="s">
        <v>57</v>
      </c>
      <c r="B20" s="1161"/>
      <c r="C20" s="1162"/>
    </row>
    <row r="21" spans="1:3" ht="14.25">
      <c r="A21" s="3618" t="s">
        <v>58</v>
      </c>
      <c r="B21" s="3615" t="s">
        <v>59</v>
      </c>
      <c r="C21" s="3616"/>
    </row>
    <row r="22" spans="1:3" ht="14.25">
      <c r="A22" s="3618"/>
      <c r="B22" s="3615" t="s">
        <v>60</v>
      </c>
      <c r="C22" s="3616"/>
    </row>
    <row r="23" spans="1:3" ht="14.25">
      <c r="A23" s="3618"/>
      <c r="B23" s="3615" t="s">
        <v>61</v>
      </c>
      <c r="C23" s="3616"/>
    </row>
    <row r="24" spans="1:3" ht="14.25">
      <c r="A24" s="3618"/>
      <c r="B24" s="3621" t="s">
        <v>62</v>
      </c>
      <c r="C24" s="1163" t="s">
        <v>815</v>
      </c>
    </row>
    <row r="25" spans="1:3" ht="14.25">
      <c r="A25" s="3618"/>
      <c r="B25" s="3622"/>
      <c r="C25" s="1163" t="s">
        <v>816</v>
      </c>
    </row>
    <row r="26" spans="1:3" ht="14.25">
      <c r="A26" s="3618"/>
      <c r="B26" s="3622"/>
      <c r="C26" s="1163" t="s">
        <v>817</v>
      </c>
    </row>
    <row r="27" spans="1:3" ht="14.25">
      <c r="A27" s="3618"/>
      <c r="B27" s="3622"/>
      <c r="C27" s="1163" t="s">
        <v>818</v>
      </c>
    </row>
    <row r="28" spans="1:3" ht="14.25">
      <c r="A28" s="3618"/>
      <c r="B28" s="3622"/>
      <c r="C28" s="1163" t="s">
        <v>819</v>
      </c>
    </row>
    <row r="29" spans="1:3" ht="14.25">
      <c r="A29" s="3618"/>
      <c r="B29" s="3622"/>
      <c r="C29" s="1163" t="s">
        <v>820</v>
      </c>
    </row>
    <row r="30" spans="1:3" ht="14.25">
      <c r="A30" s="3618"/>
      <c r="B30" s="3622"/>
      <c r="C30" s="1163" t="s">
        <v>821</v>
      </c>
    </row>
    <row r="31" spans="1:3" ht="14.25">
      <c r="A31" s="3618"/>
      <c r="B31" s="3622"/>
      <c r="C31" s="1163" t="s">
        <v>822</v>
      </c>
    </row>
    <row r="32" spans="1:3" ht="14.25">
      <c r="A32" s="3618"/>
      <c r="B32" s="3622"/>
      <c r="C32" s="1163" t="s">
        <v>1624</v>
      </c>
    </row>
    <row r="33" spans="1:3" ht="14.25">
      <c r="A33" s="3618"/>
      <c r="B33" s="3612" t="s">
        <v>1630</v>
      </c>
      <c r="C33" s="1163" t="s">
        <v>1625</v>
      </c>
    </row>
    <row r="34" spans="1:3" ht="14.25">
      <c r="A34" s="3618"/>
      <c r="B34" s="3613"/>
      <c r="C34" s="1168" t="s">
        <v>1626</v>
      </c>
    </row>
    <row r="35" spans="1:3" ht="14.25">
      <c r="A35" s="3618"/>
      <c r="B35" s="3613"/>
      <c r="C35" s="1169" t="s">
        <v>1627</v>
      </c>
    </row>
    <row r="36" spans="1:3" ht="14.25">
      <c r="A36" s="3618"/>
      <c r="B36" s="3613"/>
      <c r="C36" s="1169" t="s">
        <v>1628</v>
      </c>
    </row>
    <row r="37" spans="1:3" ht="14.25">
      <c r="A37" s="3618"/>
      <c r="B37" s="3614"/>
      <c r="C37" s="1170" t="s">
        <v>1629</v>
      </c>
    </row>
    <row r="38" spans="1:3">
      <c r="A38" s="1164" t="s">
        <v>823</v>
      </c>
    </row>
    <row r="41" spans="1:3">
      <c r="A41" s="1164" t="s">
        <v>67</v>
      </c>
    </row>
    <row r="42" spans="1:3" ht="14.25">
      <c r="A42" s="1165" t="s">
        <v>831</v>
      </c>
    </row>
    <row r="43" spans="1:3" ht="14.25">
      <c r="A43" s="1166" t="s">
        <v>68</v>
      </c>
    </row>
    <row r="44" spans="1:3" ht="14.25">
      <c r="A44" s="1165" t="s">
        <v>830</v>
      </c>
    </row>
    <row r="45" spans="1:3" ht="14.25">
      <c r="A45" s="1167" t="s">
        <v>832</v>
      </c>
    </row>
    <row r="46" spans="1:3" ht="14.25">
      <c r="A46" s="1166"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23" sqref="C23"/>
    </sheetView>
  </sheetViews>
  <sheetFormatPr defaultColWidth="22.625" defaultRowHeight="20.25" customHeight="1"/>
  <cols>
    <col min="1" max="1" width="24.625" style="3104" customWidth="1"/>
    <col min="2" max="5" width="22.625" style="3104"/>
    <col min="6" max="6" width="25.625" style="3104" customWidth="1"/>
    <col min="7" max="16384" width="22.625" style="3104"/>
  </cols>
  <sheetData>
    <row r="2" spans="1:6" ht="20.25" customHeight="1">
      <c r="A2" s="3101" t="s">
        <v>1885</v>
      </c>
      <c r="B2" s="3102">
        <f ca="1">TODAY()</f>
        <v>43945</v>
      </c>
      <c r="C2" s="3103" t="s">
        <v>1886</v>
      </c>
      <c r="D2" s="3103"/>
    </row>
    <row r="3" spans="1:6" ht="20.25" customHeight="1">
      <c r="A3" s="3105" t="s">
        <v>1887</v>
      </c>
      <c r="B3" s="3106" t="s">
        <v>1888</v>
      </c>
      <c r="C3" s="3106" t="s">
        <v>1889</v>
      </c>
      <c r="D3" s="3107" t="s">
        <v>1890</v>
      </c>
      <c r="E3" s="3106" t="s">
        <v>1891</v>
      </c>
      <c r="F3" s="3106" t="s">
        <v>1889</v>
      </c>
    </row>
    <row r="4" spans="1:6" ht="20.25" customHeight="1">
      <c r="A4" s="3106" t="s">
        <v>1892</v>
      </c>
      <c r="B4" s="3106">
        <f ca="1">IF(C4&lt;B2,"已过期",1119970066)</f>
        <v>1119970066</v>
      </c>
      <c r="C4" s="3108">
        <v>44876</v>
      </c>
      <c r="D4" s="3106" t="s">
        <v>1892</v>
      </c>
      <c r="E4" s="3106">
        <f ca="1">IF(F4&lt;B2,"已过期",96010014)</f>
        <v>96010014</v>
      </c>
      <c r="F4" s="3109">
        <v>47118</v>
      </c>
    </row>
    <row r="5" spans="1:6" ht="20.25" customHeight="1">
      <c r="A5" s="3106"/>
      <c r="B5" s="3106"/>
      <c r="C5" s="3108"/>
      <c r="D5" s="3106"/>
      <c r="E5" s="3106"/>
      <c r="F5" s="3109"/>
    </row>
    <row r="6" spans="1:6" ht="20.25" customHeight="1">
      <c r="A6" s="3106" t="s">
        <v>1893</v>
      </c>
      <c r="B6" s="3106">
        <f ca="1">IF(C6&lt;B2,"已过期",1119970111)</f>
        <v>1119970111</v>
      </c>
      <c r="C6" s="3108">
        <v>44876</v>
      </c>
      <c r="D6" s="3106" t="s">
        <v>1893</v>
      </c>
      <c r="E6" s="3106">
        <f ca="1">IF(F6&lt;B2,"已过期",94010078)</f>
        <v>94010078</v>
      </c>
      <c r="F6" s="3109">
        <v>46387</v>
      </c>
    </row>
    <row r="7" spans="1:6" ht="20.25" customHeight="1">
      <c r="A7" s="3106" t="s">
        <v>1894</v>
      </c>
      <c r="B7" s="3106">
        <f ca="1">IF(C7&lt;B2,"已过期",1120050019)</f>
        <v>1120050019</v>
      </c>
      <c r="C7" s="3108">
        <v>44395</v>
      </c>
      <c r="D7" s="3106" t="s">
        <v>1894</v>
      </c>
      <c r="E7" s="3106">
        <f ca="1">IF(F7&lt;B2,"已过期",2002110030)</f>
        <v>2002110030</v>
      </c>
      <c r="F7" s="3109">
        <v>46387</v>
      </c>
    </row>
    <row r="8" spans="1:6" ht="20.25" customHeight="1">
      <c r="A8" s="3106" t="s">
        <v>1895</v>
      </c>
      <c r="B8" s="3106">
        <f ca="1">IF(C8&lt;B2,"已过期",1120000080)</f>
        <v>1120000080</v>
      </c>
      <c r="C8" s="3108">
        <v>44876</v>
      </c>
      <c r="D8" s="3106" t="s">
        <v>1895</v>
      </c>
      <c r="E8" s="3106">
        <f ca="1">IF(F8&lt;B2,"已过期",2000110082)</f>
        <v>2000110082</v>
      </c>
      <c r="F8" s="3109">
        <v>46387</v>
      </c>
    </row>
    <row r="9" spans="1:6" ht="20.25" customHeight="1">
      <c r="A9" s="3106" t="s">
        <v>1896</v>
      </c>
      <c r="B9" s="3106">
        <f ca="1">IF(C9&lt;B2,"已过期",1419970001)</f>
        <v>1419970001</v>
      </c>
      <c r="C9" s="3108">
        <v>44899</v>
      </c>
      <c r="D9" s="3106" t="s">
        <v>1896</v>
      </c>
      <c r="E9" s="3106">
        <f ca="1">IF(F9&lt;B2,"已过期",2002110125)</f>
        <v>2002110125</v>
      </c>
      <c r="F9" s="3109">
        <v>47118</v>
      </c>
    </row>
    <row r="10" spans="1:6" ht="20.25" customHeight="1">
      <c r="A10" s="3106" t="s">
        <v>1897</v>
      </c>
      <c r="B10" s="3106">
        <f ca="1">IF(C10&lt;B2,"已过期",1120060040)</f>
        <v>1120060040</v>
      </c>
      <c r="C10" s="3108">
        <v>44554</v>
      </c>
      <c r="D10" s="3106" t="s">
        <v>1897</v>
      </c>
      <c r="E10" s="3106">
        <f ca="1">IF(F10&lt;B2,"已过期",2004110096)</f>
        <v>2004110096</v>
      </c>
      <c r="F10" s="3109">
        <v>47118</v>
      </c>
    </row>
    <row r="11" spans="1:6" ht="20.25" customHeight="1">
      <c r="A11" s="3106" t="s">
        <v>1898</v>
      </c>
      <c r="B11" s="3106">
        <f ca="1">IF(C11&lt;B2,"已过期",1120100036)</f>
        <v>1120100036</v>
      </c>
      <c r="C11" s="3108">
        <v>44675</v>
      </c>
      <c r="D11" s="3106" t="s">
        <v>1898</v>
      </c>
      <c r="E11" s="3106">
        <f ca="1">IF(F11&lt;B2,"已过期",2010110070)</f>
        <v>2010110070</v>
      </c>
      <c r="F11" s="3109">
        <v>47907</v>
      </c>
    </row>
    <row r="12" spans="1:6" ht="20.25" customHeight="1">
      <c r="A12" s="3106"/>
      <c r="B12" s="3106"/>
      <c r="C12" s="3108"/>
      <c r="D12" s="3106"/>
      <c r="E12" s="3106"/>
      <c r="F12" s="3109"/>
    </row>
    <row r="13" spans="1:6" ht="20.25" customHeight="1">
      <c r="A13" s="3106" t="s">
        <v>1899</v>
      </c>
      <c r="B13" s="3106">
        <f ca="1">IF(C13&lt;B2,"已过期",1120070131)</f>
        <v>1120070131</v>
      </c>
      <c r="C13" s="3108">
        <v>44849</v>
      </c>
      <c r="D13" s="3106" t="s">
        <v>1899</v>
      </c>
      <c r="E13" s="3106">
        <f ca="1">IF(F13&lt;B2,"已过期",2014110011)</f>
        <v>2014110011</v>
      </c>
      <c r="F13" s="3109">
        <v>49302</v>
      </c>
    </row>
    <row r="14" spans="1:6" ht="20.25" customHeight="1">
      <c r="A14" s="3106" t="s">
        <v>2956</v>
      </c>
      <c r="B14" s="3106">
        <f ca="1">IF(C14&lt;B2,"已过期",1120040230)</f>
        <v>1120040230</v>
      </c>
      <c r="C14" s="3110">
        <v>44864</v>
      </c>
      <c r="D14" s="3111" t="s">
        <v>2957</v>
      </c>
      <c r="E14" s="3106">
        <f ca="1">IF(F14&lt;B2,"已过期",98030020)</f>
        <v>98030020</v>
      </c>
      <c r="F14" s="3109">
        <v>47118</v>
      </c>
    </row>
    <row r="15" spans="1:6" ht="20.25" customHeight="1">
      <c r="A15" s="3106"/>
      <c r="B15" s="3106"/>
      <c r="C15" s="3110"/>
      <c r="D15" s="3106"/>
      <c r="E15" s="3106"/>
      <c r="F15" s="3112"/>
    </row>
    <row r="16" spans="1:6" ht="20.25" customHeight="1">
      <c r="A16" s="3106"/>
      <c r="B16" s="3106"/>
      <c r="C16" s="3108"/>
      <c r="D16" s="3106"/>
      <c r="E16" s="3106"/>
      <c r="F16" s="3109"/>
    </row>
    <row r="17" spans="1:7" ht="20.25" customHeight="1">
      <c r="A17" s="3106"/>
      <c r="B17" s="3106"/>
      <c r="C17" s="3108"/>
      <c r="D17" s="3111"/>
      <c r="E17" s="3106"/>
      <c r="F17" s="3109"/>
    </row>
    <row r="18" spans="1:7" ht="20.25" customHeight="1">
      <c r="A18" s="3106" t="s">
        <v>2969</v>
      </c>
      <c r="B18" s="3106">
        <v>1120190079</v>
      </c>
      <c r="C18" s="3108">
        <v>44826</v>
      </c>
      <c r="D18" s="3106"/>
      <c r="E18" s="3106"/>
      <c r="F18" s="3109"/>
    </row>
    <row r="19" spans="1:7" ht="20.25" customHeight="1">
      <c r="A19" s="3106"/>
      <c r="B19" s="3106"/>
      <c r="C19" s="3108"/>
      <c r="D19" s="3106"/>
      <c r="E19" s="3106"/>
      <c r="F19" s="3106"/>
    </row>
    <row r="20" spans="1:7" ht="20.25" customHeight="1">
      <c r="A20" s="3106"/>
      <c r="B20" s="3106"/>
      <c r="C20" s="3108"/>
      <c r="D20" s="3106"/>
      <c r="E20" s="3106"/>
      <c r="F20" s="3106"/>
    </row>
    <row r="21" spans="1:7" ht="20.25" customHeight="1">
      <c r="A21" s="3106"/>
      <c r="B21" s="3106"/>
      <c r="C21" s="3108"/>
      <c r="D21" s="3106" t="s">
        <v>1900</v>
      </c>
      <c r="E21" s="3106">
        <f ca="1">IF(F21&lt;B2,"已过期",2011110090)</f>
        <v>2011110090</v>
      </c>
      <c r="F21" s="3109">
        <v>48302</v>
      </c>
    </row>
    <row r="22" spans="1:7" ht="20.25" customHeight="1">
      <c r="A22" s="3106" t="s">
        <v>1901</v>
      </c>
      <c r="B22" s="3106">
        <f ca="1">IF(C22&lt;B2,"已过期",1120020033)</f>
        <v>1120020033</v>
      </c>
      <c r="C22" s="3108">
        <v>44339</v>
      </c>
      <c r="D22" s="3106" t="s">
        <v>1901</v>
      </c>
      <c r="E22" s="3106">
        <f ca="1">IF(F22&lt;B2,"已过期",2000110137)</f>
        <v>2000110137</v>
      </c>
      <c r="F22" s="3109">
        <v>46387</v>
      </c>
    </row>
    <row r="23" spans="1:7" ht="20.25" customHeight="1">
      <c r="A23" s="3106" t="s">
        <v>2971</v>
      </c>
      <c r="B23" s="3106">
        <v>1119980106</v>
      </c>
      <c r="C23" s="3108">
        <v>44969</v>
      </c>
      <c r="D23" s="3106"/>
      <c r="E23" s="3106"/>
      <c r="F23" s="3106"/>
    </row>
    <row r="24" spans="1:7" s="3114" customFormat="1" ht="20.25" customHeight="1">
      <c r="A24" s="3105" t="s">
        <v>2029</v>
      </c>
      <c r="B24" s="3105" t="s">
        <v>2029</v>
      </c>
      <c r="C24" s="3108"/>
      <c r="D24" s="3113" t="s">
        <v>2029</v>
      </c>
      <c r="E24" s="3105" t="s">
        <v>2029</v>
      </c>
      <c r="F24" s="3112"/>
    </row>
    <row r="25" spans="1:7" ht="20.25" customHeight="1">
      <c r="A25" s="3623" t="s">
        <v>1902</v>
      </c>
      <c r="B25" s="3623"/>
      <c r="C25" s="3623"/>
      <c r="D25" s="3623"/>
      <c r="E25" s="3623"/>
      <c r="F25" s="3623"/>
      <c r="G25" s="3623"/>
    </row>
    <row r="26" spans="1:7" ht="20.25" customHeight="1">
      <c r="A26" s="3624" t="s">
        <v>1903</v>
      </c>
      <c r="B26" s="3624"/>
      <c r="C26" s="3624"/>
      <c r="D26" s="3624" t="s">
        <v>1904</v>
      </c>
      <c r="E26" s="3624"/>
      <c r="F26" s="3624"/>
    </row>
    <row r="27" spans="1:7" s="3101" customFormat="1" ht="20.25" customHeight="1">
      <c r="A27" s="3115" t="s">
        <v>1905</v>
      </c>
      <c r="B27" s="3116" t="s">
        <v>1906</v>
      </c>
      <c r="C27" s="3116" t="s">
        <v>1907</v>
      </c>
      <c r="D27" s="3106" t="s">
        <v>1905</v>
      </c>
      <c r="E27" s="3116" t="s">
        <v>1906</v>
      </c>
      <c r="F27" s="3116" t="s">
        <v>1907</v>
      </c>
    </row>
    <row r="28" spans="1:7" s="3101" customFormat="1" ht="20.25" customHeight="1">
      <c r="A28" s="3117" t="s">
        <v>1908</v>
      </c>
      <c r="B28" s="3117" t="s">
        <v>1909</v>
      </c>
      <c r="C28" s="3109">
        <v>44820</v>
      </c>
      <c r="D28" s="3117" t="s">
        <v>1910</v>
      </c>
      <c r="E28" s="3117" t="s">
        <v>1911</v>
      </c>
      <c r="F28" s="3118">
        <v>44377</v>
      </c>
    </row>
    <row r="29" spans="1:7" s="3101" customFormat="1" ht="20.25" customHeight="1">
      <c r="A29" s="3117"/>
      <c r="B29" s="3117"/>
      <c r="C29" s="3119"/>
      <c r="D29" s="3117" t="s">
        <v>1912</v>
      </c>
      <c r="E29" s="3117" t="s">
        <v>2970</v>
      </c>
      <c r="F29" s="3118">
        <v>44012</v>
      </c>
    </row>
    <row r="30" spans="1:7" ht="20.25" customHeight="1">
      <c r="C30" s="3120"/>
      <c r="D30" s="3120"/>
    </row>
  </sheetData>
  <sheetProtection sheet="1" objects="1" scenarios="1"/>
  <mergeCells count="3">
    <mergeCell ref="A25:G25"/>
    <mergeCell ref="A26:C26"/>
    <mergeCell ref="D26:F26"/>
  </mergeCells>
  <phoneticPr fontId="6" type="noConversion"/>
  <conditionalFormatting sqref="C24:D24">
    <cfRule type="expression" dxfId="225" priority="137">
      <formula>AND($C24-TODAY()&lt;30,TODAY()&lt;$C24)</formula>
    </cfRule>
  </conditionalFormatting>
  <conditionalFormatting sqref="C28">
    <cfRule type="expression" dxfId="224" priority="136">
      <formula>AND($C28-TODAY()&lt;30,TODAY()&lt;$C28)</formula>
    </cfRule>
  </conditionalFormatting>
  <conditionalFormatting sqref="C28 F4">
    <cfRule type="cellIs" dxfId="223" priority="138" stopIfTrue="1" operator="lessThan">
      <formula>$B$2</formula>
    </cfRule>
  </conditionalFormatting>
  <conditionalFormatting sqref="F5">
    <cfRule type="cellIs" dxfId="222" priority="134" stopIfTrue="1" operator="lessThan">
      <formula>$B$2</formula>
    </cfRule>
  </conditionalFormatting>
  <conditionalFormatting sqref="F6 F8 F10">
    <cfRule type="cellIs" dxfId="221" priority="132" stopIfTrue="1" operator="lessThan">
      <formula>$B$2</formula>
    </cfRule>
  </conditionalFormatting>
  <conditionalFormatting sqref="C24:D24">
    <cfRule type="expression" dxfId="220" priority="130">
      <formula>AND($C24-TODAY()&lt;30,TODAY()&lt;$C24)</formula>
    </cfRule>
  </conditionalFormatting>
  <conditionalFormatting sqref="F7 F9 F11 C24:D24">
    <cfRule type="cellIs" dxfId="219" priority="131" stopIfTrue="1" operator="lessThan">
      <formula>$B$2</formula>
    </cfRule>
  </conditionalFormatting>
  <conditionalFormatting sqref="F18">
    <cfRule type="cellIs" dxfId="218" priority="103" stopIfTrue="1" operator="lessThan">
      <formula>$B$2</formula>
    </cfRule>
  </conditionalFormatting>
  <conditionalFormatting sqref="F22">
    <cfRule type="cellIs" dxfId="217" priority="102" stopIfTrue="1" operator="lessThan">
      <formula>$B$2</formula>
    </cfRule>
  </conditionalFormatting>
  <conditionalFormatting sqref="F21">
    <cfRule type="cellIs" dxfId="216" priority="101" stopIfTrue="1" operator="lessThan">
      <formula>$B$2</formula>
    </cfRule>
  </conditionalFormatting>
  <conditionalFormatting sqref="B4:B11 E4:E11 E18:E23 B17:B23 B13 E13">
    <cfRule type="cellIs" dxfId="215" priority="99" stopIfTrue="1" operator="equal">
      <formula>"已过期"</formula>
    </cfRule>
  </conditionalFormatting>
  <conditionalFormatting sqref="F28">
    <cfRule type="cellIs" dxfId="214" priority="96" stopIfTrue="1" operator="lessThan">
      <formula>$B$2</formula>
    </cfRule>
  </conditionalFormatting>
  <conditionalFormatting sqref="F28">
    <cfRule type="expression" dxfId="213" priority="140">
      <formula>AND($E28-TODAY()&lt;30,TODAY()&lt;$E28)</formula>
    </cfRule>
  </conditionalFormatting>
  <conditionalFormatting sqref="C5">
    <cfRule type="expression" dxfId="212" priority="91">
      <formula>AND($C5-TODAY()&lt;30,TODAY()&lt;$C5)</formula>
    </cfRule>
  </conditionalFormatting>
  <conditionalFormatting sqref="C5">
    <cfRule type="cellIs" dxfId="211" priority="92" stopIfTrue="1" operator="lessThan">
      <formula>$B$2</formula>
    </cfRule>
  </conditionalFormatting>
  <conditionalFormatting sqref="C5:C6">
    <cfRule type="expression" dxfId="210" priority="89">
      <formula>AND($C5-TODAY()&lt;30,TODAY()&lt;$C5)</formula>
    </cfRule>
  </conditionalFormatting>
  <conditionalFormatting sqref="C5:C6">
    <cfRule type="cellIs" dxfId="209" priority="90" stopIfTrue="1" operator="lessThan">
      <formula>$B$2</formula>
    </cfRule>
  </conditionalFormatting>
  <conditionalFormatting sqref="C7">
    <cfRule type="expression" dxfId="208" priority="70">
      <formula>AND($C7-TODAY()&lt;30,TODAY()&lt;$C7)</formula>
    </cfRule>
  </conditionalFormatting>
  <conditionalFormatting sqref="C7">
    <cfRule type="cellIs" dxfId="207" priority="71" stopIfTrue="1" operator="lessThan">
      <formula>$B$2</formula>
    </cfRule>
  </conditionalFormatting>
  <conditionalFormatting sqref="C13 C17:C21">
    <cfRule type="expression" dxfId="206" priority="68">
      <formula>AND($C13-TODAY()&lt;30,TODAY()&lt;$C13)</formula>
    </cfRule>
  </conditionalFormatting>
  <conditionalFormatting sqref="C13 C17:C21">
    <cfRule type="cellIs" dxfId="205" priority="69" stopIfTrue="1" operator="lessThan">
      <formula>$B$2</formula>
    </cfRule>
  </conditionalFormatting>
  <conditionalFormatting sqref="F13">
    <cfRule type="cellIs" dxfId="204" priority="67" stopIfTrue="1" operator="lessThan">
      <formula>$B$2</formula>
    </cfRule>
  </conditionalFormatting>
  <conditionalFormatting sqref="F12">
    <cfRule type="cellIs" dxfId="203" priority="59" stopIfTrue="1" operator="lessThan">
      <formula>$B$2</formula>
    </cfRule>
  </conditionalFormatting>
  <conditionalFormatting sqref="B12 E12">
    <cfRule type="cellIs" dxfId="202" priority="58" stopIfTrue="1" operator="equal">
      <formula>"已过期"</formula>
    </cfRule>
  </conditionalFormatting>
  <conditionalFormatting sqref="C12">
    <cfRule type="expression" dxfId="201" priority="56">
      <formula>AND($C12-TODAY()&lt;30,TODAY()&lt;$C12)</formula>
    </cfRule>
  </conditionalFormatting>
  <conditionalFormatting sqref="C12">
    <cfRule type="cellIs" dxfId="200" priority="57" stopIfTrue="1" operator="lessThan">
      <formula>$B$2</formula>
    </cfRule>
  </conditionalFormatting>
  <conditionalFormatting sqref="C22">
    <cfRule type="expression" dxfId="199" priority="48">
      <formula>AND($C22-TODAY()&lt;30,TODAY()&lt;$C22)</formula>
    </cfRule>
  </conditionalFormatting>
  <conditionalFormatting sqref="C22">
    <cfRule type="cellIs" dxfId="198" priority="49" stopIfTrue="1" operator="lessThan">
      <formula>$B$2</formula>
    </cfRule>
  </conditionalFormatting>
  <conditionalFormatting sqref="C16">
    <cfRule type="expression" dxfId="197" priority="46">
      <formula>AND($C16-TODAY()&lt;30,TODAY()&lt;$C16)</formula>
    </cfRule>
  </conditionalFormatting>
  <conditionalFormatting sqref="C16">
    <cfRule type="cellIs" dxfId="196" priority="47" stopIfTrue="1" operator="lessThan">
      <formula>$B$2</formula>
    </cfRule>
  </conditionalFormatting>
  <conditionalFormatting sqref="C16">
    <cfRule type="expression" dxfId="195" priority="44">
      <formula>AND($C16-TODAY()&lt;30,TODAY()&lt;$C16)</formula>
    </cfRule>
  </conditionalFormatting>
  <conditionalFormatting sqref="C16">
    <cfRule type="cellIs" dxfId="194" priority="45" stopIfTrue="1" operator="lessThan">
      <formula>$B$2</formula>
    </cfRule>
  </conditionalFormatting>
  <conditionalFormatting sqref="B16">
    <cfRule type="cellIs" dxfId="193" priority="43" stopIfTrue="1" operator="equal">
      <formula>"已过期"</formula>
    </cfRule>
  </conditionalFormatting>
  <conditionalFormatting sqref="C14:C15">
    <cfRule type="expression" dxfId="192" priority="41">
      <formula>AND($C14-TODAY()&lt;30,TODAY()&lt;$C14)</formula>
    </cfRule>
  </conditionalFormatting>
  <conditionalFormatting sqref="C14:C15">
    <cfRule type="cellIs" dxfId="191" priority="42" stopIfTrue="1" operator="lessThan">
      <formula>$B$2</formula>
    </cfRule>
  </conditionalFormatting>
  <conditionalFormatting sqref="C14">
    <cfRule type="expression" dxfId="190" priority="39">
      <formula>AND($C14-TODAY()&lt;30,TODAY()&lt;$C14)</formula>
    </cfRule>
  </conditionalFormatting>
  <conditionalFormatting sqref="C14">
    <cfRule type="cellIs" dxfId="189" priority="40" stopIfTrue="1" operator="lessThan">
      <formula>$B$2</formula>
    </cfRule>
  </conditionalFormatting>
  <conditionalFormatting sqref="C15">
    <cfRule type="expression" dxfId="188" priority="37">
      <formula>AND($C15-TODAY()&lt;30,TODAY()&lt;$C15)</formula>
    </cfRule>
  </conditionalFormatting>
  <conditionalFormatting sqref="C15">
    <cfRule type="cellIs" dxfId="187" priority="38" stopIfTrue="1" operator="lessThan">
      <formula>$B$2</formula>
    </cfRule>
  </conditionalFormatting>
  <conditionalFormatting sqref="B14">
    <cfRule type="cellIs" dxfId="186" priority="36" stopIfTrue="1" operator="equal">
      <formula>"已过期"</formula>
    </cfRule>
  </conditionalFormatting>
  <conditionalFormatting sqref="B15">
    <cfRule type="cellIs" dxfId="185" priority="35" stopIfTrue="1" operator="equal">
      <formula>"已过期"</formula>
    </cfRule>
  </conditionalFormatting>
  <conditionalFormatting sqref="A15">
    <cfRule type="cellIs" dxfId="184" priority="34" stopIfTrue="1" operator="equal">
      <formula>"已过期"</formula>
    </cfRule>
  </conditionalFormatting>
  <conditionalFormatting sqref="C15">
    <cfRule type="expression" dxfId="183" priority="33">
      <formula>AND($C15-TODAY()&lt;30,TODAY()&lt;$C15)</formula>
    </cfRule>
  </conditionalFormatting>
  <conditionalFormatting sqref="F16">
    <cfRule type="cellIs" dxfId="182" priority="32" stopIfTrue="1" operator="lessThan">
      <formula>$B$2</formula>
    </cfRule>
  </conditionalFormatting>
  <conditionalFormatting sqref="E16">
    <cfRule type="cellIs" dxfId="181" priority="31" stopIfTrue="1" operator="equal">
      <formula>"已过期"</formula>
    </cfRule>
  </conditionalFormatting>
  <conditionalFormatting sqref="E15">
    <cfRule type="cellIs" dxfId="180" priority="30" stopIfTrue="1" operator="equal">
      <formula>"已过期"</formula>
    </cfRule>
  </conditionalFormatting>
  <conditionalFormatting sqref="D15">
    <cfRule type="cellIs" dxfId="179" priority="29" stopIfTrue="1" operator="equal">
      <formula>"已过期"</formula>
    </cfRule>
  </conditionalFormatting>
  <conditionalFormatting sqref="F17">
    <cfRule type="cellIs" dxfId="178" priority="28" stopIfTrue="1" operator="lessThan">
      <formula>$B$2</formula>
    </cfRule>
  </conditionalFormatting>
  <conditionalFormatting sqref="E17">
    <cfRule type="cellIs" dxfId="177" priority="27" stopIfTrue="1" operator="equal">
      <formula>"已过期"</formula>
    </cfRule>
  </conditionalFormatting>
  <conditionalFormatting sqref="E14">
    <cfRule type="cellIs" dxfId="176" priority="26" stopIfTrue="1" operator="equal">
      <formula>"已过期"</formula>
    </cfRule>
  </conditionalFormatting>
  <conditionalFormatting sqref="F14">
    <cfRule type="cellIs" dxfId="175" priority="25" stopIfTrue="1" operator="lessThan">
      <formula>$B$2</formula>
    </cfRule>
  </conditionalFormatting>
  <conditionalFormatting sqref="C10:C11">
    <cfRule type="expression" dxfId="174" priority="21">
      <formula>AND($C10-TODAY()&lt;30,TODAY()&lt;$C10)</formula>
    </cfRule>
  </conditionalFormatting>
  <conditionalFormatting sqref="C10:C11">
    <cfRule type="cellIs" dxfId="173" priority="22" stopIfTrue="1" operator="lessThan">
      <formula>$B$2</formula>
    </cfRule>
  </conditionalFormatting>
  <conditionalFormatting sqref="F29">
    <cfRule type="cellIs" dxfId="172" priority="17" stopIfTrue="1" operator="lessThan">
      <formula>$B$2</formula>
    </cfRule>
  </conditionalFormatting>
  <conditionalFormatting sqref="F29">
    <cfRule type="expression" dxfId="171" priority="18">
      <formula>AND($E29-TODAY()&lt;30,TODAY()&lt;$E29)</formula>
    </cfRule>
  </conditionalFormatting>
  <conditionalFormatting sqref="C4">
    <cfRule type="expression" dxfId="170" priority="5">
      <formula>AND($C4-TODAY()&lt;30,TODAY()&lt;$C4)</formula>
    </cfRule>
  </conditionalFormatting>
  <conditionalFormatting sqref="C4">
    <cfRule type="cellIs" dxfId="169" priority="6" stopIfTrue="1" operator="lessThan">
      <formula>$B$2</formula>
    </cfRule>
  </conditionalFormatting>
  <conditionalFormatting sqref="C8:C9">
    <cfRule type="expression" dxfId="168" priority="3">
      <formula>AND($C8-TODAY()&lt;30,TODAY()&lt;$C8)</formula>
    </cfRule>
  </conditionalFormatting>
  <conditionalFormatting sqref="C8:C9">
    <cfRule type="cellIs" dxfId="167" priority="4" stopIfTrue="1" operator="lessThan">
      <formula>$B$2</formula>
    </cfRule>
  </conditionalFormatting>
  <conditionalFormatting sqref="C23">
    <cfRule type="expression" dxfId="166" priority="1">
      <formula>AND($C23-TODAY()&lt;30,TODAY()&lt;$C23)</formula>
    </cfRule>
  </conditionalFormatting>
  <conditionalFormatting sqref="C23">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ColWidth="9" defaultRowHeight="14.25"/>
  <cols>
    <col min="1" max="1" width="10.375" style="1172" customWidth="1"/>
    <col min="2" max="2" width="18.875" style="115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0" customWidth="1"/>
    <col min="25" max="25" width="7.125" style="1150" customWidth="1"/>
    <col min="26" max="16384" width="9" style="1150"/>
  </cols>
  <sheetData>
    <row r="1" spans="1:23" s="1171" customFormat="1" ht="27">
      <c r="A1" s="958" t="s">
        <v>834</v>
      </c>
      <c r="B1" s="5" t="s">
        <v>131</v>
      </c>
      <c r="C1" s="1527" t="s">
        <v>1686</v>
      </c>
      <c r="D1" s="6" t="s">
        <v>132</v>
      </c>
      <c r="E1" s="6" t="s">
        <v>133</v>
      </c>
      <c r="F1" s="6" t="s">
        <v>134</v>
      </c>
      <c r="G1" s="6" t="s">
        <v>135</v>
      </c>
      <c r="H1" s="6" t="s">
        <v>136</v>
      </c>
      <c r="I1" s="6" t="s">
        <v>137</v>
      </c>
      <c r="J1" s="6" t="s">
        <v>138</v>
      </c>
      <c r="K1" s="6" t="s">
        <v>139</v>
      </c>
      <c r="L1" s="6" t="s">
        <v>140</v>
      </c>
      <c r="M1" s="6" t="s">
        <v>141</v>
      </c>
      <c r="N1" s="6" t="s">
        <v>142</v>
      </c>
      <c r="O1" s="6" t="s">
        <v>143</v>
      </c>
      <c r="P1" s="6" t="s">
        <v>144</v>
      </c>
      <c r="Q1" s="2522" t="s">
        <v>2520</v>
      </c>
      <c r="R1" s="2521" t="s">
        <v>2514</v>
      </c>
      <c r="S1" s="6" t="s">
        <v>145</v>
      </c>
      <c r="T1" s="7" t="s">
        <v>146</v>
      </c>
      <c r="U1" s="6" t="s">
        <v>147</v>
      </c>
      <c r="V1" s="6" t="s">
        <v>148</v>
      </c>
      <c r="W1" s="995" t="s">
        <v>852</v>
      </c>
    </row>
    <row r="2" spans="1:23">
      <c r="A2" s="8" t="s">
        <v>72</v>
      </c>
      <c r="B2" s="8" t="s">
        <v>149</v>
      </c>
      <c r="C2" s="1528" t="s">
        <v>1687</v>
      </c>
      <c r="D2" s="9" t="s">
        <v>73</v>
      </c>
      <c r="E2" s="9" t="s">
        <v>126</v>
      </c>
      <c r="F2" s="9" t="s">
        <v>127</v>
      </c>
      <c r="G2" s="9">
        <v>40</v>
      </c>
      <c r="H2" s="9" t="s">
        <v>128</v>
      </c>
      <c r="I2" s="9" t="s">
        <v>129</v>
      </c>
      <c r="J2" s="9" t="s">
        <v>130</v>
      </c>
      <c r="K2" s="9" t="s">
        <v>74</v>
      </c>
      <c r="L2" s="9" t="s">
        <v>74</v>
      </c>
      <c r="M2" s="9" t="s">
        <v>74</v>
      </c>
      <c r="N2" s="9" t="s">
        <v>74</v>
      </c>
      <c r="O2" s="9" t="s">
        <v>74</v>
      </c>
      <c r="P2" s="997" t="s">
        <v>858</v>
      </c>
      <c r="Q2" s="9" t="s">
        <v>74</v>
      </c>
      <c r="R2" s="997" t="s">
        <v>2515</v>
      </c>
      <c r="S2" s="9" t="s">
        <v>74</v>
      </c>
      <c r="T2" s="9" t="s">
        <v>75</v>
      </c>
      <c r="U2" s="9" t="s">
        <v>74</v>
      </c>
      <c r="V2" s="9" t="s">
        <v>76</v>
      </c>
      <c r="W2" s="9" t="s">
        <v>853</v>
      </c>
    </row>
    <row r="3" spans="1:23">
      <c r="A3" s="8" t="s">
        <v>77</v>
      </c>
      <c r="B3" s="10" t="s">
        <v>150</v>
      </c>
      <c r="C3" s="1529" t="s">
        <v>1688</v>
      </c>
      <c r="D3" s="9" t="s">
        <v>78</v>
      </c>
      <c r="E3" s="9" t="s">
        <v>6</v>
      </c>
      <c r="F3" s="9" t="s">
        <v>79</v>
      </c>
      <c r="G3" s="9">
        <v>50</v>
      </c>
      <c r="H3" s="9" t="s">
        <v>80</v>
      </c>
      <c r="I3" s="9" t="s">
        <v>81</v>
      </c>
      <c r="J3" s="9" t="s">
        <v>82</v>
      </c>
      <c r="K3" s="9" t="s">
        <v>83</v>
      </c>
      <c r="L3" s="9" t="s">
        <v>83</v>
      </c>
      <c r="M3" s="9" t="s">
        <v>83</v>
      </c>
      <c r="N3" s="9" t="s">
        <v>83</v>
      </c>
      <c r="O3" s="9" t="s">
        <v>83</v>
      </c>
      <c r="P3" s="997" t="s">
        <v>599</v>
      </c>
      <c r="Q3" s="9" t="s">
        <v>83</v>
      </c>
      <c r="R3" s="997" t="s">
        <v>2516</v>
      </c>
      <c r="S3" s="9" t="s">
        <v>83</v>
      </c>
      <c r="T3" s="9" t="s">
        <v>84</v>
      </c>
      <c r="U3" s="9" t="s">
        <v>83</v>
      </c>
      <c r="V3" s="9" t="s">
        <v>85</v>
      </c>
      <c r="W3" s="9" t="s">
        <v>854</v>
      </c>
    </row>
    <row r="4" spans="1:23">
      <c r="A4" s="8" t="s">
        <v>86</v>
      </c>
      <c r="B4" s="8" t="s">
        <v>151</v>
      </c>
      <c r="C4" s="1528" t="s">
        <v>1689</v>
      </c>
      <c r="D4" s="9" t="s">
        <v>1970</v>
      </c>
      <c r="E4" s="9" t="s">
        <v>87</v>
      </c>
      <c r="F4" s="9" t="s">
        <v>88</v>
      </c>
      <c r="G4" s="9">
        <v>70</v>
      </c>
      <c r="H4" s="9" t="s">
        <v>89</v>
      </c>
      <c r="I4" s="9" t="s">
        <v>90</v>
      </c>
      <c r="K4" s="9" t="s">
        <v>91</v>
      </c>
      <c r="L4" s="9" t="s">
        <v>91</v>
      </c>
      <c r="M4" s="9" t="s">
        <v>91</v>
      </c>
      <c r="N4" s="9" t="s">
        <v>91</v>
      </c>
      <c r="O4" s="9" t="s">
        <v>91</v>
      </c>
      <c r="P4" s="997" t="s">
        <v>756</v>
      </c>
      <c r="Q4" s="9" t="s">
        <v>91</v>
      </c>
      <c r="R4" s="997" t="s">
        <v>2517</v>
      </c>
      <c r="S4" s="9" t="s">
        <v>91</v>
      </c>
      <c r="T4" s="9" t="s">
        <v>92</v>
      </c>
      <c r="U4" s="9" t="s">
        <v>91</v>
      </c>
      <c r="W4" s="9" t="s">
        <v>855</v>
      </c>
    </row>
    <row r="5" spans="1:23">
      <c r="A5" s="8" t="s">
        <v>93</v>
      </c>
      <c r="B5" s="8" t="s">
        <v>152</v>
      </c>
      <c r="C5" s="1528" t="s">
        <v>1690</v>
      </c>
      <c r="F5" s="9" t="s">
        <v>94</v>
      </c>
      <c r="H5" s="9" t="s">
        <v>69</v>
      </c>
      <c r="I5" s="9" t="s">
        <v>95</v>
      </c>
      <c r="K5" s="9" t="s">
        <v>96</v>
      </c>
      <c r="L5" s="9" t="s">
        <v>96</v>
      </c>
      <c r="M5" s="9" t="s">
        <v>96</v>
      </c>
      <c r="N5" s="9" t="s">
        <v>96</v>
      </c>
      <c r="O5" s="9" t="s">
        <v>96</v>
      </c>
      <c r="P5" s="997" t="s">
        <v>545</v>
      </c>
      <c r="Q5" s="9" t="s">
        <v>96</v>
      </c>
      <c r="R5" s="997" t="s">
        <v>2518</v>
      </c>
      <c r="S5" s="9" t="s">
        <v>96</v>
      </c>
      <c r="T5" s="9" t="s">
        <v>97</v>
      </c>
      <c r="U5" s="9" t="s">
        <v>96</v>
      </c>
      <c r="W5" s="9" t="s">
        <v>856</v>
      </c>
    </row>
    <row r="6" spans="1:23">
      <c r="A6" s="8" t="s">
        <v>98</v>
      </c>
      <c r="B6" s="1136" t="s">
        <v>1618</v>
      </c>
      <c r="C6" s="1530" t="s">
        <v>1691</v>
      </c>
      <c r="F6" s="9" t="s">
        <v>70</v>
      </c>
      <c r="H6" s="9" t="s">
        <v>71</v>
      </c>
      <c r="I6" s="9" t="s">
        <v>99</v>
      </c>
      <c r="K6" s="9" t="s">
        <v>100</v>
      </c>
      <c r="L6" s="9" t="s">
        <v>100</v>
      </c>
      <c r="M6" s="9" t="s">
        <v>100</v>
      </c>
      <c r="N6" s="9" t="s">
        <v>100</v>
      </c>
      <c r="O6" s="9" t="s">
        <v>100</v>
      </c>
      <c r="P6" s="997" t="s">
        <v>859</v>
      </c>
      <c r="Q6" s="9" t="s">
        <v>100</v>
      </c>
      <c r="R6" s="997" t="s">
        <v>2519</v>
      </c>
      <c r="S6" s="9" t="s">
        <v>100</v>
      </c>
      <c r="T6" s="9"/>
      <c r="U6" s="9" t="s">
        <v>100</v>
      </c>
      <c r="W6" s="9" t="s">
        <v>857</v>
      </c>
    </row>
    <row r="7" spans="1:23">
      <c r="A7" s="8" t="s">
        <v>101</v>
      </c>
      <c r="B7" s="8" t="s">
        <v>102</v>
      </c>
      <c r="C7" s="1528" t="s">
        <v>1692</v>
      </c>
      <c r="F7" s="9" t="s">
        <v>153</v>
      </c>
      <c r="H7" s="9" t="s">
        <v>103</v>
      </c>
      <c r="I7" s="9" t="s">
        <v>104</v>
      </c>
    </row>
    <row r="8" spans="1:23">
      <c r="A8" s="8" t="s">
        <v>105</v>
      </c>
      <c r="B8" s="8" t="s">
        <v>106</v>
      </c>
      <c r="C8" s="1528" t="s">
        <v>1693</v>
      </c>
      <c r="F8" s="9" t="s">
        <v>154</v>
      </c>
      <c r="H8" s="9"/>
      <c r="I8" s="9" t="s">
        <v>107</v>
      </c>
    </row>
    <row r="9" spans="1:23">
      <c r="A9" s="8" t="s">
        <v>108</v>
      </c>
      <c r="B9" s="8" t="s">
        <v>155</v>
      </c>
      <c r="C9" s="1528" t="s">
        <v>1694</v>
      </c>
      <c r="F9" s="9" t="s">
        <v>109</v>
      </c>
      <c r="H9" s="9"/>
    </row>
    <row r="10" spans="1:23">
      <c r="A10" s="8" t="s">
        <v>110</v>
      </c>
      <c r="B10" s="8" t="s">
        <v>156</v>
      </c>
      <c r="C10" s="1528" t="s">
        <v>1695</v>
      </c>
      <c r="F10" s="9" t="s">
        <v>6</v>
      </c>
    </row>
    <row r="11" spans="1:23">
      <c r="A11" s="8" t="s">
        <v>111</v>
      </c>
      <c r="B11" s="8" t="s">
        <v>157</v>
      </c>
      <c r="C11" s="1528" t="s">
        <v>1696</v>
      </c>
    </row>
    <row r="12" spans="1:23">
      <c r="A12" s="8" t="s">
        <v>112</v>
      </c>
      <c r="B12" s="8" t="s">
        <v>158</v>
      </c>
      <c r="C12" s="1528" t="s">
        <v>1697</v>
      </c>
    </row>
    <row r="13" spans="1:23">
      <c r="A13" s="8" t="s">
        <v>113</v>
      </c>
      <c r="B13" s="8" t="s">
        <v>159</v>
      </c>
      <c r="C13" s="1528" t="s">
        <v>1698</v>
      </c>
    </row>
    <row r="14" spans="1:23">
      <c r="A14" s="8" t="s">
        <v>114</v>
      </c>
      <c r="B14" s="8" t="s">
        <v>160</v>
      </c>
      <c r="C14" s="1531" t="s">
        <v>1874</v>
      </c>
    </row>
    <row r="15" spans="1:23">
      <c r="A15" s="8" t="s">
        <v>115</v>
      </c>
      <c r="B15" s="8" t="s">
        <v>1659</v>
      </c>
      <c r="C15" s="1531"/>
    </row>
    <row r="16" spans="1:23">
      <c r="A16" s="8" t="s">
        <v>116</v>
      </c>
      <c r="B16" s="8" t="s">
        <v>1660</v>
      </c>
      <c r="C16" s="1531"/>
    </row>
    <row r="17" spans="1:3">
      <c r="A17" s="8" t="s">
        <v>117</v>
      </c>
      <c r="B17" s="8" t="s">
        <v>1661</v>
      </c>
      <c r="C17" s="1531"/>
    </row>
    <row r="18" spans="1:3">
      <c r="A18" s="8" t="s">
        <v>118</v>
      </c>
      <c r="B18" s="3039" t="s">
        <v>2930</v>
      </c>
      <c r="C18" s="1531"/>
    </row>
    <row r="19" spans="1:3">
      <c r="A19" s="8" t="s">
        <v>119</v>
      </c>
      <c r="B19" s="3039" t="s">
        <v>2938</v>
      </c>
      <c r="C19" s="1531"/>
    </row>
    <row r="20" spans="1:3">
      <c r="A20" s="8" t="s">
        <v>120</v>
      </c>
      <c r="B20" s="8" t="s">
        <v>1619</v>
      </c>
      <c r="C20" s="1531"/>
    </row>
    <row r="21" spans="1:3">
      <c r="A21" s="8" t="s">
        <v>121</v>
      </c>
      <c r="B21" s="8" t="s">
        <v>1619</v>
      </c>
      <c r="C21" s="1531"/>
    </row>
    <row r="22" spans="1:3">
      <c r="A22" s="8" t="s">
        <v>122</v>
      </c>
      <c r="B22" s="8" t="s">
        <v>1619</v>
      </c>
      <c r="C22" s="1531"/>
    </row>
    <row r="23" spans="1:3">
      <c r="A23" s="8" t="s">
        <v>123</v>
      </c>
      <c r="B23" s="8" t="s">
        <v>1619</v>
      </c>
      <c r="C23" s="1531"/>
    </row>
    <row r="24" spans="1:3">
      <c r="A24" s="8" t="s">
        <v>12</v>
      </c>
      <c r="B24" s="8" t="s">
        <v>1619</v>
      </c>
      <c r="C24" s="1531"/>
    </row>
    <row r="25" spans="1:3">
      <c r="A25" s="8" t="s">
        <v>124</v>
      </c>
      <c r="B25" s="8" t="s">
        <v>1619</v>
      </c>
      <c r="C25" s="1531"/>
    </row>
    <row r="26" spans="1:3">
      <c r="A26" s="8" t="s">
        <v>125</v>
      </c>
      <c r="B26" s="8" t="s">
        <v>1619</v>
      </c>
      <c r="C26" s="1531"/>
    </row>
    <row r="27" spans="1:3">
      <c r="A27" s="8" t="s">
        <v>1619</v>
      </c>
      <c r="B27" s="8" t="s">
        <v>1619</v>
      </c>
      <c r="C27" s="1531"/>
    </row>
    <row r="28" spans="1:3">
      <c r="A28" s="8" t="s">
        <v>1619</v>
      </c>
      <c r="B28" s="8" t="s">
        <v>1619</v>
      </c>
      <c r="C28" s="1531"/>
    </row>
    <row r="29" spans="1:3">
      <c r="A29" s="8" t="s">
        <v>1619</v>
      </c>
      <c r="B29" s="8" t="s">
        <v>1619</v>
      </c>
      <c r="C29" s="1531"/>
    </row>
    <row r="30" spans="1:3">
      <c r="A30" s="8" t="s">
        <v>1619</v>
      </c>
      <c r="B30" s="8" t="s">
        <v>1619</v>
      </c>
      <c r="C30" s="1531"/>
    </row>
    <row r="31" spans="1:3">
      <c r="A31" s="8" t="s">
        <v>1619</v>
      </c>
      <c r="B31" s="8" t="s">
        <v>1619</v>
      </c>
      <c r="C31" s="1531"/>
    </row>
    <row r="32" spans="1:3">
      <c r="A32" s="8" t="s">
        <v>1619</v>
      </c>
      <c r="B32" s="8" t="s">
        <v>1619</v>
      </c>
      <c r="C32" s="1531"/>
    </row>
    <row r="33" spans="1:3">
      <c r="A33" s="8" t="s">
        <v>1619</v>
      </c>
      <c r="B33" s="8" t="s">
        <v>1619</v>
      </c>
      <c r="C33" s="1531"/>
    </row>
    <row r="34" spans="1:3">
      <c r="A34" s="8" t="s">
        <v>1619</v>
      </c>
      <c r="B34" s="8" t="s">
        <v>1619</v>
      </c>
      <c r="C34" s="1531"/>
    </row>
    <row r="35" spans="1:3">
      <c r="A35" s="8" t="s">
        <v>1619</v>
      </c>
      <c r="B35" s="8" t="s">
        <v>1619</v>
      </c>
      <c r="C35" s="1531"/>
    </row>
    <row r="36" spans="1:3">
      <c r="A36" s="8" t="s">
        <v>1619</v>
      </c>
      <c r="B36" s="8" t="s">
        <v>1619</v>
      </c>
      <c r="C36" s="1531"/>
    </row>
    <row r="37" spans="1:3">
      <c r="A37" s="8" t="s">
        <v>1619</v>
      </c>
      <c r="B37" s="8" t="s">
        <v>1619</v>
      </c>
      <c r="C37" s="1531"/>
    </row>
    <row r="38" spans="1:3">
      <c r="A38" s="8" t="s">
        <v>1619</v>
      </c>
      <c r="B38" s="8" t="s">
        <v>1619</v>
      </c>
      <c r="C38" s="1531"/>
    </row>
    <row r="39" spans="1:3">
      <c r="A39" s="8" t="s">
        <v>1619</v>
      </c>
      <c r="B39" s="8" t="s">
        <v>1619</v>
      </c>
      <c r="C39" s="1531"/>
    </row>
    <row r="40" spans="1:3">
      <c r="A40" s="8" t="s">
        <v>1619</v>
      </c>
      <c r="B40" s="8" t="s">
        <v>1619</v>
      </c>
      <c r="C40" s="1531"/>
    </row>
    <row r="41" spans="1:3">
      <c r="A41" s="8" t="s">
        <v>1619</v>
      </c>
      <c r="B41" s="8" t="s">
        <v>1619</v>
      </c>
      <c r="C41" s="1531"/>
    </row>
    <row r="42" spans="1:3">
      <c r="A42" s="8" t="s">
        <v>1619</v>
      </c>
      <c r="B42" s="8" t="s">
        <v>1619</v>
      </c>
      <c r="C42" s="1531"/>
    </row>
    <row r="43" spans="1:3">
      <c r="A43" s="8" t="s">
        <v>1619</v>
      </c>
      <c r="B43" s="8" t="s">
        <v>1619</v>
      </c>
      <c r="C43" s="1531"/>
    </row>
    <row r="44" spans="1:3">
      <c r="A44" s="8" t="s">
        <v>1619</v>
      </c>
      <c r="B44" s="8" t="s">
        <v>1619</v>
      </c>
      <c r="C44" s="1531"/>
    </row>
    <row r="45" spans="1:3">
      <c r="A45" s="8" t="s">
        <v>1619</v>
      </c>
      <c r="B45" s="8" t="s">
        <v>1619</v>
      </c>
      <c r="C45" s="1531"/>
    </row>
    <row r="46" spans="1:3">
      <c r="A46" s="8" t="s">
        <v>1619</v>
      </c>
      <c r="B46" s="8" t="s">
        <v>1619</v>
      </c>
      <c r="C46" s="1531"/>
    </row>
    <row r="47" spans="1:3">
      <c r="A47" s="8" t="s">
        <v>1619</v>
      </c>
      <c r="B47" s="8" t="s">
        <v>1619</v>
      </c>
      <c r="C47" s="1531"/>
    </row>
    <row r="48" spans="1:3">
      <c r="A48" s="8" t="s">
        <v>1619</v>
      </c>
      <c r="B48" s="8" t="s">
        <v>1619</v>
      </c>
      <c r="C48" s="1531"/>
    </row>
    <row r="49" spans="1:5">
      <c r="A49" s="8" t="s">
        <v>1619</v>
      </c>
      <c r="B49" s="8" t="s">
        <v>1619</v>
      </c>
      <c r="C49" s="1531"/>
    </row>
    <row r="50" spans="1:5">
      <c r="A50" s="8" t="s">
        <v>1619</v>
      </c>
      <c r="B50" s="8" t="s">
        <v>1619</v>
      </c>
      <c r="C50" s="1531"/>
    </row>
    <row r="51" spans="1:5">
      <c r="A51" s="1741" t="s">
        <v>1918</v>
      </c>
      <c r="B51" s="174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雄安新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3"/>
    </row>
    <row r="52" spans="1:5">
      <c r="A52" s="1741" t="s">
        <v>1962</v>
      </c>
      <c r="B52" s="1744" t="s">
        <v>1963</v>
      </c>
      <c r="C52" s="1742" t="s">
        <v>1964</v>
      </c>
      <c r="D52" s="1742" t="s">
        <v>1965</v>
      </c>
      <c r="E52" s="1743"/>
    </row>
    <row r="53" spans="1:5">
      <c r="A53" s="3625" t="s">
        <v>1966</v>
      </c>
      <c r="B53" s="1742" t="s">
        <v>1972</v>
      </c>
      <c r="C53" s="174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4月12日，在规划利用条件下、设定土地开发程度为红线外“七通”、宗地内场地，设定用途为，剩余土地使用年限为的出让国有建设用地使用权价格。</v>
      </c>
      <c r="D53" s="1743"/>
      <c r="E53" s="1743"/>
    </row>
    <row r="54" spans="1:5">
      <c r="A54" s="3625"/>
      <c r="B54" s="1742" t="s">
        <v>1973</v>
      </c>
      <c r="C54" s="174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3"/>
      <c r="E54" s="1743"/>
    </row>
    <row r="55" spans="1:5">
      <c r="A55" s="3625"/>
      <c r="B55" s="1742" t="s">
        <v>1967</v>
      </c>
      <c r="C55" s="174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3"/>
      <c r="E55" s="1743"/>
    </row>
    <row r="56" spans="1:5">
      <c r="A56" s="3625"/>
      <c r="B56" s="1742" t="s">
        <v>1968</v>
      </c>
      <c r="C56" s="174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3"/>
      <c r="E56" s="1743"/>
    </row>
    <row r="57" spans="1:5">
      <c r="A57" s="3625"/>
      <c r="B57" s="1742" t="s">
        <v>1969</v>
      </c>
      <c r="C57" s="174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3"/>
      <c r="E57" s="1743"/>
    </row>
    <row r="58" spans="1:5">
      <c r="A58" s="1745" t="s">
        <v>2025</v>
      </c>
      <c r="B58" s="1742" t="s">
        <v>2026</v>
      </c>
      <c r="C58" s="11" t="s">
        <v>2027</v>
      </c>
      <c r="D58" s="1305" t="s">
        <v>2028</v>
      </c>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104</vt:i4>
      </vt:variant>
    </vt:vector>
  </HeadingPairs>
  <TitlesOfParts>
    <vt:vector size="15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1单元-康正</vt:lpstr>
      <vt:lpstr>数据-汇总表</vt:lpstr>
      <vt:lpstr>数据-取费表</vt:lpstr>
      <vt:lpstr>估价对象房地状况</vt:lpstr>
      <vt:lpstr>RX01补充资料</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不动产收益法-商业</vt:lpstr>
      <vt:lpstr>酒店收入计算</vt:lpstr>
      <vt:lpstr>不动产收益法-办公</vt:lpstr>
      <vt:lpstr>不动产比较法-商业</vt:lpstr>
      <vt:lpstr>不动产比较法-办公</vt:lpstr>
      <vt:lpstr>成本逼近法</vt:lpstr>
      <vt:lpstr>取得费</vt:lpstr>
      <vt:lpstr>开发费</vt:lpstr>
      <vt:lpstr>不动产比较法-住宅</vt:lpstr>
      <vt:lpstr>不动产比较法-工业</vt:lpstr>
      <vt:lpstr>不动产比较法-车位</vt:lpstr>
      <vt:lpstr>不动产比较法-仓储</vt:lpstr>
      <vt:lpstr>典型户型修正</vt:lpstr>
      <vt:lpstr>存贷款利率</vt:lpstr>
      <vt:lpstr>昝岗成本参考</vt:lpstr>
      <vt:lpstr>八级</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商业繁华度</vt:lpstr>
      <vt:lpstr>商业街名称</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cp:lastModifiedBy>
  <cp:lastPrinted>2017-03-09T08:11:21Z</cp:lastPrinted>
  <dcterms:created xsi:type="dcterms:W3CDTF">2015-07-13T07:17:23Z</dcterms:created>
  <dcterms:modified xsi:type="dcterms:W3CDTF">2020-04-24T02:27:25Z</dcterms:modified>
</cp:coreProperties>
</file>