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N6" i="1" l="1"/>
  <c r="B30" i="9"/>
  <c r="B27" i="9" l="1"/>
  <c r="G84" i="43"/>
  <c r="G85" i="43"/>
  <c r="G86" i="43"/>
  <c r="G87" i="43"/>
  <c r="G88" i="43"/>
  <c r="G89" i="43"/>
  <c r="G90" i="43"/>
  <c r="G83" i="43"/>
  <c r="D33" i="43"/>
  <c r="Y6" i="1"/>
  <c r="B59" i="1"/>
  <c r="B21" i="1"/>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C28" i="67" l="1"/>
  <c r="C21" i="68"/>
  <c r="C40" i="69"/>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E26" i="43" l="1"/>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E34" i="43" l="1"/>
  <c r="C27" i="9"/>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5" i="68"/>
  <c r="C23" i="68" s="1"/>
  <c r="C30" i="9"/>
  <c r="C25" i="9" s="1"/>
  <c r="D27" i="9"/>
  <c r="D30" i="9" s="1"/>
  <c r="C24" i="9"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2" i="12" s="1"/>
  <c r="B2" i="12" s="1"/>
  <c r="B3"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C20" i="9"/>
  <c r="L51" i="67"/>
  <c r="D35"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6"/>
  <c r="D2" i="34"/>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6" i="1"/>
  <c r="D19" i="9"/>
  <c r="AO12" i="1"/>
  <c r="AO11" i="1"/>
  <c r="AO7" i="1"/>
  <c r="AO8"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H4" i="52" l="1"/>
  <c r="D14" i="74"/>
  <c r="D119" i="9"/>
  <c r="D5" i="52" s="1"/>
  <c r="B49" i="72" s="1"/>
  <c r="G118" i="9"/>
  <c r="G4" i="52" s="1"/>
  <c r="B52" i="72" s="1"/>
  <c r="H101" i="9"/>
  <c r="I118" i="9"/>
  <c r="F119" i="9"/>
  <c r="F5" i="52" s="1"/>
  <c r="B53" i="72" s="1"/>
  <c r="H119" i="9"/>
  <c r="H5" i="52" s="1"/>
  <c r="C104" i="9"/>
  <c r="F14" i="74" l="1"/>
  <c r="E14" i="74"/>
  <c r="B5" i="74"/>
  <c r="D5" i="74" s="1"/>
  <c r="I4" i="52"/>
  <c r="C105" i="9"/>
  <c r="H102" i="9"/>
  <c r="E118" i="9"/>
  <c r="E4" i="52" s="1"/>
  <c r="B48" i="72" s="1"/>
  <c r="D45" i="9"/>
  <c r="M48" i="9"/>
  <c r="D5" i="53"/>
  <c r="H107" i="9"/>
  <c r="B20" i="72" l="1"/>
  <c r="D6" i="53"/>
  <c r="B22" i="72" s="1"/>
  <c r="D53" i="9"/>
  <c r="C93" i="9"/>
  <c r="C86" i="9" s="1"/>
  <c r="C64" i="9"/>
  <c r="C63" i="9" s="1"/>
  <c r="C67" i="9" s="1"/>
  <c r="C85" i="9"/>
  <c r="C78" i="9"/>
  <c r="C73" i="9" s="1"/>
  <c r="D55" i="9"/>
  <c r="M53" i="9" s="1"/>
  <c r="D52" i="9"/>
  <c r="C72" i="9"/>
  <c r="C5" i="74"/>
  <c r="D7" i="53"/>
  <c r="B21" i="72" s="1"/>
  <c r="H108" i="9"/>
  <c r="D13" i="53"/>
  <c r="M49" i="9"/>
  <c r="D122" i="9"/>
  <c r="G14" i="74" s="1"/>
  <c r="B6" i="74" s="1"/>
  <c r="D6" i="74" s="1"/>
  <c r="C95" i="9" l="1"/>
  <c r="L64" i="9"/>
  <c r="M64" i="9" s="1"/>
  <c r="L68" i="9"/>
  <c r="M68" i="9" s="1"/>
  <c r="L65" i="9"/>
  <c r="M65" i="9" s="1"/>
  <c r="L66" i="9"/>
  <c r="M66" i="9" s="1"/>
  <c r="L67" i="9"/>
  <c r="M67" i="9" s="1"/>
  <c r="L63" i="9"/>
  <c r="M63" i="9" s="1"/>
  <c r="D59" i="9"/>
  <c r="M55" i="9" s="1"/>
  <c r="C68" i="9"/>
  <c r="D54" i="9" s="1"/>
  <c r="D123" i="9"/>
  <c r="D9" i="52" s="1"/>
  <c r="D8" i="52"/>
  <c r="B30" i="72"/>
  <c r="D14" i="53"/>
  <c r="B32" i="72" s="1"/>
  <c r="C79" i="9"/>
  <c r="C96" i="9"/>
  <c r="E96" i="9" s="1"/>
  <c r="E97" i="9" s="1"/>
  <c r="C6" i="74"/>
  <c r="D15" i="53"/>
  <c r="B31" i="72" s="1"/>
  <c r="C97" i="9" l="1"/>
  <c r="D58" i="9" s="1"/>
  <c r="D56" i="9" s="1"/>
  <c r="M54" i="9" s="1"/>
  <c r="N57" i="9" s="1"/>
  <c r="P57" i="9" s="1"/>
  <c r="M69" i="9"/>
  <c r="N69" i="9" s="1"/>
  <c r="C80" i="9"/>
  <c r="E80" i="9" s="1"/>
  <c r="E81" i="9" s="1"/>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<sst xmlns="http://schemas.openxmlformats.org/spreadsheetml/2006/main" count="7804" uniqueCount="3403">
  <si>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</si>
  <si>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</si>
  <si>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</si>
  <si>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</si>
  <si>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</si>
  <si>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</si>
  <si>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</si>
  <si>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</si>
  <si>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</si>
  <si>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</si>
  <si>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</si>
  <si>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</si>
  <si>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</si>
  <si>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</si>
  <si>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</si>
  <si>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</si>
  <si>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</si>
  <si>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</si>
  <si>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</si>
  <si>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</si>
  <si>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</si>
  <si>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</si>
  <si>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</si>
  <si>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</si>
  <si>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</si>
  <si>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</si>
  <si>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</si>
  <si>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</si>
  <si>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</si>
  <si>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</si>
  <si>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</si>
  <si>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</si>
  <si>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</si>
  <si>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</si>
  <si>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</si>
  <si>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</si>
  <si>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</si>
  <si>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</si>
  <si>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</si>
  <si>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</si>
  <si>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</si>
  <si>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</si>
  <si>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</si>
  <si>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</si>
  <si>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</si>
  <si>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</si>
  <si>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</si>
  <si>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</si>
  <si>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</si>
  <si>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</si>
  <si>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</si>
  <si>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</si>
  <si>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</si>
  <si>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</si>
  <si>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</si>
  <si>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</si>
  <si>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</si>
  <si>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</si>
  <si>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</si>
  <si>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</si>
  <si>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</si>
  <si>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</si>
  <si>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</si>
  <si>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</si>
  <si>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</si>
  <si>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</si>
  <si>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</si>
  <si>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</si>
  <si>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</si>
  <si>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</si>
  <si>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</si>
  <si>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</si>
  <si>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</si>
  <si>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</si>
  <si>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</si>
  <si>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</si>
  <si>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</si>
  <si>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</si>
  <si>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</si>
  <si>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</si>
  <si>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</si>
  <si>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</si>
  <si>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</si>
  <si>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</si>
  <si>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</si>
  <si>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</si>
  <si>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</si>
  <si>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</si>
  <si>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</si>
  <si>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</si>
  <si>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</si>
  <si>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</si>
  <si>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</si>
  <si>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</si>
  <si>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</si>
  <si>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</si>
  <si>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</si>
  <si>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</si>
  <si>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</si>
  <si>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</si>
  <si>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</si>
  <si>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</si>
  <si>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</si>
  <si>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</si>
  <si>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</si>
  <si>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</si>
  <si>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</si>
  <si>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</si>
  <si>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</si>
  <si>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</si>
  <si>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</si>
  <si>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</si>
  <si>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</si>
  <si>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</si>
  <si>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</si>
  <si>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</si>
  <si>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</si>
  <si>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</si>
  <si>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</si>
  <si>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</si>
  <si>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</si>
  <si>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</si>
  <si>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</si>
  <si>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</si>
  <si>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</si>
  <si>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</si>
  <si>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</si>
  <si>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</si>
  <si>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</si>
  <si>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</si>
  <si>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</si>
  <si>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</si>
  <si>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</si>
  <si>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</si>
  <si>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</si>
  <si>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</si>
  <si>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</si>
  <si>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</si>
  <si>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</si>
  <si>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</si>
  <si>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</si>
  <si>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</si>
  <si>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</si>
  <si>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</si>
  <si>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</si>
  <si>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</si>
  <si>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</si>
  <si>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</si>
  <si>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</si>
  <si>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</si>
  <si>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</si>
  <si>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</si>
  <si>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</si>
  <si>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</si>
  <si>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</si>
  <si>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</si>
  <si>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</si>
  <si>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</si>
  <si>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</si>
  <si>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</si>
  <si>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</si>
  <si>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</si>
  <si>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</si>
  <si>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</si>
  <si>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</si>
  <si>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</si>
  <si>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</si>
  <si>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</si>
  <si>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</si>
  <si>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</si>
  <si>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</si>
  <si>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</si>
  <si>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</si>
  <si>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</si>
  <si>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</si>
  <si>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</si>
  <si>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</si>
  <si>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</si>
  <si>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</si>
  <si>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</si>
  <si>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</si>
  <si>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</si>
  <si>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</si>
  <si>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</si>
  <si>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</si>
  <si>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</si>
  <si>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</si>
  <si>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</si>
  <si>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</si>
  <si>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</si>
  <si>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</si>
  <si>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</si>
  <si>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</si>
  <si>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</si>
  <si>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</si>
  <si>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</si>
  <si>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</si>
  <si>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</si>
  <si>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</si>
  <si>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</si>
  <si>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</si>
  <si>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</si>
  <si>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</si>
  <si>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</si>
  <si>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</si>
  <si>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</si>
  <si>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</si>
  <si>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</si>
  <si>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</si>
  <si>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</si>
  <si>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</si>
  <si>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</si>
  <si>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</si>
  <si>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</si>
  <si>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</si>
  <si>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</si>
  <si>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</si>
  <si>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</si>
  <si>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</si>
  <si>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</si>
  <si>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</si>
  <si>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</si>
  <si>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</si>
  <si>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</si>
  <si>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</si>
  <si>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</si>
  <si>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</si>
  <si>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</si>
  <si>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</si>
  <si>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</si>
  <si>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</si>
  <si>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</si>
  <si>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</si>
  <si>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</si>
  <si>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</si>
  <si>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</si>
  <si>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</si>
  <si>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</si>
  <si>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</si>
  <si>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</si>
  <si>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</si>
  <si>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</si>
  <si>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</si>
  <si>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</si>
  <si>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</si>
  <si>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</si>
  <si>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</si>
  <si>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</si>
  <si>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</si>
  <si>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</si>
  <si>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</si>
  <si>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</si>
  <si>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</si>
  <si>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</si>
  <si>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</si>
  <si>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</si>
  <si>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</si>
  <si>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</si>
  <si>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</si>
  <si>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</si>
  <si>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</si>
  <si>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</si>
  <si>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</si>
  <si>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</si>
  <si>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</si>
  <si>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</si>
  <si>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</si>
  <si>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</si>
  <si>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</si>
  <si>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</si>
  <si>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</si>
  <si>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</si>
  <si>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</si>
  <si>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</si>
  <si>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</si>
  <si>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</si>
  <si>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</si>
  <si>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</si>
  <si>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</si>
  <si>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</si>
  <si>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</si>
  <si>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</si>
  <si>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</si>
  <si>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</si>
  <si>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</si>
  <si>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</si>
  <si>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</si>
  <si>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</si>
  <si>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</si>
  <si>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</si>
  <si>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</si>
  <si>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</si>
  <si>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</si>
  <si>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</si>
  <si>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</si>
  <si>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</si>
  <si>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</si>
  <si>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</si>
  <si>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</si>
  <si>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</si>
  <si>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</si>
  <si>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</si>
  <si>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</si>
  <si>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</si>
  <si>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</si>
  <si>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</si>
  <si>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</si>
  <si>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</si>
  <si>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</si>
  <si>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</si>
  <si>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</si>
  <si>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</si>
  <si>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</si>
  <si>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</si>
  <si>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</si>
  <si>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</si>
  <si>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</si>
  <si>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</si>
  <si>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</si>
  <si>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</si>
  <si>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</si>
  <si>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</si>
  <si>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</si>
  <si>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</si>
  <si>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</si>
  <si>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</si>
  <si>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</si>
  <si>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</si>
  <si>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</si>
  <si>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</si>
  <si>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</si>
  <si>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</si>
  <si>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</si>
  <si>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</si>
  <si>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</si>
  <si>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</si>
  <si>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</si>
  <si>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</si>
  <si>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</si>
  <si>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</si>
  <si>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</si>
  <si>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</si>
  <si>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</si>
  <si>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</si>
  <si>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</si>
  <si>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</si>
  <si>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</si>
  <si>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</si>
  <si>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</si>
  <si>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</si>
  <si>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</si>
  <si>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</si>
  <si>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</si>
  <si>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</si>
  <si>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</si>
  <si>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</si>
  <si>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</si>
  <si>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</si>
  <si>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</si>
  <si>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</si>
  <si>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</si>
  <si>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</si>
  <si>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</si>
  <si>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</si>
  <si>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</si>
  <si>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</si>
  <si>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</si>
  <si>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</si>
  <si>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</si>
  <si>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</si>
  <si>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</si>
  <si>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</si>
  <si>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</si>
  <si>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</si>
  <si>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</si>
  <si>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</si>
  <si>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</si>
  <si>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</si>
  <si>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</si>
  <si>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</si>
  <si>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</si>
  <si>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</si>
  <si>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</si>
  <si>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</si>
  <si>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</si>
  <si>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</si>
  <si>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</si>
  <si>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</si>
  <si>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</si>
  <si>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</si>
  <si>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</si>
  <si>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</si>
  <si>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</si>
  <si>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</si>
  <si>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</si>
  <si>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</si>
  <si>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</si>
  <si>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</si>
  <si>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</si>
  <si>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</si>
  <si>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</si>
  <si>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</si>
  <si>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</si>
  <si>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</si>
  <si>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</si>
  <si>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</si>
  <si>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</si>
  <si>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</si>
  <si>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</si>
  <si>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</si>
  <si>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</si>
  <si>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</si>
  <si>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</si>
  <si>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</si>
  <si>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</si>
  <si>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</si>
  <si>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</si>
  <si>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</si>
  <si>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</si>
  <si>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</si>
  <si>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</si>
  <si>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</si>
  <si>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</si>
  <si>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</si>
  <si>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</si>
  <si>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</si>
  <si>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</si>
  <si>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</si>
  <si>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</si>
  <si>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</si>
  <si>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</si>
  <si>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</si>
  <si>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</si>
  <si>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</si>
  <si>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</si>
  <si>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</si>
  <si>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</si>
  <si>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</si>
  <si>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</si>
  <si>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</si>
  <si>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</si>
  <si>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</si>
  <si>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</si>
  <si>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</si>
  <si>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</si>
  <si>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</si>
  <si>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</si>
  <si>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</si>
  <si>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</si>
  <si>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</si>
  <si>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</si>
  <si>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</si>
  <si>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</si>
  <si>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</si>
  <si>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</si>
  <si>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</si>
  <si>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</si>
  <si>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</si>
  <si>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</si>
  <si>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</si>
  <si>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</si>
  <si>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</si>
  <si>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</si>
  <si>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</si>
  <si>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</si>
  <si>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</si>
  <si>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</si>
  <si>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</si>
  <si>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</si>
  <si>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</si>
  <si>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</si>
  <si>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</si>
  <si>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</si>
  <si>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</si>
  <si>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</si>
  <si>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</si>
  <si>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</si>
  <si>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</si>
  <si>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</si>
  <si>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</si>
  <si>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</si>
  <si>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</si>
  <si>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</si>
  <si>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</si>
  <si>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</si>
  <si>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</si>
  <si>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</si>
  <si>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</si>
  <si>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</si>
  <si>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</si>
  <si>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</si>
  <si>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</si>
  <si>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</si>
  <si>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</si>
  <si>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</si>
  <si>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</si>
  <si>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</si>
  <si>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</si>
  <si>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</si>
  <si>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</si>
  <si>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</si>
  <si>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</si>
  <si>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</si>
  <si>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</si>
  <si>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</si>
  <si>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</si>
  <si>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</si>
  <si>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</si>
  <si>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</si>
  <si>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</si>
  <si>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</si>
  <si>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</si>
  <si>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</si>
  <si>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</si>
  <si>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</si>
  <si>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</si>
  <si>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</si>
  <si>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</si>
  <si>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</si>
  <si>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</si>
  <si>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</si>
  <si>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</si>
  <si>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</si>
  <si>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</si>
  <si>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</si>
  <si>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</si>
  <si>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</si>
  <si>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</si>
  <si>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</si>
  <si>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</si>
  <si>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</si>
  <si>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</si>
  <si>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</si>
  <si>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</si>
  <si>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</si>
  <si>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</si>
  <si>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</si>
  <si>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</si>
  <si>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</si>
  <si>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</si>
  <si>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</si>
  <si>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</si>
  <si>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</si>
  <si>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</si>
  <si>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</si>
  <si>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</si>
  <si>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</si>
  <si>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</si>
  <si>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</si>
  <si>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</si>
  <si>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</si>
  <si>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</si>
  <si>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</si>
  <si>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</si>
  <si>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</si>
  <si>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</si>
  <si>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</si>
  <si>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</si>
  <si>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</si>
  <si>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</si>
  <si>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</si>
  <si>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</si>
  <si>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</si>
  <si>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</si>
  <si>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</si>
  <si>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</si>
  <si>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</si>
  <si>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</si>
  <si>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</si>
  <si>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</si>
  <si>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</si>
  <si>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</si>
  <si>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</si>
  <si>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</si>
  <si>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</si>
  <si>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</si>
  <si>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</si>
  <si>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</si>
  <si>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</si>
  <si>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</si>
  <si>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</si>
  <si>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</si>
  <si>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</si>
  <si>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</si>
  <si>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</si>
  <si>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</si>
  <si>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</si>
  <si>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</si>
  <si>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</si>
  <si>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</si>
  <si>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</si>
  <si>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</si>
  <si>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</si>
  <si>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</si>
  <si>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</si>
  <si>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</si>
  <si>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</si>
  <si>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</si>
  <si>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</si>
  <si>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</si>
  <si>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</si>
  <si>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</si>
  <si>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</si>
  <si>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</si>
  <si>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</si>
  <si>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</si>
  <si>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</si>
  <si>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</si>
  <si>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</si>
  <si>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</si>
  <si>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</si>
  <si>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</si>
  <si>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</si>
  <si>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</si>
  <si>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</si>
  <si>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</si>
  <si>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</si>
  <si>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</si>
  <si>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</si>
  <si>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</si>
  <si>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</si>
  <si>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</si>
  <si>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</si>
  <si>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</si>
  <si>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</si>
  <si>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</si>
  <si>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</si>
  <si>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</si>
  <si>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</si>
  <si>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</si>
  <si>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</si>
  <si>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</si>
  <si>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</si>
  <si>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</si>
  <si>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</si>
  <si>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</si>
  <si>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</si>
  <si>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</si>
  <si>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</si>
  <si>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</si>
  <si>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</si>
  <si>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</si>
  <si>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</si>
  <si>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</si>
  <si>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</si>
  <si>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</si>
  <si>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</si>
  <si>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</si>
  <si>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</si>
  <si>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</si>
  <si>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</si>
  <si>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</si>
  <si>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</si>
  <si>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</si>
  <si>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</si>
  <si>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</si>
  <si>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</si>
  <si>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</si>
  <si>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</si>
  <si>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</si>
  <si>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</si>
  <si>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</si>
  <si>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</si>
  <si>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</si>
  <si>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</si>
  <si>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</si>
  <si>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</si>
  <si>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</si>
  <si>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</si>
  <si>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</si>
  <si>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</si>
  <si>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</si>
  <si>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</si>
  <si>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</si>
  <si>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</si>
  <si>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</si>
  <si>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</si>
  <si>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</si>
  <si>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</si>
  <si>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</si>
  <si>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</si>
  <si>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</si>
  <si>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</si>
  <si>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</si>
  <si>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</si>
  <si>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</si>
  <si>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</si>
  <si>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</si>
  <si>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</si>
  <si>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</si>
  <si>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</si>
  <si>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</si>
  <si>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</si>
  <si>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</si>
  <si>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</si>
  <si>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</si>
  <si>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</si>
  <si>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</si>
  <si>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</si>
  <si>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</si>
  <si>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</si>
  <si>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</si>
  <si>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</si>
  <si>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</si>
  <si>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</si>
  <si>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</si>
  <si>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</si>
  <si>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</si>
  <si>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</si>
  <si>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</si>
  <si>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</si>
  <si>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</si>
  <si>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</si>
  <si>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</si>
  <si>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</si>
  <si>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</si>
  <si>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</si>
  <si>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</si>
  <si>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</si>
  <si>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</si>
  <si>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</si>
  <si>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</si>
  <si>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</si>
  <si>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</si>
  <si>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</si>
  <si>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</si>
  <si>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</si>
  <si>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</si>
  <si>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</si>
  <si>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</si>
  <si>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</si>
  <si>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</si>
  <si>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</si>
  <si>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</si>
  <si>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</si>
  <si>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</si>
  <si>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</si>
  <si>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</si>
  <si>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</si>
  <si>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</si>
  <si>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</si>
  <si>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</si>
  <si>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</si>
  <si>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</si>
  <si>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</si>
  <si>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</si>
  <si>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</si>
  <si>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</si>
  <si>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</si>
  <si>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</si>
  <si>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</si>
  <si>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</si>
  <si>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</si>
  <si>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</si>
  <si>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</si>
  <si>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</si>
  <si>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</si>
  <si>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</si>
  <si>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</si>
  <si>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</si>
  <si>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</si>
  <si>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</si>
  <si>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</si>
  <si>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</si>
  <si>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</si>
  <si>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</si>
  <si>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</si>
  <si>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</si>
  <si>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</si>
  <si>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</si>
  <si>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</si>
  <si>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</si>
  <si>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</si>
  <si>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</si>
  <si>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</si>
  <si>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</si>
  <si>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</si>
  <si>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</si>
  <si>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</si>
  <si>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</si>
  <si>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</si>
  <si>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</si>
  <si>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</si>
  <si>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</si>
  <si>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</si>
  <si>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</si>
  <si>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</si>
  <si>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</si>
  <si>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</si>
  <si>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</si>
  <si>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</si>
  <si>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</si>
  <si>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</si>
  <si>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</si>
  <si>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</si>
  <si>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</si>
  <si>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</si>
  <si>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</si>
  <si>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</si>
  <si>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</si>
  <si>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</si>
  <si>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</si>
  <si>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</si>
  <si>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</si>
  <si>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</si>
  <si>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</si>
  <si>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</si>
  <si>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</si>
  <si>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</si>
  <si>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</si>
  <si>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</si>
  <si>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</si>
  <si>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</si>
  <si>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</si>
  <si>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</si>
  <si>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</si>
  <si>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</si>
  <si>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</si>
  <si>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</si>
  <si>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</si>
  <si>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</si>
  <si>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</si>
  <si>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</si>
  <si>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</si>
  <si>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</si>
  <si>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</si>
  <si>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</si>
  <si>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</si>
  <si>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</si>
  <si>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</si>
  <si>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</si>
  <si>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</si>
  <si>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</si>
  <si>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</si>
  <si>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</si>
  <si>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</si>
  <si>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</si>
  <si>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</si>
  <si>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</si>
  <si>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</si>
  <si>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</si>
  <si>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</si>
  <si>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</si>
  <si>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</si>
  <si>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</si>
  <si>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</si>
  <si>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</si>
  <si>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</si>
  <si>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</si>
  <si>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</si>
  <si>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</si>
  <si>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</si>
  <si>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</si>
  <si>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</si>
  <si>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</si>
  <si>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</si>
  <si>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</si>
  <si>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</si>
  <si>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</si>
  <si>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</si>
  <si>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</si>
  <si>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</si>
  <si>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</si>
  <si>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</si>
  <si>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</si>
  <si>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</si>
  <si>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</si>
  <si>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</si>
  <si>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</si>
  <si>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</si>
  <si>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</si>
  <si>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</si>
  <si>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</si>
  <si>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</si>
  <si>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</si>
  <si>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</si>
  <si>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</si>
  <si>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</si>
  <si>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</si>
  <si>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</si>
  <si>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</si>
  <si>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</si>
  <si>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</si>
  <si>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</si>
  <si>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</si>
  <si>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</si>
  <si>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</si>
  <si>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</si>
  <si>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</si>
  <si>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</si>
  <si>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</si>
  <si>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</si>
  <si>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</si>
  <si>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</si>
  <si>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</si>
  <si>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</si>
  <si>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</si>
  <si>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</si>
  <si>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</si>
  <si>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</si>
  <si>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</si>
  <si>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</si>
  <si>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</si>
  <si>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</si>
  <si>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</si>
  <si>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</si>
  <si>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</si>
  <si>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</si>
  <si>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</si>
  <si>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</si>
  <si>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</si>
  <si>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</si>
  <si>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</si>
  <si>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</si>
  <si>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</si>
  <si>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</si>
  <si>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</si>
  <si>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</si>
  <si>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</si>
  <si>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</si>
  <si>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</si>
  <si>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</si>
  <si>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</si>
  <si>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</si>
  <si>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</si>
  <si>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</si>
  <si>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</si>
  <si>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</si>
  <si>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</si>
  <si>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</si>
  <si>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</si>
  <si>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</si>
  <si>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</si>
  <si>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</si>
  <si>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</si>
  <si>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</si>
  <si>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</si>
  <si>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</si>
  <si>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</si>
  <si>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</si>
  <si>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</si>
  <si>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</si>
  <si>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</si>
  <si>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</si>
  <si>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</si>
  <si>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</si>
  <si>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</si>
  <si>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</si>
  <si>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</si>
  <si>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</si>
  <si>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</si>
  <si>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</si>
  <si>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</si>
  <si>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</si>
  <si>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</si>
  <si>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</si>
  <si>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</si>
  <si>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</si>
  <si>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</si>
  <si>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</si>
  <si>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</si>
  <si>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</si>
  <si>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</si>
  <si>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</si>
  <si>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</si>
  <si>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</si>
  <si>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</si>
  <si>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</si>
  <si>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</si>
  <si>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</si>
  <si>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</si>
  <si>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</si>
  <si>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</si>
  <si>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</si>
  <si>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</si>
  <si>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</si>
  <si>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</si>
  <si>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</si>
  <si>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</si>
  <si>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</si>
  <si>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</si>
  <si>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</si>
  <si>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</si>
  <si>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</si>
  <si>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</si>
  <si>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</si>
  <si>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</si>
  <si>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</si>
  <si>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</si>
  <si>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</si>
  <si>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</si>
  <si>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</si>
  <si>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</si>
  <si>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</si>
  <si>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</si>
  <si>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</si>
  <si>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</si>
  <si>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</si>
  <si>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</si>
  <si>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</si>
  <si>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</si>
  <si>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</si>
  <si>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</si>
  <si>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</si>
  <si>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</si>
  <si>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</si>
  <si>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</si>
  <si>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</si>
  <si>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</si>
  <si>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</si>
  <si>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</si>
  <si>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</si>
  <si>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</si>
  <si>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</si>
  <si>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</si>
  <si>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</si>
  <si>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</si>
  <si>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</si>
  <si>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</si>
  <si>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</si>
  <si>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</si>
  <si>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</si>
  <si>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</si>
  <si>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</si>
  <si>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</si>
  <si>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</si>
  <si>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</si>
  <si>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</si>
  <si>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</si>
  <si>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</si>
  <si>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</si>
  <si>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</si>
  <si>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</si>
  <si>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</si>
  <si>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</si>
  <si>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</si>
  <si>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</si>
  <si>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</si>
  <si>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</si>
  <si>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</si>
  <si>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</si>
  <si>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</si>
  <si>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</si>
  <si>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</si>
  <si>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</si>
  <si>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</si>
  <si>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</si>
  <si>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</si>
  <si>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</si>
  <si>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</si>
  <si>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</si>
  <si>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</si>
  <si>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</si>
  <si>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</si>
  <si>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</si>
  <si>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</si>
  <si>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</si>
  <si>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</si>
  <si>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</si>
  <si>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</si>
  <si>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</si>
  <si>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</si>
  <si>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</si>
  <si>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</si>
  <si>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</si>
  <si>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</si>
  <si>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</si>
  <si>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</si>
  <si>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</si>
  <si>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</si>
  <si>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</si>
  <si>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</si>
  <si>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</si>
  <si>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</si>
  <si>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</si>
  <si>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</si>
  <si>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</si>
  <si>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</si>
  <si>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</si>
  <si>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</si>
  <si>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</si>
  <si>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</si>
  <si>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</si>
  <si>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</si>
  <si>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</si>
  <si>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</si>
  <si>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</si>
  <si>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</si>
  <si>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</si>
  <si>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</si>
  <si>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</si>
  <si>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</si>
  <si>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</si>
  <si>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</si>
  <si>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</si>
  <si>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</si>
  <si>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</si>
  <si>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</si>
  <si>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</si>
  <si>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</si>
  <si>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</si>
  <si>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</si>
  <si>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</si>
  <si>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</si>
  <si>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</si>
  <si>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</si>
  <si>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</si>
  <si>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</si>
  <si>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</si>
  <si>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</si>
  <si>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</si>
  <si>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</si>
  <si>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</si>
  <si>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</si>
  <si>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</si>
  <si>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</si>
  <si>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</si>
  <si>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</si>
  <si>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</si>
  <si>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</si>
  <si>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</si>
  <si>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</si>
  <si>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</si>
  <si>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</si>
  <si>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</si>
  <si>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</si>
  <si>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</si>
  <si>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</si>
  <si>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</si>
  <si>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</si>
  <si>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</si>
  <si>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</si>
  <si>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</si>
  <si>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</si>
  <si>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</si>
  <si>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</si>
  <si>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</si>
  <si>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</si>
  <si>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</si>
  <si>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</si>
  <si>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</si>
  <si>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</si>
  <si>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</si>
  <si>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</si>
  <si>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</si>
  <si>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</si>
  <si>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</si>
  <si>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</si>
  <si>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</si>
  <si>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</si>
  <si>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</si>
  <si>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</si>
  <si>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</si>
  <si>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</si>
  <si>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</si>
  <si>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</si>
  <si>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</si>
  <si>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</si>
  <si>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</si>
  <si>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</si>
  <si>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</si>
  <si>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</si>
  <si>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</si>
  <si>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</si>
  <si>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</si>
  <si>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</si>
  <si>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</si>
  <si>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</si>
  <si>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</si>
  <si>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</si>
  <si>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</si>
  <si>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</si>
  <si>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</si>
  <si>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</si>
  <si>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</si>
  <si>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</si>
  <si>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</si>
  <si>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</si>
  <si>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</si>
  <si>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</si>
  <si>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</si>
  <si>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</si>
  <si>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</si>
  <si>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</si>
  <si>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</si>
  <si>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</si>
  <si>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</si>
  <si>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</si>
  <si>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</si>
  <si>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</si>
  <si>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</si>
  <si>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</si>
  <si>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</si>
  <si>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</si>
  <si>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</si>
  <si>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</si>
  <si>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</si>
  <si>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</si>
  <si>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</si>
  <si>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</si>
  <si>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</si>
  <si>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</si>
  <si>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</si>
  <si>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</si>
  <si>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</si>
  <si>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</si>
  <si>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</si>
  <si>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</si>
  <si>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</si>
  <si>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</si>
  <si>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</si>
  <si>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</si>
  <si>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</si>
  <si>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</si>
  <si>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</si>
  <si>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</si>
  <si>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</si>
  <si>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</si>
  <si>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</si>
  <si>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</si>
  <si>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</si>
  <si>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</si>
  <si>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</si>
  <si>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</si>
  <si>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</si>
  <si>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</si>
  <si>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</si>
  <si>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</si>
  <si>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</si>
  <si>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</si>
  <si>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</si>
  <si>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</si>
  <si>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</si>
  <si>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</si>
  <si>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</si>
  <si>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</si>
  <si>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</si>
  <si>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</si>
  <si>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</si>
  <si>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</si>
  <si>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</si>
  <si>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</si>
  <si>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</si>
  <si>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</si>
  <si>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</si>
  <si>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</si>
  <si>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</si>
  <si>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</si>
  <si>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</si>
  <si>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</si>
  <si>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</si>
  <si>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</si>
  <si>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</si>
  <si>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</si>
  <si>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</si>
  <si>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</si>
  <si>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</si>
  <si>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</si>
  <si>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</si>
  <si>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</si>
  <si>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</si>
  <si>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</si>
  <si>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</si>
  <si>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</si>
  <si>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</si>
  <si>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</si>
  <si>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</si>
  <si>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</si>
  <si>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</si>
  <si>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</si>
  <si>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</si>
  <si>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</si>
  <si>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</si>
  <si>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</si>
  <si>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</si>
  <si>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</si>
  <si>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</si>
  <si>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</si>
  <si>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</si>
  <si>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</si>
  <si>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</si>
  <si>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</si>
  <si>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</si>
  <si>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</si>
  <si>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</si>
  <si>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</si>
  <si>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</si>
  <si>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</si>
  <si>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</si>
  <si>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</si>
  <si>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</si>
  <si>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</si>
  <si>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</si>
  <si>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</si>
  <si>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</si>
  <si>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</si>
  <si>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</si>
  <si>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</si>
  <si>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</si>
  <si>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</si>
  <si>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</si>
  <si>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</si>
  <si>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</si>
  <si>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</si>
  <si>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</si>
  <si>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</si>
  <si>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</si>
  <si>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</si>
  <si>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</si>
  <si>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</si>
  <si>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</si>
  <si>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</si>
  <si>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</si>
  <si>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</si>
  <si>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</si>
  <si>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</si>
  <si>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</si>
  <si>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</si>
  <si>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</si>
  <si>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</si>
  <si>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</si>
  <si>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</si>
  <si>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</si>
  <si>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</si>
  <si>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</si>
  <si>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</si>
  <si>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</si>
  <si>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</si>
  <si>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</si>
  <si>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</si>
  <si>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</si>
  <si>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</si>
  <si>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</si>
  <si>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</si>
  <si>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</si>
  <si>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</si>
  <si>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</si>
  <si>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</si>
  <si>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</si>
  <si>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</si>
  <si>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</si>
  <si>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</si>
  <si>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</si>
  <si>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</si>
  <si>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</si>
  <si>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</si>
  <si>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</si>
  <si>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</si>
  <si>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</si>
  <si>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</si>
  <si>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</si>
  <si>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</si>
  <si>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</si>
  <si>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</si>
  <si>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</si>
  <si>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</si>
  <si>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</si>
  <si>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</si>
  <si>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</si>
  <si>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</si>
  <si>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</si>
  <si>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</si>
  <si>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</si>
  <si>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</si>
  <si>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</si>
  <si>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</si>
  <si>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</si>
  <si>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</si>
  <si>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</si>
  <si>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</si>
  <si>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</si>
  <si>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</si>
  <si>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</si>
  <si>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</si>
  <si>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</si>
  <si>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</si>
  <si>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</si>
  <si>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</si>
  <si>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</si>
  <si>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</si>
  <si>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</si>
  <si>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</si>
  <si>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</si>
  <si>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</si>
  <si>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</si>
  <si>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</si>
  <si>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</si>
  <si>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</si>
  <si>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</si>
  <si>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</si>
  <si>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</si>
  <si>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</si>
  <si>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</si>
  <si>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</si>
  <si>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</si>
  <si>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</si>
  <si>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</si>
  <si>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</si>
  <si>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</si>
  <si>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</si>
  <si>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</si>
  <si>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</si>
  <si>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</si>
  <si>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</si>
  <si>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</si>
  <si>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</si>
  <si>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</si>
  <si>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</si>
  <si>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</si>
  <si>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</si>
  <si>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</si>
  <si>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</si>
  <si>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</si>
  <si>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</si>
  <si>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</si>
  <si>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</si>
  <si>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</si>
  <si>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</si>
  <si>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</si>
  <si>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</si>
  <si>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</si>
  <si>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</si>
  <si>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</si>
  <si>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</si>
  <si>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</si>
  <si>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</si>
  <si>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</si>
  <si>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</si>
  <si>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</si>
  <si>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</si>
  <si>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</si>
  <si>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</si>
  <si>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</si>
  <si>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</si>
  <si>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</si>
  <si>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</si>
  <si>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</si>
  <si>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</si>
  <si>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</si>
  <si>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</si>
  <si>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</si>
  <si>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</si>
  <si>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</si>
  <si>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</si>
  <si>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</si>
  <si>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</si>
  <si>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</si>
  <si>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</si>
  <si>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</si>
  <si>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</si>
  <si>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</si>
  <si>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</si>
  <si>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</si>
  <si>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</si>
  <si>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</si>
  <si>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</si>
  <si>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</si>
  <si>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</si>
  <si>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</si>
  <si>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</si>
  <si>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</si>
  <si>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</si>
  <si>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</si>
  <si>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</si>
  <si>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</si>
  <si>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</si>
  <si>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</si>
  <si>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</si>
  <si>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</si>
  <si>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</si>
  <si>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</si>
  <si>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</si>
  <si>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</si>
  <si>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</si>
  <si>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</si>
  <si>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</si>
  <si>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</si>
  <si>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</si>
  <si>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</si>
  <si>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</si>
  <si>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</si>
  <si>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</si>
  <si>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</si>
  <si>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</si>
  <si>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</si>
  <si>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</si>
  <si>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</si>
  <si>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</si>
  <si>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</si>
  <si>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</si>
  <si>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</si>
  <si>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</si>
  <si>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</si>
  <si>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</si>
  <si>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</si>
  <si>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</si>
  <si>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</si>
  <si>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</si>
  <si>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</si>
  <si>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</si>
  <si>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</si>
  <si>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</si>
  <si>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</si>
  <si>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</si>
  <si>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</si>
  <si>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</si>
  <si>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</si>
  <si>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</si>
  <si>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</si>
  <si>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</si>
  <si>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</si>
  <si>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</si>
  <si>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</si>
  <si>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</si>
  <si>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</si>
  <si>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</si>
  <si>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</si>
  <si>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</si>
  <si>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</si>
  <si>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</si>
  <si>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</si>
  <si>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</si>
  <si>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</si>
  <si>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</si>
  <si>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</si>
  <si>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</si>
  <si>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</si>
  <si>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</si>
  <si>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</si>
  <si>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</si>
  <si>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</si>
  <si>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</si>
  <si>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</si>
  <si>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</si>
  <si>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</si>
  <si>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</si>
  <si>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</si>
  <si>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</si>
  <si>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</si>
  <si>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</si>
  <si>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</si>
  <si>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</si>
  <si>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</si>
  <si>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</si>
  <si>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</si>
  <si>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</si>
  <si>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</si>
  <si>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</si>
  <si>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</si>
  <si>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</si>
  <si>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</si>
  <si>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</si>
  <si>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</si>
  <si>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</si>
  <si>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</si>
  <si>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</si>
  <si>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</si>
  <si>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</si>
  <si>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</si>
  <si>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</si>
  <si>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</si>
  <si>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</si>
  <si>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</si>
  <si>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</si>
  <si>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</si>
  <si>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</si>
  <si>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</si>
  <si>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</si>
  <si>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</si>
  <si>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</si>
  <si>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</si>
  <si>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</si>
  <si>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</si>
  <si>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</si>
  <si>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</si>
  <si>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</si>
  <si>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</si>
  <si>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</si>
  <si>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</si>
  <si>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</si>
  <si>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</si>
  <si>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</si>
  <si>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</si>
  <si>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</si>
  <si>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</si>
  <si>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</si>
  <si>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</si>
  <si>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</si>
  <si>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</si>
  <si>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</si>
  <si>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</si>
  <si>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</si>
  <si>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</si>
  <si>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</si>
  <si>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</si>
  <si>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</si>
  <si>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</si>
  <si>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</si>
  <si>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</si>
  <si>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</si>
  <si>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</si>
  <si>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</si>
  <si>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</si>
  <si>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</si>
  <si>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</si>
  <si>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</si>
  <si>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</si>
  <si>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</si>
  <si>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</si>
  <si>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</si>
  <si>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</si>
  <si>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</si>
  <si>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</si>
  <si>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</si>
  <si>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</si>
  <si>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</si>
  <si>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</si>
  <si>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</si>
  <si>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</si>
  <si>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</si>
  <si>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</si>
  <si>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</si>
  <si>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</si>
  <si>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</si>
  <si>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</si>
  <si>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</si>
  <si>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</si>
  <si>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</si>
  <si>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</si>
  <si>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</si>
  <si>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</si>
  <si>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</si>
  <si>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</si>
  <si>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</si>
  <si>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</si>
  <si>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</si>
  <si>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</si>
  <si>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</si>
  <si>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</si>
  <si>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</si>
  <si>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</si>
  <si>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</si>
  <si>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</si>
  <si>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</si>
  <si>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</si>
  <si>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</si>
  <si>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</si>
  <si>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</si>
  <si>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</si>
  <si>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</si>
  <si>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</si>
  <si>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</si>
  <si>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</si>
  <si>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</si>
  <si>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</si>
  <si>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</si>
  <si>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</si>
  <si>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</si>
  <si>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</si>
  <si>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</si>
  <si>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</si>
  <si>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</si>
  <si>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</si>
  <si>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</si>
  <si>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</si>
  <si>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</si>
  <si>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</si>
  <si>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</si>
  <si>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</si>
  <si>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</si>
  <si>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</si>
  <si>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</si>
  <si>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</si>
  <si>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</si>
  <si>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</si>
  <si>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</si>
  <si>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</si>
  <si>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</si>
  <si>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</si>
  <si>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</si>
  <si>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</si>
  <si>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</si>
  <si>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</si>
  <si>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</si>
  <si>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</si>
  <si>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</si>
  <si>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</si>
  <si>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</si>
  <si>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</si>
  <si>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</si>
  <si>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</si>
  <si>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</si>
  <si>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</si>
  <si>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</si>
  <si>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</si>
  <si>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</si>
  <si>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</si>
  <si>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</si>
  <si>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</si>
  <si>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</si>
  <si>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</si>
  <si>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</si>
  <si>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</si>
  <si>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</si>
  <si>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</si>
  <si>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</si>
  <si>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</si>
  <si>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</si>
  <si>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</si>
  <si>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</si>
  <si>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</si>
  <si>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</si>
  <si>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</si>
  <si>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</si>
  <si>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</si>
  <si>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</si>
  <si>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</si>
  <si>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</si>
  <si>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</si>
  <si>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</si>
  <si>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</si>
  <si>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</si>
  <si>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</si>
  <si>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</si>
  <si>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</si>
  <si>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</si>
  <si>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</si>
  <si>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</si>
  <si>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</si>
  <si>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</si>
  <si>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</si>
  <si>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</si>
  <si>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</si>
  <si>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</si>
  <si>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</si>
  <si>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</si>
  <si>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</si>
  <si>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</si>
  <si>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</si>
  <si>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</si>
  <si>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</si>
  <si>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</si>
  <si>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</si>
  <si>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</si>
  <si>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</si>
  <si>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</si>
  <si>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</si>
  <si>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</si>
  <si>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</si>
  <si>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</si>
  <si>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</si>
  <si>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</si>
  <si>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</si>
  <si>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</si>
  <si>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</si>
  <si>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</si>
  <si>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</si>
  <si>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</si>
  <si>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</si>
  <si>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</si>
  <si>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</si>
  <si>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</si>
  <si>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</si>
  <si>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</si>
  <si>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</si>
  <si>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</si>
  <si>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</si>
  <si>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</si>
  <si>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</si>
  <si>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</si>
  <si>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</si>
  <si>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</si>
  <si>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</si>
  <si>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</si>
  <si>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</si>
  <si>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</si>
  <si>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</si>
  <si>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</si>
  <si>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</si>
  <si>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</si>
  <si>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</si>
  <si>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</si>
  <si>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</si>
  <si>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</si>
  <si>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</si>
  <si>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</si>
  <si>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</si>
  <si>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</si>
  <si>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</si>
  <si>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</si>
  <si>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</si>
  <si>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</si>
  <si>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</si>
  <si>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</si>
  <si>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</si>
  <si>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</si>
  <si>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</si>
  <si>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</si>
  <si>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</si>
  <si>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</si>
  <si>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</si>
  <si>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</si>
  <si>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</si>
  <si>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</si>
  <si>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</si>
  <si>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</si>
  <si>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</si>
  <si>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</si>
  <si>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</si>
  <si>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</si>
  <si>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</si>
  <si>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</si>
  <si>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</si>
  <si>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</si>
  <si>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</si>
  <si>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</si>
  <si>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</si>
  <si>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</si>
  <si>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</si>
  <si>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</si>
  <si>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</si>
  <si>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</si>
  <si>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</si>
  <si>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</si>
  <si>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</si>
  <si>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</si>
  <si>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</si>
  <si>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</si>
  <si>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</si>
  <si>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</si>
  <si>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</si>
  <si>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</si>
  <si>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</si>
  <si>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</si>
  <si>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</si>
  <si>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</si>
  <si>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</si>
  <si>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</si>
  <si>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</si>
  <si>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</si>
  <si>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</si>
  <si>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</si>
  <si>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</si>
  <si>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</si>
  <si>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</si>
  <si>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</si>
  <si>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</si>
  <si>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</si>
  <si>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</si>
  <si>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</si>
  <si>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</si>
  <si>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</si>
  <si>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</si>
  <si>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</si>
  <si>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</si>
  <si>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</si>
  <si>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</si>
  <si>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</si>
  <si>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</si>
  <si>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</si>
  <si>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</si>
  <si>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</si>
  <si>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</si>
  <si>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</si>
  <si>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</si>
  <si>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</si>
  <si>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</si>
  <si>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</si>
  <si>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</si>
  <si>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</si>
  <si>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</si>
  <si>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</si>
  <si>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</si>
  <si>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</si>
  <si>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</si>
  <si>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</si>
  <si>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</si>
  <si>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</si>
  <si>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</si>
  <si>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</si>
  <si>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</si>
  <si>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</si>
  <si>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</si>
  <si>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</si>
  <si>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</si>
  <si>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</si>
  <si>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</si>
  <si>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</si>
  <si>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</si>
  <si>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</si>
  <si>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</si>
  <si>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</si>
  <si>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</si>
  <si>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</si>
  <si>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</si>
  <si>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</si>
  <si>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</si>
  <si>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</si>
  <si>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</si>
  <si>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</si>
  <si>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</si>
  <si>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</si>
  <si>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</si>
  <si>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</si>
  <si>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</si>
  <si>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</si>
  <si>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</si>
  <si>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</si>
  <si>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</si>
  <si>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</si>
  <si>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</si>
  <si>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</si>
  <si>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</si>
  <si>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</si>
  <si>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</si>
  <si>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</si>
  <si>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</si>
  <si>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</si>
  <si>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</si>
  <si>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</si>
  <si>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</si>
  <si>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</si>
  <si>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</si>
  <si>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</si>
  <si>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</si>
  <si>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</si>
  <si>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</si>
  <si>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</si>
  <si>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</si>
  <si>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</si>
  <si>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</si>
  <si>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</si>
  <si>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</si>
  <si>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</si>
  <si>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</si>
  <si>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</si>
  <si>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</si>
  <si>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</si>
  <si>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</si>
  <si>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</si>
  <si>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</si>
  <si>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</si>
  <si>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</si>
  <si>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</si>
  <si>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</si>
  <si>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</si>
  <si>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</si>
  <si>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</si>
  <si>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</si>
  <si>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</si>
  <si>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</si>
  <si>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</si>
  <si>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</si>
  <si>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</si>
  <si>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</si>
  <si>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</si>
  <si>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</si>
  <si>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</si>
  <si>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</si>
  <si>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</si>
  <si>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</si>
  <si>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</si>
  <si>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</si>
  <si>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</si>
  <si>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</si>
  <si>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</si>
  <si>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</si>
  <si>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</si>
  <si>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</si>
  <si>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</si>
  <si>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</si>
  <si>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</si>
  <si>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</si>
  <si>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</si>
  <si>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</si>
  <si>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</si>
  <si>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</si>
  <si>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</si>
  <si>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</si>
  <si>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</si>
  <si>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</si>
  <si>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</si>
  <si>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</si>
  <si>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</si>
  <si>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</si>
  <si>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</si>
  <si>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</si>
  <si>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</si>
  <si>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</si>
  <si>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</si>
  <si>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</si>
  <si>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</si>
  <si>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</si>
  <si>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</si>
  <si>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</si>
  <si>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</si>
  <si>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</si>
  <si>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</si>
  <si>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</si>
  <si>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</si>
  <si>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</si>
  <si>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</si>
  <si>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</si>
  <si>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</si>
  <si>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</si>
  <si>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</si>
  <si>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</si>
  <si>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</si>
  <si>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</si>
  <si>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</si>
  <si>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</si>
  <si>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</si>
  <si>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</si>
  <si>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</si>
  <si>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</si>
  <si>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</si>
  <si>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</si>
  <si>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</si>
  <si>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</si>
  <si>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</si>
  <si>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</si>
  <si>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</si>
  <si>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</si>
  <si>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</si>
  <si>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</si>
  <si>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</si>
  <si>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</si>
  <si>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</si>
  <si>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</si>
  <si>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</si>
  <si>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</si>
  <si>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</si>
  <si>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</si>
  <si>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</si>
  <si>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</si>
  <si>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</si>
  <si>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</si>
  <si>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</si>
  <si>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</si>
  <si>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</si>
  <si>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</si>
  <si>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</si>
  <si>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</si>
  <si>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</si>
  <si>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</si>
  <si>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</si>
  <si>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</si>
  <si>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</si>
  <si>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</si>
  <si>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</si>
  <si>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</si>
  <si>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</si>
  <si>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</si>
  <si>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</si>
  <si>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</si>
  <si>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</si>
  <si>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</si>
  <si>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</si>
  <si>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</si>
  <si>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</si>
  <si>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</si>
  <si>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</si>
  <si>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</si>
  <si>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</si>
  <si>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</si>
  <si>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</si>
  <si>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</si>
  <si>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</si>
  <si>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</si>
  <si>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</si>
  <si>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</si>
  <si>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</si>
  <si>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</si>
  <si>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</si>
  <si>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</si>
  <si>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</si>
  <si>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</si>
  <si>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</si>
  <si>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</si>
  <si>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</si>
  <si>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</si>
  <si>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</si>
  <si>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</si>
  <si>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</si>
  <si>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</si>
  <si>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</si>
  <si>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</si>
  <si>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</si>
  <si>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</si>
  <si>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</si>
  <si>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</si>
  <si>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</si>
  <si>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</si>
  <si>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</si>
  <si>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</si>
  <si>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</si>
  <si>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</si>
  <si>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</si>
  <si>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</si>
  <si>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</si>
  <si>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</si>
  <si>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</si>
  <si>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</si>
  <si>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</si>
  <si>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</si>
  <si>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</si>
  <si>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</si>
  <si>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</si>
  <si>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</si>
  <si>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</si>
  <si>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</si>
  <si>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</si>
  <si>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</si>
  <si>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</si>
  <si>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</si>
  <si>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</si>
  <si>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</si>
  <si>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</si>
  <si>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</si>
  <si>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</si>
  <si>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</si>
  <si>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</si>
  <si>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</si>
  <si>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</si>
  <si>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</si>
  <si>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</si>
  <si>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</si>
  <si>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</si>
  <si>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</si>
  <si>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</si>
  <si>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</si>
  <si>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</si>
  <si>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</si>
  <si>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</si>
  <si>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</si>
  <si>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</si>
  <si>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</si>
  <si>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</si>
  <si>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</si>
  <si>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</si>
  <si>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</si>
  <si>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</si>
  <si>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</si>
  <si>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</si>
  <si>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</si>
  <si>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</si>
  <si>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</si>
  <si>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</si>
  <si>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</si>
  <si>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</si>
  <si>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</si>
  <si>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</si>
  <si>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</si>
  <si>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</si>
  <si>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</si>
  <si>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</si>
  <si>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</si>
  <si>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</si>
  <si>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</si>
  <si>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</si>
  <si>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</si>
  <si>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</si>
  <si>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</si>
  <si>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</si>
  <si>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</si>
  <si>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</si>
  <si>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</si>
  <si>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</si>
  <si>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</si>
  <si>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</si>
  <si>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</si>
  <si>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</si>
  <si>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</si>
  <si>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</si>
  <si>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</si>
  <si>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</si>
  <si>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</si>
  <si>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</si>
  <si>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</si>
  <si>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</si>
  <si>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</si>
  <si>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</si>
  <si>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</si>
  <si>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</si>
  <si>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</si>
  <si>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</si>
  <si>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</si>
  <si>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</si>
  <si>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</si>
  <si>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</si>
  <si>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</si>
  <si>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</si>
  <si>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</si>
  <si>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</si>
  <si>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</si>
  <si>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</si>
  <si>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</si>
  <si>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</si>
  <si>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</si>
  <si>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</si>
  <si>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</si>
  <si>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</si>
  <si>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</si>
  <si>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</si>
  <si>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</si>
  <si>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</si>
  <si>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</si>
  <si>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</si>
  <si>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</si>
  <si>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</si>
  <si>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</si>
  <si>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</si>
  <si>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</si>
  <si>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</si>
  <si>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</si>
  <si>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</si>
  <si>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</si>
  <si>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</si>
  <si>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</si>
  <si>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</si>
  <si>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</si>
  <si>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</si>
  <si>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</si>
  <si>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</si>
  <si>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</si>
  <si>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</si>
  <si>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</si>
  <si>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</si>
  <si>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</si>
  <si>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</si>
  <si>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</si>
  <si>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</si>
  <si>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</si>
  <si>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</si>
  <si>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</si>
  <si>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</si>
  <si>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</si>
  <si>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</si>
  <si>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</si>
  <si>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</si>
  <si>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</si>
  <si>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</si>
  <si>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</si>
  <si>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</si>
  <si>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</si>
  <si>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</si>
  <si>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</si>
  <si>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</si>
  <si>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</si>
  <si>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</si>
  <si>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</si>
  <si>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</si>
  <si>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</si>
  <si>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</si>
  <si>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</si>
  <si>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</si>
  <si>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</si>
  <si>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</si>
  <si>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</si>
  <si>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</si>
  <si>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</si>
  <si>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</si>
  <si>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</si>
  <si>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</si>
  <si>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</si>
  <si>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</si>
  <si>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</si>
  <si>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</si>
  <si>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</si>
  <si>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</si>
  <si>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</si>
  <si>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</si>
  <si>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</si>
  <si>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</si>
  <si>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</si>
  <si>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</si>
  <si>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</si>
  <si>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</si>
  <si>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</si>
  <si>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</si>
  <si>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</si>
  <si>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</si>
  <si>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</si>
  <si>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</si>
  <si>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</si>
  <si>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</si>
  <si>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</si>
  <si>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</si>
  <si>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</si>
  <si>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</si>
  <si>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</si>
  <si>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</si>
  <si>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</si>
  <si>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</si>
  <si>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</si>
  <si>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</si>
  <si>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</si>
  <si>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</si>
  <si>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</si>
  <si>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</si>
  <si>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</si>
  <si>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</si>
  <si>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</si>
  <si>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</si>
  <si>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</si>
  <si>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</si>
  <si>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</si>
  <si>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</si>
  <si>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</si>
  <si>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</si>
  <si>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</si>
  <si>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</si>
  <si>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</si>
  <si>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</si>
  <si>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</si>
  <si>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</si>
  <si>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</si>
  <si>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</si>
  <si>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</si>
  <si>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</si>
  <si>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</si>
  <si>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</si>
  <si>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</si>
  <si>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</si>
  <si>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</si>
  <si>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</si>
  <si>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</si>
  <si>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</si>
  <si>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</si>
  <si>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</si>
  <si>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</si>
  <si>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</si>
  <si>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</si>
  <si>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</si>
  <si>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</si>
  <si>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</si>
  <si>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</si>
  <si>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</si>
  <si>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</si>
  <si>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</si>
  <si>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</si>
  <si>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</si>
  <si>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</si>
  <si>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</si>
  <si>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</si>
  <si>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</si>
  <si>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</si>
  <si>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</si>
  <si>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</si>
  <si>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</si>
  <si>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</si>
  <si>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</si>
  <si>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</si>
  <si>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</si>
  <si>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</si>
  <si>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</si>
  <si>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</si>
  <si>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</si>
  <si>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</si>
  <si>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</si>
  <si>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</si>
  <si>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</si>
  <si>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</si>
  <si>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</si>
  <si>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</si>
  <si>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</si>
  <si>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</si>
  <si>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</si>
  <si>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</si>
  <si>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</si>
  <si>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</si>
  <si>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</si>
  <si>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</si>
  <si>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</si>
  <si>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</si>
  <si>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</si>
  <si>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</si>
  <si>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</si>
  <si>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</si>
  <si>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</si>
  <si>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</si>
  <si>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</si>
  <si>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</si>
  <si>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</si>
  <si>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</si>
  <si>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</si>
  <si>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</si>
  <si>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</si>
  <si>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</si>
  <si>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</si>
  <si>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</si>
  <si>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</si>
  <si>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</si>
  <si>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</si>
  <si>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</si>
  <si>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</si>
  <si>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</si>
  <si>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</si>
  <si>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</si>
  <si>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</si>
  <si>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</si>
  <si>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</si>
  <si>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</si>
  <si>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</si>
  <si>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</si>
  <si>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</si>
  <si>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</si>
  <si>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</si>
  <si>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</si>
  <si>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</si>
  <si>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</si>
  <si>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</si>
  <si>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</si>
  <si>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</si>
  <si>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</si>
  <si>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</si>
  <si>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</si>
  <si>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</si>
  <si>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</si>
  <si>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</si>
  <si>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</si>
  <si>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</si>
  <si>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</si>
  <si>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</si>
  <si>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</si>
  <si>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</si>
  <si>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</si>
  <si>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</si>
  <si>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</si>
  <si>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</si>
  <si>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</si>
  <si>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</si>
  <si>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</si>
  <si>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</si>
  <si>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</si>
  <si>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</si>
  <si>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</si>
  <si>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</si>
  <si>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</si>
  <si>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</si>
  <si>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</si>
  <si>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</si>
  <si>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</si>
  <si>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</si>
  <si>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</si>
  <si>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</si>
  <si>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</si>
  <si>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</si>
  <si>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</si>
  <si>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</si>
  <si>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</si>
  <si>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</si>
  <si>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</si>
  <si>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</si>
  <si>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</si>
  <si>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</si>
  <si>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</si>
  <si>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</si>
  <si>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</si>
  <si>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</si>
  <si>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</si>
  <si>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</si>
  <si>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</si>
  <si>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</si>
  <si>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</si>
  <si>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</si>
  <si>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</si>
  <si>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</si>
  <si>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</si>
  <si>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</si>
  <si>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</si>
  <si>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</si>
  <si>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</si>
  <si>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</si>
  <si>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</si>
  <si>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</si>
  <si>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</si>
  <si>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</si>
  <si>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</si>
  <si>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</si>
  <si>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</si>
  <si>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</si>
  <si>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</si>
  <si>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</si>
  <si>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</si>
  <si>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</si>
  <si>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</si>
  <si>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</si>
  <si>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</si>
  <si>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</si>
  <si>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</si>
  <si>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</si>
  <si>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</si>
  <si>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</si>
  <si>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</si>
  <si>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</si>
  <si>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</si>
  <si>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</si>
  <si>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</si>
  <si>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</si>
  <si>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</si>
  <si>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</si>
  <si>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</si>
  <si>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</si>
  <si>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</si>
  <si>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</si>
  <si>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</si>
  <si>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</si>
  <si>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</si>
  <si>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</si>
  <si>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</si>
  <si>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</si>
  <si>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</si>
  <si>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</si>
  <si>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</si>
  <si>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</si>
  <si>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</si>
  <si>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</si>
  <si>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</si>
  <si>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</si>
  <si>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</si>
  <si>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</si>
  <si>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</si>
  <si>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</si>
  <si>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</si>
  <si>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</si>
  <si>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</si>
  <si>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</si>
  <si>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</si>
  <si>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</si>
  <si>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</si>
  <si>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</si>
  <si>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</si>
  <si>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</si>
  <si>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</si>
  <si>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</si>
  <si>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</si>
  <si>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</si>
  <si>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</si>
  <si>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</si>
  <si>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</si>
  <si>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</si>
  <si>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</si>
  <si>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</si>
  <si>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</si>
  <si>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</si>
  <si>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</si>
  <si>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</si>
  <si>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</si>
  <si>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</si>
  <si>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</si>
  <si>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</si>
  <si>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</si>
  <si>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</si>
  <si>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</si>
  <si>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</si>
  <si>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</si>
  <si>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</si>
  <si>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</si>
  <si>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</si>
  <si>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</si>
  <si>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</si>
  <si>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</si>
  <si>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</si>
  <si>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</si>
  <si>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</si>
  <si>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</si>
  <si>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</si>
  <si>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</si>
  <si>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</si>
  <si>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</si>
  <si>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</si>
  <si>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</si>
  <si>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</si>
  <si>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</si>
  <si>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</si>
  <si>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</si>
  <si>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</si>
  <si>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</si>
  <si>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</si>
  <si>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</si>
  <si>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</si>
  <si>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</si>
  <si>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</si>
  <si>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</si>
  <si>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</si>
  <si>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</si>
  <si>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</si>
  <si>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</si>
  <si>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</si>
  <si>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</si>
  <si>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</si>
  <si>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</si>
  <si>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</si>
  <si>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</si>
  <si>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</si>
  <si>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</si>
  <si>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</si>
  <si>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</si>
  <si>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</si>
  <si>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</si>
  <si>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</si>
  <si>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</si>
  <si>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</si>
  <si>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</si>
  <si>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</si>
  <si>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</si>
  <si>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</si>
  <si>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</si>
  <si>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</si>
  <si>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</si>
  <si>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</si>
  <si>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</si>
  <si>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</si>
  <si>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</si>
  <si>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</si>
  <si>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</si>
  <si>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</si>
  <si>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</si>
  <si>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</si>
  <si>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</si>
  <si>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</si>
  <si>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</si>
  <si>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</si>
  <si>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</si>
  <si>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</si>
  <si>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</si>
  <si>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</si>
  <si>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</si>
  <si>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</si>
  <si>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</si>
  <si>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</si>
  <si>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</si>
  <si>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</si>
  <si>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</si>
  <si>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</si>
  <si>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</si>
  <si>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</si>
  <si>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</si>
  <si>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</si>
  <si>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</si>
  <si>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</si>
  <si>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</si>
  <si>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</si>
  <si>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</si>
  <si>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</si>
  <si>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</si>
  <si>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</si>
  <si>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</si>
  <si>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</si>
  <si>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</si>
  <si>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</si>
  <si>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</si>
  <si>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</si>
  <si>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</si>
  <si>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</si>
  <si>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</si>
  <si>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</si>
  <si>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</si>
  <si>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</si>
  <si>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</si>
  <si>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</si>
  <si>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</si>
  <si>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</si>
  <si>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</si>
  <si>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</si>
  <si>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</si>
  <si>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</si>
  <si>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</si>
  <si>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</si>
  <si>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</si>
  <si>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</si>
  <si>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</si>
  <si>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</si>
  <si>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</si>
  <si>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</si>
  <si>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</si>
  <si>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</si>
  <si>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</si>
  <si>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</si>
  <si>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</si>
  <si>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</si>
  <si>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</si>
  <si>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</si>
  <si>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</si>
  <si>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</si>
  <si>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</si>
  <si>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</si>
  <si>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</si>
  <si>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</si>
  <si>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</si>
  <si>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</si>
  <si>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</si>
  <si>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</si>
  <si>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</si>
  <si>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</si>
  <si>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</si>
  <si>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</si>
  <si>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</si>
  <si>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</si>
  <si>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</si>
  <si>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</si>
  <si>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</si>
  <si>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</si>
  <si>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</si>
  <si>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</si>
  <si>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</si>
  <si>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</si>
  <si>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</si>
  <si>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</si>
  <si>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</si>
  <si>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</si>
  <si>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</si>
  <si>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</si>
  <si>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</si>
  <si>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</si>
  <si>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</si>
  <si>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</si>
  <si>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</si>
  <si>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</si>
  <si>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</si>
  <si>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</si>
  <si>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</si>
  <si>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</si>
  <si>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</si>
  <si>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</si>
  <si>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</si>
  <si>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</si>
  <si>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</si>
  <si>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</si>
  <si>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</si>
  <si>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</si>
  <si>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</si>
  <si>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</si>
  <si>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</si>
  <si>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</si>
  <si>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</si>
  <si>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</si>
  <si>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</si>
  <si>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</si>
  <si>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</si>
  <si>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</si>
  <si>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</si>
  <si>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</si>
  <si>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</si>
  <si>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</si>
  <si>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</si>
  <si>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</si>
  <si>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</si>
  <si>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</si>
  <si>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</si>
  <si>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</si>
  <si>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</si>
  <si>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</si>
  <si>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</si>
  <si>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</si>
  <si>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</si>
  <si>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</si>
  <si>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</si>
  <si>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</si>
  <si>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</si>
  <si>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</si>
  <si>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</si>
  <si>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</si>
  <si>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</si>
  <si>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</si>
  <si>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</si>
  <si>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</si>
  <si>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</si>
  <si>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</si>
  <si>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</si>
  <si>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</si>
  <si>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</si>
  <si>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</si>
  <si>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</si>
  <si>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</si>
  <si>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</si>
  <si>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</si>
  <si>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</si>
  <si>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</si>
  <si>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</si>
  <si>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</si>
  <si>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</si>
  <si>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</si>
  <si>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</si>
  <si>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</si>
  <si>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</si>
  <si>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</si>
  <si>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</si>
  <si>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</si>
  <si>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</si>
  <si>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</si>
  <si>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</si>
  <si>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</si>
  <si>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</si>
  <si>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</si>
  <si>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</si>
  <si>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</si>
  <si>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</si>
  <si>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</si>
  <si>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</si>
  <si>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</si>
  <si>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</si>
  <si>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</si>
  <si>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</si>
  <si>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</si>
  <si>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</si>
  <si>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</si>
  <si>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</si>
  <si>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</si>
  <si>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</si>
  <si>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</si>
  <si>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</si>
  <si>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</si>
  <si>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</si>
  <si>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</si>
  <si>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</si>
  <si>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</si>
  <si>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</si>
  <si>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</si>
  <si>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</si>
  <si>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</si>
  <si>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</si>
  <si>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</si>
  <si>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</si>
  <si>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</si>
  <si>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</si>
  <si>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</si>
  <si>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</si>
  <si>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</si>
  <si>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</si>
  <si>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</si>
  <si>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</si>
  <si>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</si>
  <si>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</si>
  <si>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</si>
  <si>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</si>
  <si>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</si>
  <si>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</si>
  <si>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</si>
  <si>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</si>
  <si>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</si>
  <si>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</si>
  <si>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</si>
  <si>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</si>
  <si>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</si>
  <si>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</si>
  <si>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</si>
  <si>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</si>
  <si>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</si>
  <si>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</si>
  <si>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</si>
  <si>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</si>
  <si>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</si>
  <si>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</si>
  <si>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</si>
  <si>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</si>
  <si>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</si>
  <si>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</si>
  <si>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</si>
  <si>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</si>
  <si>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</si>
  <si>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</si>
  <si>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</si>
  <si>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</si>
  <si>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</si>
  <si>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</si>
  <si>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</si>
  <si>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</si>
  <si>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</si>
  <si>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</si>
  <si>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</si>
  <si>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</si>
  <si>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</si>
  <si>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</si>
  <si>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</si>
  <si>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</si>
  <si>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</si>
  <si>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</si>
  <si>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</si>
  <si>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</si>
  <si>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</si>
  <si>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</si>
  <si>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</si>
  <si>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</si>
  <si>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</si>
  <si>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</si>
  <si>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</si>
  <si>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</si>
  <si>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</si>
  <si>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</si>
  <si>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</si>
  <si>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</si>
  <si>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</si>
  <si>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</si>
  <si>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</si>
  <si>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</si>
  <si>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</si>
  <si>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</si>
  <si>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</si>
  <si>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</si>
  <si>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</si>
  <si>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</si>
  <si>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</si>
  <si>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</si>
  <si>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</si>
  <si>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</si>
  <si>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</si>
  <si>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</si>
  <si>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</si>
  <si>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</si>
  <si>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</si>
  <si>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</si>
  <si>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</si>
  <si>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</si>
  <si>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</si>
  <si>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</si>
  <si>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</si>
  <si>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</si>
  <si>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</si>
  <si>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</si>
  <si>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</si>
  <si>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</si>
  <si>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</si>
  <si>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</si>
  <si>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</si>
  <si>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</si>
  <si>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</si>
  <si>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</si>
  <si>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</si>
  <si>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</si>
  <si>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</si>
  <si>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</si>
  <si>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</si>
  <si>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</si>
  <si>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</si>
  <si>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</si>
  <si>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</si>
  <si>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</si>
  <si>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</si>
  <si>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</si>
  <si>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</si>
  <si>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</si>
  <si>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</si>
  <si>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</si>
  <si>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</si>
  <si>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</si>
  <si>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</si>
  <si>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</si>
  <si>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</si>
  <si>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</si>
  <si>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</si>
  <si>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</si>
  <si>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</si>
  <si>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</si>
  <si>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</si>
  <si>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</si>
  <si>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</si>
  <si>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</si>
  <si>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</si>
  <si>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</si>
  <si>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</si>
  <si>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</si>
  <si>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</si>
  <si>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</si>
  <si>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</si>
  <si>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</si>
  <si>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</si>
  <si>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</si>
  <si>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</si>
  <si>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</si>
  <si>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</si>
  <si>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</si>
  <si>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</si>
  <si>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</si>
  <si>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</si>
  <si>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</si>
  <si>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</si>
  <si>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</si>
  <si>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</si>
  <si>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</si>
  <si>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</si>
  <si>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</si>
  <si>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</si>
  <si>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</si>
  <si>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</si>
  <si>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</si>
  <si>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</si>
  <si>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</si>
  <si>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</si>
  <si>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</si>
  <si>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</si>
  <si>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</si>
  <si>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</si>
  <si>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</si>
  <si>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</si>
  <si>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</si>
  <si>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</si>
  <si>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</si>
  <si>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</si>
  <si>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</si>
  <si>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</si>
  <si>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</si>
  <si>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</si>
  <si>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</si>
  <si>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</si>
  <si>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</si>
  <si>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</si>
  <si>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</si>
  <si>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</si>
  <si>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</si>
  <si>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</si>
  <si>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</si>
  <si>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</si>
  <si>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</si>
  <si>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</si>
  <si>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</si>
  <si>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</si>
  <si>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</si>
  <si>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</si>
  <si>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</si>
  <si>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</si>
  <si>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</si>
  <si>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</si>
  <si>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</si>
  <si>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</si>
  <si>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</si>
  <si>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</si>
  <si>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</si>
  <si>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</si>
  <si>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</si>
  <si>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</si>
  <si>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</si>
  <si>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</si>
  <si>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</si>
  <si>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</si>
  <si>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</si>
  <si>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</si>
  <si>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</si>
  <si>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</si>
  <si>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</si>
  <si>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</si>
  <si>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</si>
  <si>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</si>
  <si>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</si>
  <si>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</si>
  <si>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</si>
  <si>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</si>
  <si>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</si>
  <si>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</si>
  <si>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</si>
  <si>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</si>
  <si>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</si>
  <si>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</si>
  <si>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</si>
  <si>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</si>
  <si>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</si>
  <si>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</si>
  <si>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</si>
  <si>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</si>
  <si>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</si>
  <si>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</si>
  <si>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</si>
  <si>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</si>
  <si>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</si>
  <si>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</si>
  <si>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</si>
  <si>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</si>
  <si>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</si>
  <si>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</si>
  <si>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</si>
  <si>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</si>
  <si>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</si>
  <si>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</si>
  <si>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</si>
  <si>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</si>
  <si>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</si>
  <si>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</si>
  <si>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</si>
  <si>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</si>
  <si>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</si>
  <si>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</si>
  <si>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</si>
  <si>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</si>
  <si>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</si>
  <si>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</si>
  <si>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</si>
  <si>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</si>
  <si>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</si>
  <si>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</si>
  <si>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</si>
  <si>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</si>
  <si>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</si>
  <si>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</si>
  <si>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</si>
  <si>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</si>
  <si>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</si>
  <si>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</si>
  <si>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</si>
  <si>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</si>
  <si>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</si>
  <si>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</si>
  <si>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</si>
  <si>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</si>
  <si>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</si>
  <si>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</si>
  <si>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</si>
  <si>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</si>
  <si>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</si>
  <si>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</si>
  <si>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</si>
  <si>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</si>
  <si>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</si>
  <si>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</si>
  <si>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</si>
  <si>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</si>
  <si>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</si>
  <si>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</si>
  <si>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</si>
  <si>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</si>
  <si>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</si>
  <si>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</si>
  <si>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</si>
  <si>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</si>
  <si>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</si>
  <si>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</si>
  <si>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</si>
  <si>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</si>
  <si>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</si>
  <si>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</si>
  <si>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</si>
  <si>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</si>
  <si>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</si>
  <si>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</si>
  <si>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</si>
  <si>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</si>
  <si>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</si>
  <si>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</si>
  <si>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</si>
  <si>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</si>
  <si>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</si>
  <si>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</si>
  <si>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</si>
  <si>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</si>
  <si>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</si>
  <si>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</si>
  <si>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</si>
  <si>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</si>
  <si>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</si>
  <si>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</si>
  <si>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</si>
  <si>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</si>
  <si>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</si>
  <si>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</si>
  <si>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</si>
  <si>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</si>
  <si>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</si>
  <si>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</si>
  <si>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</si>
  <si>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</si>
  <si>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</si>
  <si>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</si>
  <si>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</si>
  <si>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</si>
  <si>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</si>
  <si>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</si>
  <si>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</si>
  <si>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</si>
  <si>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</si>
  <si>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</si>
  <si>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</si>
  <si>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</si>
  <si>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</si>
  <si>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</si>
  <si>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</si>
  <si>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</si>
  <si>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</si>
  <si>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</si>
  <si>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</si>
  <si>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</si>
  <si>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</si>
  <si>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</si>
  <si>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</si>
  <si>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</si>
  <si>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</si>
  <si>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</si>
  <si>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</si>
  <si>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</si>
  <si>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</si>
  <si>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</si>
  <si>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</si>
  <si>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</si>
  <si>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</si>
  <si>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</si>
  <si>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</si>
  <si>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</si>
  <si>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</si>
  <si>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</si>
  <si>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</si>
  <si>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</si>
  <si>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</si>
  <si>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</si>
  <si>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</si>
  <si>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</si>
  <si>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</si>
  <si>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</si>
  <si>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</si>
  <si>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</si>
  <si>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</si>
  <si>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</si>
  <si>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</si>
  <si>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</si>
  <si>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</si>
  <si>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</si>
  <si>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</si>
  <si>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</si>
  <si>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</si>
  <si>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</si>
  <si>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</si>
  <si>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</si>
  <si>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</si>
  <si>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</si>
  <si>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</si>
  <si>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</si>
  <si>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</si>
  <si>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</si>
  <si>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</si>
  <si>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</si>
  <si>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</si>
  <si>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</si>
  <si>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</si>
  <si>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</si>
  <si>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</si>
  <si>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</si>
  <si>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</si>
  <si>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</si>
  <si>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</si>
  <si>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</si>
  <si>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</si>
  <si>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</si>
  <si>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</si>
  <si>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</si>
  <si>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</si>
  <si>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</si>
  <si>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</si>
  <si>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</si>
  <si>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</si>
  <si>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</si>
  <si>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</si>
  <si>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</si>
  <si>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</si>
  <si>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</si>
  <si>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</si>
  <si>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</si>
  <si>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</si>
  <si>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</si>
  <si>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</si>
  <si>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</si>
  <si>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</si>
  <si>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</si>
  <si>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</si>
  <si>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</si>
  <si>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</si>
  <si>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</si>
  <si>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</si>
  <si>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</si>
  <si>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</si>
  <si>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</si>
  <si>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</si>
  <si>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</si>
  <si>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</si>
  <si>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</si>
  <si>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</si>
  <si>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</si>
  <si>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</si>
  <si>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</si>
  <si>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</si>
  <si>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</si>
  <si>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</si>
  <si>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</si>
  <si>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</si>
  <si>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</si>
  <si>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</si>
  <si>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</si>
  <si>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</si>
  <si>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</si>
  <si>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</si>
  <si>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</si>
  <si>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</si>
  <si>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</si>
  <si>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</si>
  <si>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</si>
  <si>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</si>
  <si>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</si>
  <si>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</si>
  <si>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</si>
  <si>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</si>
  <si>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</si>
  <si>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</si>
  <si>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</si>
  <si>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</si>
  <si>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</si>
  <si>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</si>
  <si>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</si>
  <si>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</si>
  <si>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</si>
  <si>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</si>
  <si>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</si>
  <si>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</si>
  <si>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</si>
  <si>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</si>
  <si>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</si>
  <si>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</si>
  <si>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</si>
  <si>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</si>
  <si>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</si>
  <si>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</si>
  <si>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</si>
  <si>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</si>
  <si>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</si>
  <si>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</si>
  <si>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</si>
  <si>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</si>
  <si>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</si>
  <si>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</si>
  <si>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</si>
  <si>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</si>
  <si>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</si>
  <si>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</si>
  <si>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</si>
  <si>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</si>
  <si>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</si>
  <si>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</si>
  <si>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</si>
  <si>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</si>
  <si>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</si>
  <si>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</si>
  <si>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</si>
  <si>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</si>
  <si>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</si>
  <si>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</si>
  <si>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</si>
  <si>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</si>
  <si>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</si>
  <si>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</si>
  <si>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</si>
  <si>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</si>
  <si>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</si>
  <si>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</si>
  <si>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</si>
  <si>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</si>
  <si>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</si>
  <si>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</si>
  <si>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</si>
  <si>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</si>
  <si>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</si>
  <si>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</si>
  <si>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</si>
  <si>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</si>
  <si>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</si>
  <si>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</si>
  <si>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</si>
  <si>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</si>
  <si>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</si>
  <si>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</si>
  <si>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</si>
  <si>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</si>
  <si>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</si>
  <si>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</si>
  <si>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</si>
  <si>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</si>
  <si>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</si>
  <si>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</si>
  <si>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</si>
  <si>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</si>
  <si>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</si>
  <si>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</si>
  <si>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</si>
  <si>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</si>
  <si>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</si>
  <si>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</si>
  <si>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</si>
  <si>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划拨</t>
  </si>
  <si>
    <t>地上</t>
  </si>
  <si>
    <t>是</t>
  </si>
  <si>
    <t>工业</t>
    <phoneticPr fontId="7" type="noConversion"/>
  </si>
  <si>
    <t>利息：取LPR加浮动点数</t>
  </si>
  <si>
    <t>成新度</t>
  </si>
  <si>
    <t>收益法</t>
  </si>
  <si>
    <t>押一</t>
  </si>
  <si>
    <t>钢混</t>
  </si>
  <si>
    <t>非生产用房</t>
  </si>
  <si>
    <t>自定义容积率</t>
  </si>
  <si>
    <t>与级别开发程度一致</t>
  </si>
  <si>
    <t>较好</t>
  </si>
  <si>
    <t>一般</t>
  </si>
  <si>
    <t>未包含在土地购买价格中</t>
  </si>
  <si>
    <t>全部缴纳</t>
  </si>
  <si>
    <t>已包含在土地取得成本中</t>
  </si>
  <si>
    <t>成本法</t>
  </si>
  <si>
    <t>总价</t>
  </si>
  <si>
    <t>成本比率</t>
  </si>
  <si>
    <r>
      <rPr>
        <sz val="10"/>
        <color theme="9" tint="-0.249977111117893"/>
        <rFont val="宋体"/>
        <family val="3"/>
        <charset val="134"/>
      </rPr>
      <t>漷县镇漷兴三街</t>
    </r>
    <r>
      <rPr>
        <sz val="10"/>
        <color theme="9" tint="-0.249977111117893"/>
        <rFont val="Arial"/>
        <family val="2"/>
      </rPr>
      <t>18</t>
    </r>
    <r>
      <rPr>
        <sz val="10"/>
        <color theme="9" tint="-0.249977111117893"/>
        <rFont val="宋体"/>
        <family val="3"/>
        <charset val="134"/>
      </rPr>
      <t>号</t>
    </r>
    <r>
      <rPr>
        <sz val="10"/>
        <color theme="9" tint="-0.249977111117893"/>
        <rFont val="Arial"/>
        <family val="2"/>
      </rPr>
      <t>10</t>
    </r>
    <r>
      <rPr>
        <sz val="10"/>
        <color theme="9" tint="-0.249977111117893"/>
        <rFont val="宋体"/>
        <family val="3"/>
        <charset val="134"/>
      </rPr>
      <t>幢</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</si>
</sst>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北京市漷县镇漷兴三街18号10幢房地产抵押价值预评估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受贵公司委托，我公司对北京市漷县镇漷兴三街18号10幢房地产抵押价值进行了预评估。</v>
      </c>
    </row>
    <row r="7" spans="1:2" s="1203" customFormat="1">
      <c r="A7" s="1201" t="s">
        <v>566</v>
      </c>
      <c r="B7" s="1202" t="str">
        <f>'预评函-1'!A7</f>
        <v>估价对象为北京市漷县镇漷兴三街18号10幢房地产，为所有。根据《国有土地使用证》[]，估价对象（分摊）出让国有建设用地使用权面积为86032.95平方米，建筑面积为35666平方米。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漷县镇漷兴三街18号10幢房地产,属开发建设的，该项目尚在开发建设中。根据《国有土地使用证》[]，估价对象（分摊）出让国有建设用地使用权面积为86032.95平方米，规划建筑面积为35666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漷县镇漷兴三街18号10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2023年2月10日</v>
      </c>
    </row>
    <row r="13" spans="1:2" s="1203" customFormat="1">
      <c r="A13" s="1201" t="s">
        <v>529</v>
      </c>
      <c r="B13" s="1202" t="str">
        <f>'预评函-1'!A18</f>
        <v>本次估价的“房地产价值”是指在正常市场情况下，在价值时点2023年2月10日，估价对象规划用途为，土地取得方式为划拨，假定未设立法定优先受偿款下的房地产市场价值。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22247</v>
      </c>
    </row>
    <row r="21" spans="1:2" s="1203" customFormat="1">
      <c r="A21" s="1201" t="s">
        <v>537</v>
      </c>
      <c r="B21" s="1202">
        <f ca="1">'预评函-2'!D7</f>
        <v>6238</v>
      </c>
    </row>
    <row r="22" spans="1:2" s="1203" customFormat="1">
      <c r="A22" s="1201" t="s">
        <v>538</v>
      </c>
      <c r="B22" s="1202" t="str">
        <f ca="1">'预评函-2'!D6</f>
        <v>贰亿贰仟贰佰肆拾柒万元整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22247</v>
      </c>
    </row>
    <row r="31" spans="1:2" s="1203" customFormat="1">
      <c r="A31" s="1201" t="s">
        <v>576</v>
      </c>
      <c r="B31" s="1202">
        <f ca="1">'预评函-2'!D15</f>
        <v>6238</v>
      </c>
    </row>
    <row r="32" spans="1:2" s="1203" customFormat="1">
      <c r="A32" s="1201" t="s">
        <v>543</v>
      </c>
      <c r="B32" s="1202" t="str">
        <f ca="1">'预评函-2'!D14</f>
        <v>贰亿贰仟贰佰肆拾柒万元整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北京市漷县镇漷兴三街18号10幢房地产</v>
      </c>
    </row>
    <row r="42" spans="1:2" s="1203" customFormat="1">
      <c r="A42" s="1201" t="s">
        <v>590</v>
      </c>
      <c r="B42" s="1202" t="str">
        <f>'预评函-3'!B2</f>
        <v>建筑面积</v>
      </c>
    </row>
    <row r="43" spans="1:2" s="1203" customFormat="1">
      <c r="A43" s="1201" t="s">
        <v>591</v>
      </c>
      <c r="B43" s="1202">
        <f>'预评函-3'!B4</f>
        <v>35666</v>
      </c>
    </row>
    <row r="44" spans="1:2" s="1203" customFormat="1">
      <c r="A44" s="1201" t="s">
        <v>575</v>
      </c>
      <c r="B44" s="1202" t="str">
        <f>'预评函-3'!C2</f>
        <v>(分摊)土地面积</v>
      </c>
    </row>
    <row r="45" spans="1:2" s="1203" customFormat="1">
      <c r="A45" s="1201" t="s">
        <v>547</v>
      </c>
      <c r="B45" s="1202">
        <f>'预评函-3'!C4</f>
        <v>86032.95</v>
      </c>
    </row>
    <row r="46" spans="1:2" s="1203" customFormat="1">
      <c r="A46" s="1201" t="s">
        <v>573</v>
      </c>
      <c r="B46" s="1202" t="str">
        <f>'预评函-3'!D2</f>
        <v>出让国有建设用地使用权价值</v>
      </c>
    </row>
    <row r="47" spans="1:2" s="1203" customFormat="1">
      <c r="A47" s="1201" t="s">
        <v>548</v>
      </c>
      <c r="B47" s="1202">
        <f ca="1">'预评函-3'!D4</f>
        <v>15195</v>
      </c>
    </row>
    <row r="48" spans="1:2" s="1203" customFormat="1">
      <c r="A48" s="1201" t="s">
        <v>549</v>
      </c>
      <c r="B48" s="1202">
        <f ca="1">'预评函-3'!E4</f>
        <v>4261</v>
      </c>
    </row>
    <row r="49" spans="1:2" s="1203" customFormat="1">
      <c r="A49" s="1201" t="s">
        <v>550</v>
      </c>
      <c r="B49" s="1202" t="str">
        <f ca="1">'预评函-3'!D5</f>
        <v>壹亿伍仟壹佰玖拾伍万元整</v>
      </c>
    </row>
    <row r="50" spans="1:2" s="1203" customFormat="1">
      <c r="A50" s="1201" t="s">
        <v>574</v>
      </c>
      <c r="B50" s="1202" t="str">
        <f>'预评函-3'!F2</f>
        <v>在建建筑物价值</v>
      </c>
    </row>
    <row r="51" spans="1:2" s="1203" customFormat="1">
      <c r="A51" s="1201" t="s">
        <v>551</v>
      </c>
      <c r="B51" s="1202">
        <f ca="1">'预评函-3'!F4</f>
        <v>7052</v>
      </c>
    </row>
    <row r="52" spans="1:2" s="1203" customFormat="1">
      <c r="A52" s="1201" t="s">
        <v>552</v>
      </c>
      <c r="B52" s="1202">
        <f ca="1">'预评函-3'!G4</f>
        <v>1977</v>
      </c>
    </row>
    <row r="53" spans="1:2" s="1203" customFormat="1">
      <c r="A53" s="1201" t="s">
        <v>580</v>
      </c>
      <c r="B53" s="1202" t="str">
        <f ca="1">'预评函-3'!F5</f>
        <v>柒仟零伍拾贰万元整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漷县镇漷兴三街18号10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44967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3.85</v>
      </c>
      <c r="D5" s="3025">
        <f>IF(ISERROR(ROUND(POWER(1+E5,A5-C5)*(POWER(1+E5,C5)-1)/(POWER(1+E5,A5)-1),3)),0,ROUND(POWER(1+E5,A5-C5)*(POWER(1+E5,C5)-1)/(POWER(1+E5,A5)-1),4))</f>
        <v>0.17699999999999999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13.86</v>
      </c>
      <c r="D6" s="3025">
        <f>IF(ISERROR(ROUND(POWER(1+E6,A6-C6)*(POWER(1+E6,C6)-1)/(POWER(1+E6,A6)-1),3)),0,ROUND(POWER(1+E6,A6-C6)*(POWER(1+E6,C6)-1)/(POWER(1+E6,A6)-1),4))</f>
        <v>0.48799999999999999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33.869999999999997</v>
      </c>
      <c r="D7" s="3025">
        <f>IF(ISERROR(ROUND(POWER(1+E7,A7-C7)*(POWER(1+E7,C7)-1)/(POWER(1+E7,A7)-1),3)),0,ROUND(POWER(1+E7,A7-C7)*(POWER(1+E7,C7)-1)/(POWER(1+E7,A7)-1),4))</f>
        <v>0.78549999999999998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北京市漷县镇漷兴三街18号10幢房地产抵押价值预评估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北京市漷县镇漷兴三街18号10幢房地产抵押价值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北京市漷县镇漷兴三街18号10幢房地产</v>
      </c>
      <c r="T2" s="1745"/>
      <c r="U2" s="1745"/>
      <c r="V2" s="1745"/>
      <c r="W2" s="1745"/>
      <c r="X2" s="1745"/>
      <c r="Y2" s="1745"/>
      <c r="Z2" s="1745"/>
      <c r="AA2" s="1745"/>
      <c r="AB2" s="1745"/>
    </row>
    <row r="3" spans="1:30">
      <c r="A3" s="302" t="s">
        <v>2170</v>
      </c>
      <c r="B3" s="2373"/>
      <c r="C3" s="2374" t="s">
        <v>2171</v>
      </c>
      <c r="D3" s="2373">
        <v>44967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4"/>
      <c r="E9" s="2394" t="s">
        <v>43</v>
      </c>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t="s">
        <v>3402</v>
      </c>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3382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f>IF(A13="出让",IF(C13="","",ROUNDDOWN(MIN((C13-$D$3)/365,C14),2)),C14)</f>
        <v>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50</v>
      </c>
      <c r="I15" s="2410">
        <f>IF(A13="出让",IF(I13="","",ROUNDDOWN(MIN((I13-$D$3)/365,I14),2)),I14)</f>
        <v>0</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35666</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86032.95</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206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5" sqref="F3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86032.95</v>
      </c>
      <c r="B3" s="11">
        <f>IF(C3="否",G5-AT5,G5)</f>
        <v>35666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35666</v>
      </c>
      <c r="H5" s="13">
        <f t="shared" ref="H5:AT5" si="0">SUM(H13:H656)</f>
        <v>35666</v>
      </c>
      <c r="I5" s="13">
        <f t="shared" si="0"/>
        <v>35666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35666</v>
      </c>
      <c r="BA5" s="15">
        <f t="shared" si="1"/>
        <v>35666</v>
      </c>
      <c r="BB5" s="15">
        <f t="shared" si="1"/>
        <v>35666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86032.95</v>
      </c>
      <c r="F6" s="13" t="s">
        <v>0</v>
      </c>
      <c r="G6" s="13" t="s">
        <v>1</v>
      </c>
      <c r="H6" s="17">
        <f>SUMIF(I$12:AB$12,"总值",I6:AB6)</f>
        <v>86032.95</v>
      </c>
      <c r="I6" s="13">
        <f t="shared" ref="I6:AB6" si="2">ROUND($A$3*I5/$B$3,2)</f>
        <v>86032.95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86032.95</v>
      </c>
      <c r="AZ6" s="13" t="s">
        <v>2</v>
      </c>
      <c r="BA6" s="13">
        <f>ROUND($AY$6*BA5/$AZ$5,2)</f>
        <v>86032.95</v>
      </c>
      <c r="BB6" s="13">
        <f>ROUND($AY$6*BB5/$AZ$5,2)</f>
        <v>86032.95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86032.95</v>
      </c>
      <c r="F13" s="29"/>
      <c r="G13" s="30">
        <f>H13+AC13+AT13</f>
        <v>35666</v>
      </c>
      <c r="H13" s="17">
        <f>SUMIF(I$12:AB$12,"总值",I13:AB13)</f>
        <v>35666</v>
      </c>
      <c r="I13" s="1626">
        <v>35666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86032.95</v>
      </c>
      <c r="AZ13" s="13">
        <f>BA13+BL13</f>
        <v>35666</v>
      </c>
      <c r="BA13" s="13">
        <f>SUM(BB13:BK13)</f>
        <v>35666</v>
      </c>
      <c r="BB13" s="13">
        <f>IF($D13="是",I13-J13,0)</f>
        <v>35666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9" sqref="L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86032.95</v>
      </c>
      <c r="E3" s="43">
        <f>'数据-基础表'!AZ5</f>
        <v>35666</v>
      </c>
      <c r="F3" s="2659"/>
      <c r="G3" s="1145"/>
      <c r="H3" s="1026" t="s">
        <v>1106</v>
      </c>
      <c r="I3" s="855">
        <f>ROUND('数据-基础表'!B3/'数据-基础表'!A3,2)</f>
        <v>0.41</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0.41</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0.41</v>
      </c>
      <c r="J5" s="2659"/>
      <c r="K5" s="2659"/>
      <c r="L5" s="2659"/>
      <c r="M5" s="2659"/>
      <c r="N5" s="2659"/>
      <c r="O5" s="2659"/>
      <c r="P5" s="2659"/>
    </row>
    <row r="6" spans="1:16" ht="15" thickBot="1">
      <c r="A6" s="1644"/>
      <c r="B6" s="3536" t="s">
        <v>1111</v>
      </c>
      <c r="C6" s="3536"/>
      <c r="D6" s="45">
        <f>ROUND($D$3*E6/$E$3,2)</f>
        <v>86032.95</v>
      </c>
      <c r="E6" s="46">
        <f>E3-E5</f>
        <v>35666</v>
      </c>
      <c r="F6" s="2659"/>
      <c r="G6" s="2653" t="s">
        <v>1112</v>
      </c>
      <c r="H6" s="1146" t="s">
        <v>1113</v>
      </c>
      <c r="I6" s="2654">
        <f>ROUND(F31/D31,2)</f>
        <v>0.41</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86032.95</v>
      </c>
      <c r="E8" s="48">
        <f>SUMIF('数据-基础表'!BB10:BK10,"地上",'数据-基础表'!BB5:BK5)</f>
        <v>35666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86032.95</v>
      </c>
      <c r="E16" s="50">
        <f>SUM(E8:E15)</f>
        <v>35666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86032.95</v>
      </c>
      <c r="E19" s="53">
        <f t="shared" ref="E19:E26" si="1">SUM(F19:G19)</f>
        <v>35666</v>
      </c>
      <c r="F19" s="2795">
        <f>'数据-基础表'!I5</f>
        <v>35666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86032.95</v>
      </c>
      <c r="S19" s="1027">
        <f t="shared" si="5"/>
        <v>35666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86032.95</v>
      </c>
      <c r="E27" s="1141">
        <f>IF(SUM(E19:E26)='数据-基础表'!BA5,SUM(E19:E26),IF(F27="地上面积有误","面积有误","地下面积有误"))</f>
        <v>35666</v>
      </c>
      <c r="F27" s="1140">
        <f>IF(SUM(F19:F26)=E8,SUM(F19:F26),"地上面积有误")</f>
        <v>35666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86032.95</v>
      </c>
      <c r="S27" s="1026">
        <f>IF(SUM(S19:S26)=$E$3,SUM(S19:S26),SUM(S19:S26)&amp;"误差"&amp;ROUND(SUM(S19:S26)-E3,2))</f>
        <v>35666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86032.95</v>
      </c>
      <c r="E31" s="676">
        <f>E27+E30</f>
        <v>35666</v>
      </c>
      <c r="F31" s="677">
        <f>F27+F30</f>
        <v>35666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0</v>
      </c>
      <c r="F6" s="64">
        <f>SUMIF(项目基本情况!C$12:I$12,C6,项目基本情况!C$15:I$15)</f>
        <v>50</v>
      </c>
      <c r="G6" s="65">
        <f>IF(ISERROR(ROUND(POWER(1+H6,D6-F6)*(POWER(1+H6,F6)-1)/(POWER(1+H6,D6)-1),3)),0,ROUND(POWER(1+H6,D6-F6)*(POWER(1+H6,F6)-1)/(POWER(1+H6,D6)-1),3))</f>
        <v>1</v>
      </c>
      <c r="H6" s="732">
        <v>0.05</v>
      </c>
      <c r="I6" s="732">
        <v>5.5E-2</v>
      </c>
      <c r="J6" s="66">
        <v>7.4999999999999997E-2</v>
      </c>
      <c r="K6" s="1030">
        <f>SUMIF('数据-汇总表'!C$19:C$33,A6,'数据-汇总表'!E$19:E$33)</f>
        <v>35666</v>
      </c>
      <c r="L6" s="733">
        <v>2000</v>
      </c>
      <c r="M6" s="67">
        <f t="shared" ref="M6:M14" si="0">ROUND(K6*L6/10000,0)</f>
        <v>7133</v>
      </c>
      <c r="N6" s="731">
        <f>ROUND(1-(2023-2004)/60,2)</f>
        <v>0.68</v>
      </c>
      <c r="O6" s="67" t="str">
        <f>IF($N$5="成新度","——",ROUND(M6*N6,0))</f>
        <v>——</v>
      </c>
      <c r="P6" s="68" t="str">
        <f>IF($N$5="成新度","——",M6-O6)</f>
        <v>——</v>
      </c>
      <c r="Q6" s="734">
        <v>0.15</v>
      </c>
      <c r="R6" s="69">
        <f ca="1">SUMIF('数据-汇总表'!C$19:C$33,A6,'数据-汇总表'!R$19:R$27)</f>
        <v>86032.95</v>
      </c>
      <c r="S6" s="51">
        <f>IF('数据-汇总表'!$I$17="按面积比例",SUMIF('数据-汇总表'!C$19:C$33,A6,'数据-汇总表'!K$19:K$33),SUMIF('数据-汇总表'!C$19:C$33,A6,'数据-汇总表'!N$19:N$33))</f>
        <v>0</v>
      </c>
      <c r="T6" s="1172">
        <f>ROUND($L$14*S6/10000,0)</f>
        <v>0</v>
      </c>
      <c r="U6" s="3428">
        <v>1.2</v>
      </c>
      <c r="V6" s="70">
        <v>2.5000000000000001E-2</v>
      </c>
      <c r="W6" s="70">
        <v>0.15</v>
      </c>
      <c r="X6" s="1040"/>
      <c r="Y6" s="71">
        <f>N6</f>
        <v>0.68</v>
      </c>
      <c r="Z6" s="72"/>
      <c r="AA6" s="66"/>
      <c r="AB6" s="66"/>
      <c r="AC6" s="1040"/>
      <c r="AD6" s="73"/>
      <c r="AE6" s="1041">
        <f ca="1">IF(AN6="",0,SUMIF(INDIRECT("'"&amp;AN6&amp;"'"&amp;"!E:E"),$AE$5,INDIRECT("'"&amp;AN6&amp;"'"&amp;"!F:F")))</f>
        <v>50</v>
      </c>
      <c r="AF6" s="1348"/>
      <c r="AG6" s="138">
        <f>IF(AF6="",0,AE6-AF6)</f>
        <v>0</v>
      </c>
      <c r="AH6" s="74"/>
      <c r="AI6" s="76">
        <v>365</v>
      </c>
      <c r="AJ6" s="77"/>
      <c r="AK6" s="78">
        <v>1.4999999999999999E-2</v>
      </c>
      <c r="AL6" s="79">
        <v>1.5E-3</v>
      </c>
      <c r="AM6" s="80">
        <v>1.4999999999999999E-2</v>
      </c>
      <c r="AN6" s="1715" t="s">
        <v>3388</v>
      </c>
      <c r="AO6" s="52">
        <f ca="1">SUMIF(INDIRECT("'"&amp;AN6&amp;"'"&amp;"!A:A"),"总价",INDIRECT("'"&amp;AN6&amp;"'"&amp;"!B:B"))</f>
        <v>23037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35666</v>
      </c>
      <c r="L16" s="93">
        <f>ROUND(M16*10000/SUM(K6:K14),0)</f>
        <v>2000</v>
      </c>
      <c r="M16" s="93">
        <f>SUM(M6:M14)</f>
        <v>7133</v>
      </c>
      <c r="N16" s="94">
        <f>ROUND(SUMPRODUCT(M6:M14,N6:N14)/M16,3)</f>
        <v>0.68</v>
      </c>
      <c r="O16" s="93">
        <f>SUM(O6:O14)</f>
        <v>0</v>
      </c>
      <c r="P16" s="93">
        <f>SUM(P6:P14)</f>
        <v>0</v>
      </c>
      <c r="Q16" s="95">
        <f>ROUND(SUMPRODUCT(Q6:Q13,K6:K13)/SUMPRODUCT((Q6:Q13&gt;0)*(K6:K13)),2)</f>
        <v>0.15</v>
      </c>
      <c r="R16" s="1034">
        <f ca="1">SUM(R6:R13)</f>
        <v>86032.95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357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6" sqref="G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35666</v>
      </c>
      <c r="C1" s="2686"/>
      <c r="D1" s="2686"/>
      <c r="E1" s="2686"/>
      <c r="F1" s="2686"/>
      <c r="G1" s="2687"/>
      <c r="H1" s="2688"/>
      <c r="I1" s="2688"/>
      <c r="J1" s="2688"/>
      <c r="K1" s="2688"/>
    </row>
    <row r="2" spans="1:11" ht="16.5">
      <c r="A2" s="2512" t="s">
        <v>653</v>
      </c>
      <c r="B2" s="2512">
        <f>SUM(C14:C23)</f>
        <v>86032.95</v>
      </c>
      <c r="C2" s="2686"/>
      <c r="D2" s="2686"/>
      <c r="E2" s="2686"/>
      <c r="F2" s="2686"/>
      <c r="G2" s="2687"/>
      <c r="H2" s="2688"/>
      <c r="I2" s="2688"/>
      <c r="J2" s="2688"/>
      <c r="K2" s="2688"/>
    </row>
    <row r="3" spans="1:11" ht="16.5">
      <c r="A3" s="2512" t="s">
        <v>662</v>
      </c>
      <c r="B3" s="2514">
        <f>项目基本情况!D3</f>
        <v>44967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22247</v>
      </c>
      <c r="C5" s="2512">
        <f ca="1">IF(B5=D14,结果表!H102,ROUND(B5*10000/$B$1,0))</f>
        <v>6238</v>
      </c>
      <c r="D5" s="2512">
        <f ca="1">ROUND(B5*10000/$B$2,0)</f>
        <v>2586</v>
      </c>
      <c r="E5" s="2686"/>
      <c r="F5" s="2687"/>
      <c r="G5" s="2687"/>
      <c r="H5" s="2688"/>
      <c r="I5" s="2688"/>
      <c r="J5" s="2688"/>
      <c r="K5" s="2688"/>
    </row>
    <row r="6" spans="1:11" ht="16.5">
      <c r="A6" s="2512" t="s">
        <v>656</v>
      </c>
      <c r="B6" s="2512">
        <f ca="1">SUM(G14:G23)</f>
        <v>22247</v>
      </c>
      <c r="C6" s="2512">
        <f ca="1">IF(B6=G14,结果表!H108,ROUND(B6*10000/$B$1,0))</f>
        <v>6238</v>
      </c>
      <c r="D6" s="2512">
        <f ca="1">ROUND(B6*10000/$B$2,0)</f>
        <v>2586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35666</v>
      </c>
      <c r="C14" s="2518">
        <f>结果表!C118</f>
        <v>86032.95</v>
      </c>
      <c r="D14" s="2518">
        <f ca="1">结果表!H118</f>
        <v>22247</v>
      </c>
      <c r="E14" s="2518">
        <f ca="1">ROUND(D14*10000/B14,0)</f>
        <v>6238</v>
      </c>
      <c r="F14" s="2518">
        <f ca="1">ROUND(D14*10000/C14,0)</f>
        <v>2586</v>
      </c>
      <c r="G14" s="2518">
        <f ca="1">结果表!D122</f>
        <v>22247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I24" sqref="I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北京市漷县镇漷兴三街18号10幢房地产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3399</v>
      </c>
      <c r="D4" s="1756" t="s">
        <v>3388</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35666</v>
      </c>
      <c r="M18" s="302">
        <f>IF(C1="",'数据-汇总表'!E3,SUMIF(项目类型,C1,'数据-汇总表'!E17:E26))</f>
        <v>35666</v>
      </c>
    </row>
    <row r="19" spans="1:36" ht="15">
      <c r="A19" s="1761" t="s">
        <v>1290</v>
      </c>
      <c r="B19" s="1762" t="s">
        <v>1291</v>
      </c>
      <c r="C19" s="134">
        <f ca="1">SUMIF(INDIRECT("'"&amp;C4&amp;"'"&amp;"!A:A"),结果表!B19,INDIRECT("'"&amp;C4&amp;"'"&amp;"!B:B"))</f>
        <v>22868</v>
      </c>
      <c r="D19" s="135">
        <f ca="1">SUMIF(INDIRECT("'"&amp;D4&amp;"'"&amp;"!A:A"),结果表!B19,INDIRECT("'"&amp;D4&amp;"'"&amp;"!B:B"))</f>
        <v>23037</v>
      </c>
      <c r="E19" s="1761" t="s">
        <v>1292</v>
      </c>
      <c r="F19" s="1762" t="s">
        <v>1291</v>
      </c>
      <c r="G19" s="136">
        <f ca="1">ROUND(C19*$C$18+D19*$D$18,0)</f>
        <v>22953</v>
      </c>
      <c r="H19" s="1763" t="s">
        <v>1293</v>
      </c>
      <c r="I19" s="129"/>
      <c r="K19" s="302" t="s">
        <v>1294</v>
      </c>
      <c r="L19" s="302">
        <f>IF(C1="",'数据-汇总表'!D3,SUMIF(项目类型,C1,'数据-汇总表'!D17:D26)+SUMIF(项目类型,C1,'数据-汇总表'!H17:H27))</f>
        <v>86032.95</v>
      </c>
      <c r="M19" s="302">
        <f>IF(C1="",'数据-汇总表'!D3,SUMIF(项目类型,C1,'数据-汇总表'!D17:D26))</f>
        <v>86032.95</v>
      </c>
    </row>
    <row r="20" spans="1:36" ht="15">
      <c r="A20" s="1764"/>
      <c r="B20" s="1026" t="s">
        <v>1295</v>
      </c>
      <c r="C20" s="137">
        <f ca="1">SUMIF(INDIRECT("'"&amp;C4&amp;"'"&amp;"!A:A"),结果表!B20,INDIRECT("'"&amp;C4&amp;"'"&amp;"!B:B"))</f>
        <v>6412</v>
      </c>
      <c r="D20" s="138">
        <f ca="1">SUMIF(INDIRECT("'"&amp;D4&amp;"'"&amp;"!A:A"),结果表!B20,INDIRECT("'"&amp;D4&amp;"'"&amp;"!B:B"))</f>
        <v>6459</v>
      </c>
      <c r="E20" s="1764"/>
      <c r="F20" s="1026" t="s">
        <v>1295</v>
      </c>
      <c r="G20" s="139">
        <f ca="1">ROUND(C20*$C$18+D20*$D$18,0)</f>
        <v>6436</v>
      </c>
      <c r="H20" s="808" t="s">
        <v>1296</v>
      </c>
      <c r="I20" s="129"/>
    </row>
    <row r="21" spans="1:36" ht="15" customHeight="1" thickBot="1">
      <c r="A21" s="828"/>
      <c r="B21" s="1765" t="s">
        <v>1297</v>
      </c>
      <c r="C21" s="719">
        <f ca="1">ROUND(C19*10000/L19,0)</f>
        <v>2658</v>
      </c>
      <c r="D21" s="720">
        <f ca="1">ROUND(D19*10000/L19,0)</f>
        <v>2678</v>
      </c>
      <c r="E21" s="828"/>
      <c r="F21" s="1765" t="s">
        <v>1297</v>
      </c>
      <c r="G21" s="140">
        <f ca="1">ROUND(G19*10000/L19,0)</f>
        <v>2668</v>
      </c>
      <c r="H21" s="1766" t="s">
        <v>1296</v>
      </c>
      <c r="I21" s="129"/>
    </row>
    <row r="22" spans="1:36" ht="15" thickBot="1">
      <c r="A22" s="1688" t="s">
        <v>1298</v>
      </c>
      <c r="B22" s="1767"/>
      <c r="C22" s="1768"/>
      <c r="D22" s="721">
        <f ca="1">IF(C19&lt;D19,D19/C19-1,C19/D19-1)</f>
        <v>7.3902396361729128E-3</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706</v>
      </c>
      <c r="D24" s="1769"/>
      <c r="E24" s="129"/>
      <c r="F24" s="129"/>
      <c r="G24" s="129"/>
      <c r="H24" s="129"/>
      <c r="I24" s="129"/>
    </row>
    <row r="25" spans="1:36" ht="14.25">
      <c r="A25" s="3548"/>
      <c r="B25" s="1026" t="s">
        <v>1295</v>
      </c>
      <c r="C25" s="141">
        <f>IF(B30=0,0,C30)</f>
        <v>192</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f>'数据-汇总表'!E3</f>
        <v>35666</v>
      </c>
      <c r="C27" s="142">
        <f>基准地价修正!C34</f>
        <v>192</v>
      </c>
      <c r="D27" s="143">
        <f>ROUND(C27*B27*1.0305/10000,0)</f>
        <v>706</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f>B27</f>
        <v>35666</v>
      </c>
      <c r="C30" s="142">
        <f>C27</f>
        <v>192</v>
      </c>
      <c r="D30" s="142">
        <f>D27</f>
        <v>706</v>
      </c>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22247</v>
      </c>
      <c r="D32" s="1775" t="s">
        <v>3400</v>
      </c>
      <c r="E32" s="129"/>
      <c r="F32" s="129"/>
      <c r="G32" s="129"/>
      <c r="H32" s="129"/>
      <c r="I32" s="129"/>
    </row>
    <row r="33" spans="1:15" ht="15">
      <c r="A33" s="786" t="s">
        <v>1306</v>
      </c>
      <c r="B33" s="1776"/>
      <c r="C33" s="1777" t="s">
        <v>3401</v>
      </c>
      <c r="D33" s="1778" t="s">
        <v>3399</v>
      </c>
      <c r="E33" s="1779" t="s">
        <v>1307</v>
      </c>
      <c r="F33" s="1780" t="str">
        <f>IF(D32="楼面单价","取值（单价）","取值（总价）")</f>
        <v>取值（总价）</v>
      </c>
      <c r="G33" s="129"/>
      <c r="H33" s="129"/>
      <c r="I33" s="129"/>
    </row>
    <row r="34" spans="1:15" ht="15">
      <c r="A34" s="1781"/>
      <c r="B34" s="1782" t="s">
        <v>1308</v>
      </c>
      <c r="C34" s="148">
        <f ca="1">IF(C33="自定义",F34,C32-C35)</f>
        <v>15195</v>
      </c>
      <c r="D34" s="861">
        <f ca="1">IF(C33="自定义",ROUND(C34/C32,3),IF(C33="收益比率",SUMIF(INDIRECT("'"&amp;D33&amp;"'"&amp;"!b:b"),"土地收益比率",INDIRECT("'"&amp;D33&amp;"'"&amp;"!c:c")),SUMIF(INDIRECT("'"&amp;D33&amp;"'"&amp;"!b:b"),"土地成本比率",INDIRECT("'"&amp;D33&amp;"'"&amp;"!c:c"))))</f>
        <v>0.68300000000000005</v>
      </c>
      <c r="E34" s="1783" t="s">
        <v>1309</v>
      </c>
      <c r="F34" s="1330"/>
      <c r="G34" s="129"/>
      <c r="H34" s="129"/>
      <c r="I34" s="129"/>
    </row>
    <row r="35" spans="1:15" ht="15.75" thickBot="1">
      <c r="A35" s="1784"/>
      <c r="B35" s="1785" t="s">
        <v>1310</v>
      </c>
      <c r="C35" s="1170">
        <f ca="1">IF(C33="自定义",F35,ROUND(C32*D35,0))</f>
        <v>7052</v>
      </c>
      <c r="D35" s="1171">
        <f ca="1">IF(C33="自定义",ROUND(C35/C32,3),IF(C33="收益比率",SUMIF(INDIRECT("'"&amp;D33&amp;"'"&amp;"!b:b"),"建筑物收益比率",INDIRECT("'"&amp;D33&amp;"'"&amp;"!c:c")),SUMIF(INDIRECT("'"&amp;D33&amp;"'"&amp;"!b:b"),"建筑物成本比率",INDIRECT("'"&amp;D33&amp;"'"&amp;"!c:c"))))</f>
        <v>0.317</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22247</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44967</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22247</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22247</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1165</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1165</v>
      </c>
      <c r="E53" s="2334" t="s">
        <v>1354</v>
      </c>
      <c r="F53" s="2554">
        <f>'数据-取费表'!B41</f>
        <v>5.5000000000000007E-2</v>
      </c>
      <c r="G53" s="2555"/>
      <c r="H53" s="2544"/>
      <c r="I53" s="1807"/>
      <c r="J53" s="2523">
        <v>2</v>
      </c>
      <c r="K53" s="3604" t="s">
        <v>1357</v>
      </c>
      <c r="L53" s="3604"/>
      <c r="M53" s="2525">
        <f t="shared" ref="M53:O54" ca="1" si="0">D55</f>
        <v>11</v>
      </c>
      <c r="N53" s="2523" t="str">
        <f t="shared" si="0"/>
        <v>销售额×税（费）率</v>
      </c>
      <c r="O53" s="2526" t="str">
        <f t="shared" si="0"/>
        <v>免征</v>
      </c>
    </row>
    <row r="54" spans="1:35" ht="12" customHeight="1">
      <c r="A54" s="2335" t="s">
        <v>1358</v>
      </c>
      <c r="B54" s="3565" t="s">
        <v>2292</v>
      </c>
      <c r="C54" s="3566"/>
      <c r="D54" s="1087">
        <f ca="1">C68</f>
        <v>1165</v>
      </c>
      <c r="E54" s="327" t="s">
        <v>1359</v>
      </c>
      <c r="F54" s="2554">
        <f>'数据-取费表'!B41</f>
        <v>5.5000000000000007E-2</v>
      </c>
      <c r="G54" s="2555"/>
      <c r="H54" s="2556"/>
      <c r="I54" s="1807"/>
      <c r="J54" s="2523">
        <v>3</v>
      </c>
      <c r="K54" s="3604" t="s">
        <v>1360</v>
      </c>
      <c r="L54" s="3604"/>
      <c r="M54" s="2525">
        <f t="shared" ca="1" si="0"/>
        <v>12612</v>
      </c>
      <c r="N54" s="2523" t="str">
        <f t="shared" si="0"/>
        <v>增值额×税（费）率</v>
      </c>
      <c r="O54" s="2527" t="str">
        <f t="shared" si="0"/>
        <v>免征</v>
      </c>
    </row>
    <row r="55" spans="1:35" ht="24" customHeight="1">
      <c r="A55" s="3554" t="s">
        <v>1361</v>
      </c>
      <c r="B55" s="3555"/>
      <c r="C55" s="3555"/>
      <c r="D55" s="2324">
        <f ca="1">IF(H55="个人住宅",0,ROUND(D45*I55,0))</f>
        <v>11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212</v>
      </c>
      <c r="N55" s="2040" t="str">
        <f>E59</f>
        <v>差额计税</v>
      </c>
      <c r="O55" s="2529">
        <f>F59</f>
        <v>0.01</v>
      </c>
    </row>
    <row r="56" spans="1:35" ht="24.75">
      <c r="A56" s="3554" t="s">
        <v>1363</v>
      </c>
      <c r="B56" s="3555"/>
      <c r="C56" s="3555"/>
      <c r="D56" s="2324">
        <f ca="1">IF(H56="个人住宅",D57,D58)</f>
        <v>12612</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12835</v>
      </c>
      <c r="O57" s="2533"/>
      <c r="P57" s="2690">
        <f ca="1">N57/M49</f>
        <v>0.57693172113093905</v>
      </c>
    </row>
    <row r="58" spans="1:35" ht="24.75">
      <c r="A58" s="2335" t="s">
        <v>1352</v>
      </c>
      <c r="B58" s="3565" t="s">
        <v>1369</v>
      </c>
      <c r="C58" s="3539"/>
      <c r="D58" s="2324">
        <f ca="1">IF(H58="转让取得",C81,C97)</f>
        <v>12612</v>
      </c>
      <c r="E58" s="2334" t="s">
        <v>1364</v>
      </c>
      <c r="F58" s="302" t="s">
        <v>28</v>
      </c>
      <c r="G58" s="2555"/>
      <c r="H58" s="2558"/>
      <c r="I58" s="1808"/>
      <c r="J58" s="3604"/>
      <c r="K58" s="3604"/>
      <c r="L58" s="2530" t="s">
        <v>1370</v>
      </c>
      <c r="M58" s="2534"/>
      <c r="N58" s="2535" t="str">
        <f ca="1">NUMBERSTRING(INT(N57*10000),2)&amp;"元整"</f>
        <v>壹亿贰仟捌佰叁拾伍万元整</v>
      </c>
      <c r="O58" s="2536"/>
    </row>
    <row r="59" spans="1:35" ht="24.75" thickBot="1">
      <c r="A59" s="3607" t="s">
        <v>1371</v>
      </c>
      <c r="B59" s="3608"/>
      <c r="C59" s="3608"/>
      <c r="D59" s="2560">
        <f ca="1">IF(H59="非个人房产","——",IF(H59="个人住宅（满五唯一有凭证）",0,IF(H59="个人其他（无凭证）",ROUND(D45*F59,0),ROUND(C67*F59,0))))</f>
        <v>212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9412</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玖仟肆佰壹拾贰万元整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2639</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21188</v>
      </c>
      <c r="D63" s="167"/>
      <c r="E63" s="168"/>
      <c r="F63" s="1808"/>
      <c r="G63" s="1808"/>
      <c r="H63" s="1810"/>
      <c r="I63" s="129"/>
      <c r="J63" s="3629" t="s">
        <v>1379</v>
      </c>
      <c r="K63" s="1332" t="s">
        <v>1380</v>
      </c>
      <c r="L63" s="1332">
        <f ca="1">IF(M49&gt;10000,M49*0.5%,IF(AND(M49&gt;1000,M49&lt;=10000),M49*1%,IF(AND(M49&gt;100,M49&lt;=1000),M49*3%,IF(AND(M49&gt;10,M49&lt;=100),M49*5%,M49*8%))))</f>
        <v>111.235</v>
      </c>
      <c r="M63" s="302">
        <f ca="1">ROUND(L63,1)</f>
        <v>111.2</v>
      </c>
      <c r="N63" s="2543"/>
      <c r="Z63" s="1752"/>
      <c r="AI63" s="1753"/>
    </row>
    <row r="64" spans="1:35" ht="14.25" customHeight="1">
      <c r="A64" s="169" t="s">
        <v>325</v>
      </c>
      <c r="B64" s="170" t="s">
        <v>1381</v>
      </c>
      <c r="C64" s="2565">
        <f ca="1">D45</f>
        <v>22247</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111.235</v>
      </c>
      <c r="M64" s="302">
        <f t="shared" ref="M64:M65" ca="1" si="1">ROUND(L64,1)</f>
        <v>111.2</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22.247</v>
      </c>
      <c r="M65" s="302">
        <f t="shared" ca="1" si="1"/>
        <v>22.2</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111.235</v>
      </c>
      <c r="M66" s="302">
        <f ca="1">IF(L66&gt;0.5,0.5,ROUND(L66,0))</f>
        <v>0.5</v>
      </c>
      <c r="N66" s="2544" t="s">
        <v>1388</v>
      </c>
      <c r="Z66" s="1752"/>
      <c r="AI66" s="1753"/>
    </row>
    <row r="67" spans="1:35" ht="14.25" customHeight="1">
      <c r="A67" s="173" t="s">
        <v>328</v>
      </c>
      <c r="B67" s="174" t="s">
        <v>1389</v>
      </c>
      <c r="C67" s="2568">
        <f ca="1">C63-C66</f>
        <v>21188</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9.4747000000000003</v>
      </c>
      <c r="M67" s="302">
        <f ca="1">ROUND(L67*0.9,1)</f>
        <v>8.5</v>
      </c>
      <c r="N67" s="2543"/>
      <c r="Z67" s="1752"/>
      <c r="AI67" s="1753"/>
    </row>
    <row r="68" spans="1:35" ht="14.25" customHeight="1" thickBot="1">
      <c r="A68" s="176" t="s">
        <v>329</v>
      </c>
      <c r="B68" s="177" t="s">
        <v>1391</v>
      </c>
      <c r="C68" s="2569">
        <f ca="1">IF(C67&lt;=0,0,ROUND(C67*D68,0))</f>
        <v>1165</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111.235</v>
      </c>
      <c r="M68" s="302">
        <f ca="1">ROUND(L68,1)</f>
        <v>111.2</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365</v>
      </c>
      <c r="N69" s="2545">
        <f ca="1">M69/M49</f>
        <v>1.6406706522227716E-2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21188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106</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21082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198.88679245283018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12612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21188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106</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21082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198.88679245283018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12612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22247</v>
      </c>
      <c r="I101" s="129"/>
    </row>
    <row r="102" spans="1:35" ht="18.75" customHeight="1">
      <c r="A102" s="3585" t="s">
        <v>1433</v>
      </c>
      <c r="B102" s="2584" t="s">
        <v>1432</v>
      </c>
      <c r="C102" s="2585">
        <f ca="1">IF(D32="楼面单价",ROUND(C19,0),C19)</f>
        <v>22868</v>
      </c>
      <c r="D102" s="2586">
        <f ca="1">IF(D32="楼面单价",ROUND(D19,0),D19)</f>
        <v>23037</v>
      </c>
      <c r="E102" s="3626"/>
      <c r="F102" s="3583"/>
      <c r="G102" s="1827" t="s">
        <v>1434</v>
      </c>
      <c r="H102" s="2555">
        <f ca="1">I118</f>
        <v>6238</v>
      </c>
      <c r="I102" s="129"/>
    </row>
    <row r="103" spans="1:35" ht="42.75" customHeight="1">
      <c r="A103" s="3585"/>
      <c r="B103" s="2584" t="s">
        <v>1434</v>
      </c>
      <c r="C103" s="2587">
        <f ca="1">C20</f>
        <v>6412</v>
      </c>
      <c r="D103" s="2588">
        <f ca="1">D20</f>
        <v>6459</v>
      </c>
      <c r="E103" s="3620" t="s">
        <v>1435</v>
      </c>
      <c r="F103" s="3621"/>
      <c r="G103" s="1828" t="s">
        <v>1436</v>
      </c>
      <c r="H103" s="2595">
        <f>IF(D36="正常操作",H104+H105+H106,H105+H106)</f>
        <v>0</v>
      </c>
      <c r="I103" s="129"/>
    </row>
    <row r="104" spans="1:35" ht="18.75" customHeight="1">
      <c r="A104" s="3585" t="s">
        <v>1437</v>
      </c>
      <c r="B104" s="2589" t="s">
        <v>1432</v>
      </c>
      <c r="C104" s="2590">
        <f ca="1">H118</f>
        <v>22247</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6238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22247</v>
      </c>
      <c r="I107" s="129"/>
    </row>
    <row r="108" spans="1:35" ht="18.75" customHeight="1">
      <c r="A108" s="129"/>
      <c r="B108" s="129"/>
      <c r="C108" s="129"/>
      <c r="D108" s="129"/>
      <c r="E108" s="3582"/>
      <c r="F108" s="3583"/>
      <c r="G108" s="1827" t="s">
        <v>1434</v>
      </c>
      <c r="H108" s="2555">
        <f ca="1">IF(H107=H101,H102,ROUND(H107*10000/'数据-汇总表'!E3,0))</f>
        <v>6238</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北京市漷县镇漷兴三街18号10幢房地产</v>
      </c>
      <c r="B118" s="2329">
        <f>M18</f>
        <v>35666</v>
      </c>
      <c r="C118" s="2329">
        <f>M19</f>
        <v>86032.95</v>
      </c>
      <c r="D118" s="2329">
        <f ca="1">ROUND(IF(D32="总价",C34,E118*B118/10000),0)</f>
        <v>15195</v>
      </c>
      <c r="E118" s="2329">
        <f ca="1">ROUND(IF(C33="自定义",IF(D32="楼面单价",C34,D118*10000/B118),I118-G118),0)</f>
        <v>4261</v>
      </c>
      <c r="F118" s="2329">
        <f ca="1">ROUND(IF(D32="总价",C35,G118*B118/10000),0)</f>
        <v>7052</v>
      </c>
      <c r="G118" s="2329">
        <f ca="1">ROUND(IF(D32="楼面单价",C35,F118*10000/B118),0)</f>
        <v>1977</v>
      </c>
      <c r="H118" s="2329">
        <f ca="1">ROUND(IF(D32="总价",C32,I118*B118/10000),0)</f>
        <v>22247</v>
      </c>
      <c r="I118" s="2329">
        <f ca="1">ROUND(IF(D32="楼面单价",C32,H118*10000/B118),0)</f>
        <v>6238</v>
      </c>
    </row>
    <row r="119" spans="1:27" ht="18.75" customHeight="1">
      <c r="A119" s="3553" t="s">
        <v>1452</v>
      </c>
      <c r="B119" s="3553"/>
      <c r="C119" s="3553"/>
      <c r="D119" s="3593" t="str">
        <f ca="1">NUMBERSTRING(INT(D118*10000),2)&amp;"元整"</f>
        <v>壹亿伍仟壹佰玖拾伍万元整</v>
      </c>
      <c r="E119" s="3595"/>
      <c r="F119" s="3593" t="str">
        <f ca="1">NUMBERSTRING(INT(F118*10000),2)&amp;"元整"</f>
        <v>柒仟零伍拾贰万元整</v>
      </c>
      <c r="G119" s="3595"/>
      <c r="H119" s="3593" t="str">
        <f ca="1">NUMBERSTRING(INT(H118*10000),2)&amp;"元整"</f>
        <v>贰亿贰仟贰佰肆拾柒万元整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22247</v>
      </c>
      <c r="E122" s="3618"/>
      <c r="F122" s="3618"/>
      <c r="G122" s="3618"/>
      <c r="H122" s="3618"/>
      <c r="I122" s="3619"/>
      <c r="AA122" s="725"/>
    </row>
    <row r="123" spans="1:27" ht="18.75" customHeight="1">
      <c r="A123" s="3553" t="s">
        <v>1452</v>
      </c>
      <c r="B123" s="3553"/>
      <c r="C123" s="3553"/>
      <c r="D123" s="3593" t="str">
        <f ca="1">NUMBERSTRING(INT(D122*10000),2)&amp;"元整"</f>
        <v>贰亿贰仟贰佰肆拾柒万元整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2" sqref="G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22868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11678</v>
      </c>
      <c r="D5" s="211" t="s">
        <v>1469</v>
      </c>
      <c r="E5" s="212" t="s">
        <v>1470</v>
      </c>
      <c r="F5" s="212" t="s">
        <v>1471</v>
      </c>
      <c r="G5" s="213"/>
    </row>
    <row r="6" spans="1:9" s="214" customFormat="1" ht="13.5" customHeight="1">
      <c r="A6" s="778" t="s">
        <v>1472</v>
      </c>
      <c r="B6" s="215" t="s">
        <v>1473</v>
      </c>
      <c r="C6" s="216">
        <f>基准地价修正!B2</f>
        <v>10986</v>
      </c>
      <c r="D6" s="217"/>
      <c r="E6" s="218"/>
      <c r="F6" s="218"/>
      <c r="G6" s="219"/>
    </row>
    <row r="7" spans="1:9" s="214" customFormat="1" ht="13.5" customHeight="1">
      <c r="A7" s="778" t="s">
        <v>1474</v>
      </c>
      <c r="B7" s="215" t="s">
        <v>1475</v>
      </c>
      <c r="C7" s="220">
        <f>ROUND(C6*F7,0)</f>
        <v>335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357</v>
      </c>
      <c r="D8" s="222"/>
      <c r="E8" s="220"/>
      <c r="F8" s="221"/>
      <c r="G8" s="1856" t="s">
        <v>3396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3397</v>
      </c>
      <c r="H9" s="1137"/>
      <c r="I9" s="1858" t="s">
        <v>1479</v>
      </c>
    </row>
    <row r="10" spans="1:9" s="214" customFormat="1" ht="13.5" customHeight="1">
      <c r="A10" s="779" t="s">
        <v>356</v>
      </c>
      <c r="B10" s="224" t="s">
        <v>1480</v>
      </c>
      <c r="C10" s="225">
        <f ca="1">ROUND(D10*E10/10000,0)</f>
        <v>357</v>
      </c>
      <c r="D10" s="845">
        <f ca="1">IF(B1="",'数据-汇总表'!E6,IF(INDIRECT("'数据-取费表'!c"&amp;$G$1)="住宅",INDIRECT("'数据-取费表'!s"&amp;$G$1),INDIRECT("'数据-取费表'!k"&amp;$G$1)+INDIRECT("'数据-取费表'!s"&amp;$G$1)))</f>
        <v>35666</v>
      </c>
      <c r="E10" s="225">
        <f>'数据-取费表'!B28</f>
        <v>100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35666</v>
      </c>
      <c r="E19" s="211">
        <f>'数据-取费表'!B31</f>
        <v>200</v>
      </c>
      <c r="F19" s="231"/>
      <c r="G19" s="1856" t="s">
        <v>3398</v>
      </c>
    </row>
    <row r="20" spans="1:7" s="214" customFormat="1" ht="13.5" customHeight="1">
      <c r="A20" s="255" t="s">
        <v>1493</v>
      </c>
      <c r="B20" s="210" t="s">
        <v>1494</v>
      </c>
      <c r="C20" s="232">
        <f ca="1">ROUND((C5+C19)*F20,0)</f>
        <v>234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741</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734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1787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1787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8167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7133</v>
      </c>
      <c r="D34" s="217"/>
      <c r="E34" s="220"/>
      <c r="F34" s="257">
        <f ca="1">IF('数据-取费表'!B24=0,1,IF(B1="",'数据-取费表'!N16,INDIRECT("'数据-取费表'!n"&amp;$G$1)))</f>
        <v>1</v>
      </c>
      <c r="G34" s="219" t="s">
        <v>1526</v>
      </c>
    </row>
    <row r="35" spans="1:7" ht="13.5" customHeight="1">
      <c r="A35" s="780" t="s">
        <v>351</v>
      </c>
      <c r="B35" s="215" t="s">
        <v>1527</v>
      </c>
      <c r="C35" s="220">
        <f ca="1">ROUND(C34*F35,0)</f>
        <v>214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713</v>
      </c>
      <c r="D37" s="217">
        <f ca="1">D19</f>
        <v>35666</v>
      </c>
      <c r="E37" s="249">
        <f>'数据-取费表'!B35</f>
        <v>200</v>
      </c>
      <c r="F37" s="259"/>
      <c r="G37" s="261" t="s">
        <v>1532</v>
      </c>
    </row>
    <row r="38" spans="1:7" ht="13.5" customHeight="1">
      <c r="A38" s="780" t="s">
        <v>354</v>
      </c>
      <c r="B38" s="215" t="s">
        <v>1533</v>
      </c>
      <c r="C38" s="220">
        <f ca="1">ROUND(C34*F38,0)</f>
        <v>107</v>
      </c>
      <c r="D38" s="220"/>
      <c r="E38" s="220"/>
      <c r="F38" s="259">
        <f>'数据-取费表'!B36</f>
        <v>1.4999999999999999E-2</v>
      </c>
      <c r="G38" s="219" t="s">
        <v>1528</v>
      </c>
    </row>
    <row r="39" spans="1:7" s="214" customFormat="1" ht="13.5" customHeight="1">
      <c r="A39" s="255" t="s">
        <v>1534</v>
      </c>
      <c r="B39" s="210" t="s">
        <v>1535</v>
      </c>
      <c r="C39" s="232">
        <f ca="1">ROUND(C33*F20,0)</f>
        <v>163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253</v>
      </c>
      <c r="D42" s="238"/>
      <c r="E42" s="238"/>
      <c r="F42" s="239"/>
      <c r="G42" s="3633" t="s">
        <v>1544</v>
      </c>
    </row>
    <row r="43" spans="1:7" ht="13.5" customHeight="1">
      <c r="A43" s="780" t="s">
        <v>347</v>
      </c>
      <c r="B43" s="215" t="s">
        <v>1545</v>
      </c>
      <c r="C43" s="238">
        <f ca="1">ROUND(IF('数据-取费表'!B22&lt;=1,C39*F22*'数据-取费表'!B21/2,C39*(POWER((1+F22),'数据-取费表'!B21/2)-1)),0)</f>
        <v>5</v>
      </c>
      <c r="D43" s="238"/>
      <c r="E43" s="238"/>
      <c r="F43" s="239"/>
      <c r="G43" s="3634"/>
    </row>
    <row r="44" spans="1:7" ht="13.5" customHeight="1">
      <c r="A44" s="780" t="s">
        <v>348</v>
      </c>
      <c r="B44" s="215" t="s">
        <v>1546</v>
      </c>
      <c r="C44" s="238">
        <f ca="1">ROUND(IF('数据-取费表'!B22&lt;=1,C40*F22*'数据-取费表'!B21/2,C40*(POWER((1+F22),'数据-取费表'!B21/2)-1)),4)</f>
        <v>5.9999999999999995E-4</v>
      </c>
      <c r="D44" s="238"/>
      <c r="E44" s="238"/>
      <c r="F44" s="239"/>
      <c r="G44" s="3635"/>
    </row>
    <row r="45" spans="1:7" s="214" customFormat="1" ht="13.5" customHeight="1">
      <c r="A45" s="255" t="s">
        <v>1547</v>
      </c>
      <c r="B45" s="244" t="s">
        <v>1513</v>
      </c>
      <c r="C45" s="245">
        <f ca="1">C46</f>
        <v>1250</v>
      </c>
      <c r="D45" s="235">
        <f ca="1">C47</f>
        <v>3.0000000000000001E-3</v>
      </c>
      <c r="E45" s="236" t="s">
        <v>1539</v>
      </c>
      <c r="F45" s="246">
        <f ca="1">F27</f>
        <v>0.15</v>
      </c>
      <c r="G45" s="247" t="s">
        <v>1548</v>
      </c>
    </row>
    <row r="46" spans="1:7" s="214" customFormat="1" ht="13.5" customHeight="1">
      <c r="A46" s="780" t="s">
        <v>346</v>
      </c>
      <c r="B46" s="248" t="s">
        <v>1549</v>
      </c>
      <c r="C46" s="249">
        <f ca="1">ROUND((C33+C39)*F27,0)</f>
        <v>1250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10647</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7240</v>
      </c>
      <c r="D51" s="232"/>
      <c r="E51" s="232"/>
      <c r="F51" s="264"/>
      <c r="G51" s="234" t="s">
        <v>1560</v>
      </c>
    </row>
    <row r="52" spans="1:7" s="208" customFormat="1" ht="16.5" thickBot="1">
      <c r="A52" s="265" t="s">
        <v>1561</v>
      </c>
      <c r="B52" s="266"/>
      <c r="C52" s="267">
        <f ca="1">C31+C51</f>
        <v>22868</v>
      </c>
      <c r="D52" s="266"/>
      <c r="E52" s="266"/>
      <c r="F52" s="266"/>
      <c r="G52" s="268"/>
    </row>
    <row r="55" spans="1:7" ht="15">
      <c r="B55" s="270" t="s">
        <v>1562</v>
      </c>
      <c r="C55" s="271"/>
    </row>
    <row r="56" spans="1:7">
      <c r="B56" s="273" t="s">
        <v>802</v>
      </c>
      <c r="C56" s="275">
        <f ca="1">1-C57</f>
        <v>0.68300000000000005</v>
      </c>
    </row>
    <row r="57" spans="1:7">
      <c r="B57" s="273" t="s">
        <v>803</v>
      </c>
      <c r="C57" s="274">
        <f ca="1">ROUND(C51/C52,3)</f>
        <v>0.317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北京市漷县镇漷兴三街18号10幢房地产抵押价值预评估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8672.2955999999995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3566600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3566600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3566600</v>
      </c>
      <c r="D10" s="845">
        <f ca="1">IF(B1="",'数据-汇总表'!E6,IF(INDIRECT("'数据-取费表'!c"&amp;$G$1)="住宅",INDIRECT("'数据-取费表'!s"&amp;$G$1),INDIRECT("'数据-取费表'!k"&amp;$G$1)+INDIRECT("'数据-取费表'!s"&amp;$G$1)))</f>
        <v>35666</v>
      </c>
      <c r="E10" s="225">
        <f>'数据-取费表'!B28</f>
        <v>100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7133200</v>
      </c>
      <c r="D19" s="849">
        <f ca="1">D9+D10</f>
        <v>35666</v>
      </c>
      <c r="E19" s="211">
        <f>'数据-取费表'!B31</f>
        <v>200</v>
      </c>
      <c r="F19" s="231"/>
      <c r="G19" s="1856"/>
    </row>
    <row r="20" spans="1:7" s="214" customFormat="1" ht="13.5" customHeight="1">
      <c r="A20" s="255" t="s">
        <v>1574</v>
      </c>
      <c r="B20" s="210" t="s">
        <v>1575</v>
      </c>
      <c r="C20" s="232">
        <f ca="1">ROUND((C5+C19)*F20,0)</f>
        <v>213996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679553</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224309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448617</v>
      </c>
      <c r="D24" s="238"/>
      <c r="E24" s="238"/>
      <c r="F24" s="239"/>
      <c r="G24" s="240" t="s">
        <v>1586</v>
      </c>
    </row>
    <row r="25" spans="1:7" s="214" customFormat="1" ht="24">
      <c r="A25" s="780" t="s">
        <v>1476</v>
      </c>
      <c r="B25" s="215" t="s">
        <v>1587</v>
      </c>
      <c r="C25" s="1128">
        <f ca="1">ROUND(IF('数据-取费表'!B22&lt;=1,C20*F22*'数据-取费表'!B22/2,C20*(POWER((1+F22),'数据-取费表'!B22/2)-1)),0)</f>
        <v>6627</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1637069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1637069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14318634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81675140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71332000</v>
      </c>
      <c r="D34" s="217"/>
      <c r="E34" s="220"/>
      <c r="F34" s="257"/>
      <c r="G34" s="219"/>
    </row>
    <row r="35" spans="1:7" ht="13.5" customHeight="1">
      <c r="A35" s="780" t="s">
        <v>351</v>
      </c>
      <c r="B35" s="215" t="s">
        <v>1527</v>
      </c>
      <c r="C35" s="220">
        <f ca="1">ROUND(C34*F35,0)</f>
        <v>2139960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7133200</v>
      </c>
      <c r="D37" s="217">
        <f ca="1">D19</f>
        <v>35666</v>
      </c>
      <c r="E37" s="249">
        <f>'数据-取费表'!B35</f>
        <v>200</v>
      </c>
      <c r="F37" s="259"/>
      <c r="G37" s="261"/>
    </row>
    <row r="38" spans="1:7" ht="13.5" customHeight="1">
      <c r="A38" s="780" t="s">
        <v>354</v>
      </c>
      <c r="B38" s="215" t="s">
        <v>1533</v>
      </c>
      <c r="C38" s="220">
        <f ca="1">ROUND(C34*F38,0)</f>
        <v>1069980</v>
      </c>
      <c r="D38" s="220"/>
      <c r="E38" s="220"/>
      <c r="F38" s="259">
        <f>'数据-取费表'!B36</f>
        <v>1.4999999999999999E-2</v>
      </c>
      <c r="G38" s="219" t="s">
        <v>1528</v>
      </c>
    </row>
    <row r="39" spans="1:7" s="214" customFormat="1" ht="13.5" customHeight="1">
      <c r="A39" s="255" t="s">
        <v>1534</v>
      </c>
      <c r="B39" s="210" t="s">
        <v>1535</v>
      </c>
      <c r="C39" s="232">
        <f ca="1">ROUND(C33*F20,0)</f>
        <v>1633503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2579757</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2529174</v>
      </c>
      <c r="D42" s="238"/>
      <c r="E42" s="238"/>
      <c r="F42" s="239"/>
      <c r="G42" s="3633" t="s">
        <v>1591</v>
      </c>
    </row>
    <row r="43" spans="1:7" ht="13.5" customHeight="1">
      <c r="A43" s="780" t="s">
        <v>347</v>
      </c>
      <c r="B43" s="215" t="s">
        <v>1545</v>
      </c>
      <c r="C43" s="238">
        <f ca="1">ROUND(IF('数据-取费表'!B22&lt;=1,C39*F22*'数据-取费表'!B20/2,C39*(POWER((1+F22),'数据-取费表'!B20/2)-1)),0)</f>
        <v>50583</v>
      </c>
      <c r="D43" s="238"/>
      <c r="E43" s="238"/>
      <c r="F43" s="239"/>
      <c r="G43" s="3634"/>
    </row>
    <row r="44" spans="1:7" ht="13.5" customHeight="1">
      <c r="A44" s="780" t="s">
        <v>348</v>
      </c>
      <c r="B44" s="215" t="s">
        <v>1546</v>
      </c>
      <c r="C44" s="238">
        <f ca="1">ROUND(IF('数据-取费表'!B22&lt;=1,C40*F22*'数据-取费表'!B20/2,C40*(POWER((1+F22),'数据-取费表'!B20/2)-1)),4)</f>
        <v>5.9999999999999995E-4</v>
      </c>
      <c r="D44" s="238"/>
      <c r="E44" s="238"/>
      <c r="F44" s="239"/>
      <c r="G44" s="3635"/>
    </row>
    <row r="45" spans="1:7" s="214" customFormat="1" ht="13.5" customHeight="1">
      <c r="A45" s="255" t="s">
        <v>1547</v>
      </c>
      <c r="B45" s="244" t="s">
        <v>1513</v>
      </c>
      <c r="C45" s="245">
        <f ca="1">C46</f>
        <v>12496296</v>
      </c>
      <c r="D45" s="235">
        <f ca="1">C47</f>
        <v>3.0000000000000001E-3</v>
      </c>
      <c r="E45" s="236" t="s">
        <v>1539</v>
      </c>
      <c r="F45" s="246">
        <f ca="1">F27</f>
        <v>0.15</v>
      </c>
      <c r="G45" s="247" t="s">
        <v>1548</v>
      </c>
    </row>
    <row r="46" spans="1:7" s="214" customFormat="1" ht="13.5" customHeight="1">
      <c r="A46" s="780" t="s">
        <v>346</v>
      </c>
      <c r="B46" s="248" t="s">
        <v>1549</v>
      </c>
      <c r="C46" s="249">
        <f ca="1">ROUND((C33+C39)*F27,0)</f>
        <v>12496296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106476944</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72404322</v>
      </c>
      <c r="D51" s="232"/>
      <c r="E51" s="232"/>
      <c r="F51" s="264"/>
      <c r="G51" s="234" t="s">
        <v>1560</v>
      </c>
    </row>
    <row r="52" spans="1:7" s="208" customFormat="1" ht="16.5" thickBot="1">
      <c r="A52" s="265" t="s">
        <v>1561</v>
      </c>
      <c r="B52" s="266"/>
      <c r="C52" s="267">
        <f ca="1">C31+C51</f>
        <v>86722956</v>
      </c>
      <c r="D52" s="266"/>
      <c r="E52" s="266"/>
      <c r="F52" s="266"/>
      <c r="G52" s="268"/>
    </row>
    <row r="55" spans="1:7" ht="15">
      <c r="B55" s="270" t="s">
        <v>1562</v>
      </c>
      <c r="C55" s="271"/>
    </row>
    <row r="56" spans="1:7">
      <c r="B56" s="273" t="s">
        <v>802</v>
      </c>
      <c r="C56" s="275">
        <f ca="1">1-C57</f>
        <v>0.16500000000000004</v>
      </c>
    </row>
    <row r="57" spans="1:7">
      <c r="B57" s="273" t="s">
        <v>803</v>
      </c>
      <c r="C57" s="274">
        <f ca="1">ROUND(C51/C52,3)</f>
        <v>0.83499999999999996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35666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35666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357</v>
      </c>
      <c r="D20" s="846">
        <f ca="1">IF(C1="",'数据-汇总表'!E6,IF(INDIRECT("'数据-取费表'!c"&amp;$K$1)="住宅",INDIRECT("'数据-取费表'!s"&amp;$K$1),INDIRECT("'数据-取费表'!k"&amp;$K$1)+INDIRECT("'数据-取费表'!s"&amp;$K$1)))</f>
        <v>35666</v>
      </c>
      <c r="E20" s="21">
        <f>'数据-取费表'!B28</f>
        <v>100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H24" sqref="H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86032.95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10986</v>
      </c>
      <c r="C2" s="1999" t="s">
        <v>1935</v>
      </c>
      <c r="D2" s="2000" t="s">
        <v>1936</v>
      </c>
      <c r="E2" s="3422"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Ⅷ-通2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1969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1277</v>
      </c>
      <c r="C3" s="1999" t="s">
        <v>1941</v>
      </c>
      <c r="D3" s="2000" t="s">
        <v>1942</v>
      </c>
      <c r="E3" s="3420" t="s">
        <v>2482</v>
      </c>
      <c r="F3" s="2004" t="s">
        <v>3392</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1518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3"/>
      <c r="B4" s="3644"/>
      <c r="C4" s="3644"/>
      <c r="D4" s="3645"/>
      <c r="E4" s="3645"/>
      <c r="F4" s="3645"/>
      <c r="G4" s="3645"/>
      <c r="H4" s="3645"/>
      <c r="I4" s="3645"/>
      <c r="J4" s="36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1238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1140</v>
      </c>
      <c r="D5" s="1339">
        <f>ROUND(C6*C17+C20,0)</f>
        <v>1140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1051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958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1140</v>
      </c>
      <c r="N8" s="866">
        <f>SUMPRODUCT((因素修正幅度!B234:B276=I2)*(因素修正幅度!C3:G3=E2)*(因素修正幅度!C234:G276))</f>
        <v>0.15</v>
      </c>
      <c r="O8" s="1119"/>
      <c r="P8" s="1119"/>
      <c r="Q8" s="1119"/>
      <c r="R8" s="1212">
        <v>7</v>
      </c>
      <c r="S8" s="1213"/>
      <c r="T8" s="3361">
        <f t="shared" si="0"/>
        <v>0</v>
      </c>
      <c r="U8" s="1213"/>
      <c r="V8" s="3361">
        <f t="shared" si="1"/>
        <v>0</v>
      </c>
      <c r="W8" s="3640" t="s">
        <v>1960</v>
      </c>
      <c r="X8" s="36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2"/>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7" t="s">
        <v>3261</v>
      </c>
      <c r="B20" s="167" t="s">
        <v>1994</v>
      </c>
      <c r="C20" s="3325">
        <f>ROUND(IF(F21="与级别开发程度一致",0,(G21-E21)/C21),0)</f>
        <v>0</v>
      </c>
      <c r="D20" s="3341" t="s">
        <v>1998</v>
      </c>
      <c r="E20" s="3342"/>
      <c r="F20" s="3653" t="s">
        <v>1995</v>
      </c>
      <c r="G20" s="365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48"/>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44967</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存贷款利率!E22/100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1.0667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10986</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1277</v>
      </c>
      <c r="D33" s="2098">
        <f>'数据-汇总表'!D3</f>
        <v>86032.95</v>
      </c>
      <c r="E33" s="773">
        <f>ROUND(C33*D33/10000,0)</f>
        <v>10986</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192</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1"/>
      <c r="B37" s="2113" t="s">
        <v>2036</v>
      </c>
      <c r="C37" s="175">
        <f>ROUND(D5*C22*C23*C24*C28*F37,0)</f>
        <v>639</v>
      </c>
      <c r="D37" s="2098"/>
      <c r="E37" s="171">
        <f>ROUND(C37*D37/10000,0)</f>
        <v>0</v>
      </c>
      <c r="F37" s="171">
        <f>SUMIF(修正!A57:A68,G2,修正!B57:B68)</f>
        <v>0.5</v>
      </c>
      <c r="G37" s="171">
        <f>ROUND(IF(E2="工业",C37*$M$42,C37*$M$41),0)</f>
        <v>96</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2"/>
      <c r="B38" s="2041" t="s">
        <v>2037</v>
      </c>
      <c r="C38" s="175">
        <f>ROUND(D5*C22*C23*C24*C28*F38,0)</f>
        <v>255</v>
      </c>
      <c r="D38" s="2098"/>
      <c r="E38" s="171">
        <f t="shared" ref="E38:E42" si="4">ROUND(C38*D38/10000,0)</f>
        <v>0</v>
      </c>
      <c r="F38" s="171">
        <f>SUMIF(修正!A57:A68,G2,修正!C57:C68)</f>
        <v>0.2</v>
      </c>
      <c r="G38" s="171">
        <f>ROUND(IF(E2="工业",C38*$M$42,C38*$M$41),0)</f>
        <v>38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2"/>
      <c r="B39" s="2041" t="s">
        <v>3266</v>
      </c>
      <c r="C39" s="175">
        <f>ROUND(D5*C22*C23*C24*C28*F39,0)</f>
        <v>255</v>
      </c>
      <c r="D39" s="2098"/>
      <c r="E39" s="171">
        <f t="shared" si="4"/>
        <v>0</v>
      </c>
      <c r="F39" s="171">
        <f>SUMIF(修正!A57:A68,G2,修正!D57:D68)</f>
        <v>0.2</v>
      </c>
      <c r="G39" s="171">
        <f>ROUND(IF(E2="工业",C39*$M$42,C39*$M$41),0)</f>
        <v>38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255</v>
      </c>
      <c r="D40" s="2098"/>
      <c r="E40" s="171">
        <f t="shared" si="4"/>
        <v>0</v>
      </c>
      <c r="F40" s="175">
        <f>SUMIF(修正!A57:A68,G2,修正!E57:E68)</f>
        <v>0.2</v>
      </c>
      <c r="G40" s="171">
        <f>ROUND(IF(E2="工业",C40*$M$42,C40*$M$41),0)</f>
        <v>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1.0667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3394</v>
      </c>
      <c r="D83" s="1065">
        <f t="shared" ref="D83:D90" si="22">SUMIF($J$82:$N$82,C83,J83:N83)</f>
        <v>1.95E-2</v>
      </c>
      <c r="E83" s="744">
        <f>ROUND(SUM(D83:D90),4)</f>
        <v>6.6699999999999995E-2</v>
      </c>
      <c r="F83" s="1814">
        <f>IF(E2="工业",SUMIF(L1:L12,G2,N1:N12),"——")</f>
        <v>0.15</v>
      </c>
      <c r="G83" s="1063">
        <f>H83</f>
        <v>1.95E-2</v>
      </c>
      <c r="H83" s="1066">
        <f t="shared" ref="H83:H90" si="23">IFERROR(ROUNDDOWN($F$83*I83/2,4),"——")</f>
        <v>1.95E-2</v>
      </c>
      <c r="I83" s="3367">
        <v>0.26</v>
      </c>
      <c r="J83" s="1064">
        <f t="shared" ref="J83:J90" si="24">K83+$G83</f>
        <v>3.9E-2</v>
      </c>
      <c r="K83" s="1064">
        <f t="shared" ref="K83:K90" si="25">$L83+$G83</f>
        <v>1.95E-2</v>
      </c>
      <c r="L83" s="1064">
        <v>0</v>
      </c>
      <c r="M83" s="1064">
        <f t="shared" ref="M83:N90" si="26">L83-$G83</f>
        <v>-1.95E-2</v>
      </c>
      <c r="N83" s="1064">
        <f t="shared" si="26"/>
        <v>-3.9E-2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3394</v>
      </c>
      <c r="D84" s="1065">
        <f t="shared" si="22"/>
        <v>2.2499999999999999E-2</v>
      </c>
      <c r="E84" s="747"/>
      <c r="F84" s="1814"/>
      <c r="G84" s="1063">
        <f t="shared" ref="G84:G90" si="27">H84</f>
        <v>2.2499999999999999E-2</v>
      </c>
      <c r="H84" s="1066">
        <f t="shared" si="23"/>
        <v>2.2499999999999999E-2</v>
      </c>
      <c r="I84" s="3367">
        <v>0.3</v>
      </c>
      <c r="J84" s="1064">
        <f t="shared" si="24"/>
        <v>4.4999999999999998E-2</v>
      </c>
      <c r="K84" s="1064">
        <f t="shared" si="25"/>
        <v>2.2499999999999999E-2</v>
      </c>
      <c r="L84" s="1064">
        <v>0</v>
      </c>
      <c r="M84" s="1064">
        <f t="shared" si="26"/>
        <v>-2.2499999999999999E-2</v>
      </c>
      <c r="N84" s="1064">
        <f t="shared" si="26"/>
        <v>-4.4999999999999998E-2</v>
      </c>
      <c r="Z84" s="1998"/>
      <c r="AA84" s="2053"/>
      <c r="AG84" s="1121"/>
      <c r="AK84" s="2053"/>
    </row>
    <row r="85" spans="1:37" ht="36">
      <c r="A85" s="3369" t="s">
        <v>3277</v>
      </c>
      <c r="B85" s="2134">
        <f>估价对象房地状况!G17</f>
        <v>0</v>
      </c>
      <c r="C85" s="2044" t="s">
        <v>3394</v>
      </c>
      <c r="D85" s="1065">
        <f t="shared" si="22"/>
        <v>7.4999999999999997E-3</v>
      </c>
      <c r="E85" s="747"/>
      <c r="F85" s="1814"/>
      <c r="G85" s="1063">
        <f t="shared" si="27"/>
        <v>7.4999999999999997E-3</v>
      </c>
      <c r="H85" s="1066">
        <f t="shared" si="23"/>
        <v>7.4999999999999997E-3</v>
      </c>
      <c r="I85" s="3367">
        <v>0.1</v>
      </c>
      <c r="J85" s="1064">
        <f t="shared" si="24"/>
        <v>1.4999999999999999E-2</v>
      </c>
      <c r="K85" s="1064">
        <f t="shared" si="25"/>
        <v>7.4999999999999997E-3</v>
      </c>
      <c r="L85" s="1064">
        <v>0</v>
      </c>
      <c r="M85" s="1064">
        <f t="shared" si="26"/>
        <v>-7.4999999999999997E-3</v>
      </c>
      <c r="N85" s="1064">
        <f t="shared" si="26"/>
        <v>-1.4999999999999999E-2</v>
      </c>
      <c r="Z85" s="1998"/>
      <c r="AA85" s="2053"/>
      <c r="AG85" s="1121"/>
      <c r="AK85" s="2053"/>
    </row>
    <row r="86" spans="1:37" ht="14.25">
      <c r="A86" s="2130" t="s">
        <v>2067</v>
      </c>
      <c r="B86" s="2134">
        <f>估价对象房地状况!G22</f>
        <v>0</v>
      </c>
      <c r="C86" s="2044" t="s">
        <v>3394</v>
      </c>
      <c r="D86" s="1065">
        <f t="shared" si="22"/>
        <v>3.7000000000000002E-3</v>
      </c>
      <c r="E86" s="747"/>
      <c r="F86" s="1814"/>
      <c r="G86" s="1063">
        <f t="shared" si="27"/>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3395</v>
      </c>
      <c r="D87" s="1065">
        <f t="shared" si="22"/>
        <v>0</v>
      </c>
      <c r="E87" s="747"/>
      <c r="F87" s="1814"/>
      <c r="G87" s="1063">
        <f t="shared" si="27"/>
        <v>4.4999999999999997E-3</v>
      </c>
      <c r="H87" s="1066">
        <f t="shared" si="23"/>
        <v>4.4999999999999997E-3</v>
      </c>
      <c r="I87" s="3367">
        <v>0.06</v>
      </c>
      <c r="J87" s="1064">
        <f t="shared" si="24"/>
        <v>8.9999999999999993E-3</v>
      </c>
      <c r="K87" s="1064">
        <f t="shared" si="25"/>
        <v>4.4999999999999997E-3</v>
      </c>
      <c r="L87" s="1064">
        <v>0</v>
      </c>
      <c r="M87" s="1064">
        <f t="shared" si="26"/>
        <v>-4.4999999999999997E-3</v>
      </c>
      <c r="N87" s="1064">
        <f t="shared" si="26"/>
        <v>-8.9999999999999993E-3</v>
      </c>
    </row>
    <row r="88" spans="1:37" ht="25.5">
      <c r="A88" s="2130" t="s">
        <v>2060</v>
      </c>
      <c r="B88" s="1326" t="str">
        <f>估价对象房地状况!G20</f>
        <v>估价对象所在区域基础设施水平</v>
      </c>
      <c r="C88" s="2044" t="s">
        <v>3394</v>
      </c>
      <c r="D88" s="1065">
        <f t="shared" si="22"/>
        <v>8.9999999999999993E-3</v>
      </c>
      <c r="E88" s="747"/>
      <c r="F88" s="1814"/>
      <c r="G88" s="1063">
        <f t="shared" si="27"/>
        <v>8.9999999999999993E-3</v>
      </c>
      <c r="H88" s="1066">
        <f t="shared" si="23"/>
        <v>8.9999999999999993E-3</v>
      </c>
      <c r="I88" s="3367">
        <v>0.12</v>
      </c>
      <c r="J88" s="1064">
        <f t="shared" si="24"/>
        <v>1.7999999999999999E-2</v>
      </c>
      <c r="K88" s="1064">
        <f t="shared" si="25"/>
        <v>8.9999999999999993E-3</v>
      </c>
      <c r="L88" s="1064">
        <v>0</v>
      </c>
      <c r="M88" s="1064">
        <f t="shared" si="26"/>
        <v>-8.9999999999999993E-3</v>
      </c>
      <c r="N88" s="1064">
        <f t="shared" si="26"/>
        <v>-1.7999999999999999E-2</v>
      </c>
    </row>
    <row r="89" spans="1:37" ht="24">
      <c r="A89" s="2130" t="s">
        <v>2057</v>
      </c>
      <c r="B89" s="2136" t="s">
        <v>2071</v>
      </c>
      <c r="C89" s="2044" t="s">
        <v>3394</v>
      </c>
      <c r="D89" s="1065">
        <f t="shared" si="22"/>
        <v>4.4999999999999997E-3</v>
      </c>
      <c r="E89" s="747"/>
      <c r="F89" s="1814"/>
      <c r="G89" s="1063">
        <f t="shared" si="27"/>
        <v>4.4999999999999997E-3</v>
      </c>
      <c r="H89" s="1066">
        <f t="shared" si="23"/>
        <v>4.4999999999999997E-3</v>
      </c>
      <c r="I89" s="3367">
        <v>0.06</v>
      </c>
      <c r="J89" s="1064">
        <f t="shared" si="24"/>
        <v>8.9999999999999993E-3</v>
      </c>
      <c r="K89" s="1064">
        <f t="shared" si="25"/>
        <v>4.4999999999999997E-3</v>
      </c>
      <c r="L89" s="1064">
        <v>0</v>
      </c>
      <c r="M89" s="1064">
        <f t="shared" si="26"/>
        <v>-4.4999999999999997E-3</v>
      </c>
      <c r="N89" s="1064">
        <f t="shared" si="26"/>
        <v>-8.9999999999999993E-3</v>
      </c>
    </row>
    <row r="90" spans="1:37" ht="39" thickBot="1">
      <c r="A90" s="2138" t="s">
        <v>2072</v>
      </c>
      <c r="B90" s="2143" t="str">
        <f>估价对象房地状况!G18</f>
        <v>该园区内是否有污染型企业，绿化情况，卫生条件，整体环境状况判断</v>
      </c>
      <c r="C90" s="2044" t="s">
        <v>3395</v>
      </c>
      <c r="D90" s="1065">
        <f t="shared" si="22"/>
        <v>0</v>
      </c>
      <c r="E90" s="748"/>
      <c r="F90" s="1814"/>
      <c r="G90" s="1063">
        <f t="shared" si="27"/>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49" t="s">
        <v>3301</v>
      </c>
      <c r="B103" s="3649"/>
      <c r="C103" s="3649"/>
      <c r="D103" s="3649"/>
      <c r="E103" s="3649"/>
      <c r="F103" s="3649"/>
      <c r="G103" s="3649"/>
      <c r="H103" s="3649"/>
      <c r="I103" s="3649"/>
      <c r="J103" s="3649"/>
      <c r="K103" s="3390"/>
      <c r="L103" s="3390"/>
      <c r="M103" s="3390"/>
      <c r="N103" s="3390"/>
    </row>
    <row r="104" spans="1:14">
      <c r="A104" s="3650" t="s">
        <v>3302</v>
      </c>
      <c r="B104" s="3650" t="s">
        <v>3303</v>
      </c>
      <c r="C104" s="3391" t="s">
        <v>3304</v>
      </c>
      <c r="D104" s="3392"/>
      <c r="E104" s="3392"/>
      <c r="F104" s="3392"/>
      <c r="G104" s="3392"/>
      <c r="H104" s="3392"/>
      <c r="I104" s="3392"/>
      <c r="J104" s="3393"/>
      <c r="K104" s="3394"/>
      <c r="L104" s="3394"/>
      <c r="M104" s="3394"/>
      <c r="N104" s="3394"/>
    </row>
    <row r="105" spans="1:14">
      <c r="A105" s="3650"/>
      <c r="B105" s="3650"/>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636"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7"/>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3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39" t="s">
        <v>3318</v>
      </c>
      <c r="B113" s="3639"/>
      <c r="C113" s="3639"/>
      <c r="D113" s="3639"/>
      <c r="E113" s="3639"/>
      <c r="F113" s="3639"/>
      <c r="G113" s="3639"/>
      <c r="H113" s="3639"/>
      <c r="I113" s="3639"/>
      <c r="J113" s="363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0.57150000000000001</v>
      </c>
      <c r="E116" s="2000" t="s">
        <v>3321</v>
      </c>
      <c r="F116" s="3402" t="str">
        <f>E2</f>
        <v>工业</v>
      </c>
      <c r="G116" s="2000" t="s">
        <v>3322</v>
      </c>
      <c r="H116" s="3402" t="str">
        <f>G2</f>
        <v>八级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50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23037</v>
      </c>
      <c r="C2" s="1387" t="s">
        <v>805</v>
      </c>
      <c r="D2" s="1387"/>
      <c r="E2" s="1388"/>
      <c r="F2" s="1389"/>
      <c r="G2" s="2706"/>
      <c r="H2" s="2695"/>
      <c r="I2" s="2695"/>
      <c r="J2" s="2695"/>
      <c r="K2" s="2696"/>
      <c r="L2" s="2695"/>
      <c r="M2" s="2695"/>
    </row>
    <row r="3" spans="1:37" ht="18" customHeight="1" thickBot="1">
      <c r="A3" s="1390" t="s">
        <v>806</v>
      </c>
      <c r="B3" s="1391">
        <f ca="1">IF(ISERROR(B2*10000/F43),0,ROUND(B2*10000/F43,0))</f>
        <v>6459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1330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1328</v>
      </c>
      <c r="D6" s="155" t="s">
        <v>2109</v>
      </c>
      <c r="E6" s="302" t="s">
        <v>696</v>
      </c>
      <c r="F6" s="303">
        <f ca="1">INDIRECT("'数据-取费表'!u"&amp;$G$1)</f>
        <v>1.2</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35666</v>
      </c>
      <c r="G7" s="1384"/>
      <c r="H7" s="304"/>
      <c r="I7" s="3658"/>
      <c r="J7" s="306"/>
      <c r="K7" s="307"/>
      <c r="L7" s="302" t="s">
        <v>697</v>
      </c>
      <c r="M7" s="303">
        <f ca="1">F7</f>
        <v>35666</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7240</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7133</v>
      </c>
      <c r="D14" s="1345" t="s">
        <v>708</v>
      </c>
      <c r="E14" s="1342"/>
      <c r="F14" s="319"/>
      <c r="G14" s="1384"/>
      <c r="H14" s="982" t="s">
        <v>398</v>
      </c>
      <c r="I14" s="302" t="s">
        <v>709</v>
      </c>
      <c r="J14" s="21">
        <f ca="1">C29</f>
        <v>10647</v>
      </c>
      <c r="K14" s="12"/>
      <c r="L14" s="807"/>
      <c r="M14" s="808"/>
    </row>
    <row r="15" spans="1:37" s="1397" customFormat="1" ht="18" customHeight="1" thickBot="1">
      <c r="A15" s="982" t="s">
        <v>399</v>
      </c>
      <c r="B15" s="302" t="s">
        <v>710</v>
      </c>
      <c r="C15" s="21">
        <f ca="1">ROUND(C14*F15,0)</f>
        <v>214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173</v>
      </c>
      <c r="K16" s="1087" t="s">
        <v>715</v>
      </c>
      <c r="L16" s="1088"/>
      <c r="M16" s="1072"/>
    </row>
    <row r="17" spans="1:37" s="1397" customFormat="1" ht="18" customHeight="1">
      <c r="A17" s="982" t="s">
        <v>681</v>
      </c>
      <c r="B17" s="302" t="s">
        <v>716</v>
      </c>
      <c r="C17" s="21">
        <f ca="1">ROUND(F17*(F43+INDIRECT("'数据-取费表'!S"&amp;$G$1))/10000,0)</f>
        <v>713</v>
      </c>
      <c r="D17" s="302" t="s">
        <v>717</v>
      </c>
      <c r="E17" s="302" t="s">
        <v>718</v>
      </c>
      <c r="F17" s="23">
        <f>'数据-取费表'!B35</f>
        <v>200</v>
      </c>
      <c r="G17" s="1396"/>
      <c r="H17" s="982" t="s">
        <v>398</v>
      </c>
      <c r="I17" s="302" t="s">
        <v>719</v>
      </c>
      <c r="J17" s="2316">
        <f ca="1">ROUND(IF(AND(项目基本情况!B11="自然人",项目基本情况!B10="北京市"),J6*M17/(1+'数据-取费表'!C42),J18+J19+J20),2)</f>
        <v>12.9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8167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163</v>
      </c>
      <c r="D20" s="323" t="s">
        <v>729</v>
      </c>
      <c r="E20" s="302" t="s">
        <v>712</v>
      </c>
      <c r="F20" s="322">
        <f>'数据-取费表'!B37</f>
        <v>0.02</v>
      </c>
      <c r="G20" s="1396"/>
      <c r="H20" s="982" t="s">
        <v>680</v>
      </c>
      <c r="I20" s="155" t="s">
        <v>730</v>
      </c>
      <c r="J20" s="22">
        <f ca="1">ROUND(M20*M21/10000,2)</f>
        <v>12.9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86032.95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159.71</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258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-173</v>
      </c>
      <c r="K25" s="1095" t="s">
        <v>753</v>
      </c>
      <c r="L25" s="1096"/>
      <c r="M25" s="1097"/>
    </row>
    <row r="26" spans="1:37">
      <c r="A26" s="982" t="s">
        <v>397</v>
      </c>
      <c r="B26" s="302" t="s">
        <v>754</v>
      </c>
      <c r="C26" s="21">
        <f ca="1">ROUND((C19+C20)*F26,0)</f>
        <v>1250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10647</v>
      </c>
      <c r="D29" s="1092"/>
      <c r="E29" s="1090"/>
      <c r="F29" s="1093"/>
      <c r="G29" s="1396"/>
      <c r="H29" s="334" t="s">
        <v>396</v>
      </c>
      <c r="I29" s="335" t="s">
        <v>768</v>
      </c>
      <c r="J29" s="336">
        <f ca="1">ROUND(J26/(1+F40)^F41,0)</f>
        <v>0</v>
      </c>
      <c r="K29" s="337" t="s">
        <v>769</v>
      </c>
      <c r="L29" s="338"/>
      <c r="M29" s="339">
        <f ca="1">INDIRECT("'数据-取费表'!k"&amp;$G$1)</f>
        <v>35666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234.23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69.56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151.77000000000001</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86032.95</v>
      </c>
      <c r="G35" s="1384"/>
      <c r="H35" s="2697"/>
      <c r="I35" s="1398"/>
      <c r="J35" s="1399"/>
      <c r="K35" s="2701"/>
      <c r="L35" s="2700"/>
      <c r="M35" s="2700"/>
    </row>
    <row r="36" spans="1:18" ht="18" customHeight="1">
      <c r="A36" s="1102" t="s">
        <v>402</v>
      </c>
      <c r="B36" s="302" t="s">
        <v>738</v>
      </c>
      <c r="C36" s="21">
        <f ca="1">ROUND(C29*F36,2)</f>
        <v>159.71</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10.86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19.95</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905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23037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6459</v>
      </c>
      <c r="D43" s="337" t="s">
        <v>777</v>
      </c>
      <c r="E43" s="338" t="s">
        <v>778</v>
      </c>
      <c r="F43" s="339">
        <f ca="1">INDIRECT("'数据-取费表'!k"&amp;$G$1)</f>
        <v>35666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-26152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23037</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10647</v>
      </c>
      <c r="R49" s="1420" t="s">
        <v>818</v>
      </c>
    </row>
    <row r="50" spans="1:18" s="1384" customFormat="1" ht="13.5" thickBot="1">
      <c r="A50" s="976"/>
      <c r="B50" s="979"/>
      <c r="C50" s="1118"/>
      <c r="D50" s="953"/>
      <c r="E50" s="1056" t="s">
        <v>697</v>
      </c>
      <c r="F50" s="1057">
        <f ca="1">F7</f>
        <v>35666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6852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50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50</v>
      </c>
      <c r="K53" s="3655" t="s">
        <v>837</v>
      </c>
      <c r="L53" s="3656"/>
      <c r="O53" s="1418" t="s">
        <v>409</v>
      </c>
      <c r="P53" s="1419" t="s">
        <v>838</v>
      </c>
      <c r="Q53" s="1420">
        <f ca="1">Q47+Q48</f>
        <v>23037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7240</v>
      </c>
      <c r="D56" s="1447"/>
      <c r="E56" s="1448"/>
      <c r="F56" s="1440"/>
      <c r="I56" s="1449" t="s">
        <v>842</v>
      </c>
      <c r="J56" s="1450" t="s">
        <v>3384</v>
      </c>
      <c r="K56" s="1421" t="s">
        <v>843</v>
      </c>
      <c r="L56" s="1424" t="str">
        <f ca="1">IF(L48&lt;J51,"——",L48-J53)</f>
        <v>——</v>
      </c>
      <c r="O56" s="1418" t="s">
        <v>403</v>
      </c>
      <c r="P56" s="1419" t="s">
        <v>817</v>
      </c>
      <c r="Q56" s="1420">
        <f ca="1">C40+J29</f>
        <v>23037</v>
      </c>
      <c r="R56" s="1420" t="s">
        <v>818</v>
      </c>
    </row>
    <row r="57" spans="1:18" s="1384" customFormat="1" ht="24.75" thickBot="1">
      <c r="A57" s="1451"/>
      <c r="B57" s="950" t="s">
        <v>767</v>
      </c>
      <c r="C57" s="238">
        <f ca="1">C29</f>
        <v>10647</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13</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12.9</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23037</v>
      </c>
      <c r="R62" s="1420" t="s">
        <v>410</v>
      </c>
    </row>
    <row r="63" spans="1:18" s="1384" customFormat="1" ht="13.5" thickBot="1">
      <c r="A63" s="326"/>
      <c r="B63" s="956"/>
      <c r="C63" s="26"/>
      <c r="D63" s="966"/>
      <c r="E63" s="950" t="s">
        <v>788</v>
      </c>
      <c r="F63" s="303">
        <f t="shared" ca="1" si="0"/>
        <v>86032.95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159.71</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10.86</v>
      </c>
      <c r="D65" s="964" t="s">
        <v>743</v>
      </c>
      <c r="E65" s="950" t="s">
        <v>744</v>
      </c>
      <c r="F65" s="330">
        <f t="shared" ca="1" si="0"/>
        <v>1.5E-3</v>
      </c>
      <c r="I65" s="1462" t="s">
        <v>867</v>
      </c>
      <c r="J65" s="1463">
        <v>40</v>
      </c>
      <c r="K65" s="1463">
        <v>30</v>
      </c>
      <c r="L65" s="1463">
        <v>50</v>
      </c>
      <c r="M65" s="1465">
        <v>0.02</v>
      </c>
      <c r="O65" s="1418" t="s">
        <v>403</v>
      </c>
      <c r="P65" s="1419" t="s">
        <v>868</v>
      </c>
      <c r="Q65" s="1420">
        <f ca="1">C40+J29</f>
        <v>23037</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-184</v>
      </c>
      <c r="D67" s="963" t="s">
        <v>753</v>
      </c>
      <c r="E67" s="968"/>
      <c r="F67" s="969"/>
      <c r="O67" s="1428" t="s">
        <v>405</v>
      </c>
      <c r="P67" s="1419" t="s">
        <v>850</v>
      </c>
      <c r="Q67" s="1466">
        <f ca="1">L51</f>
        <v>6852</v>
      </c>
      <c r="R67" s="1420" t="s">
        <v>870</v>
      </c>
    </row>
    <row r="68" spans="1:18" s="1384" customFormat="1" ht="16.5" thickBot="1">
      <c r="A68" s="947" t="s">
        <v>395</v>
      </c>
      <c r="B68" s="948" t="s">
        <v>774</v>
      </c>
      <c r="C68" s="301">
        <f ca="1">ROUND(C67*(1-((1+F70)/(1+F68))^F69)/(F68-F70),0)</f>
        <v>-3115</v>
      </c>
      <c r="D68" s="965" t="s">
        <v>758</v>
      </c>
      <c r="E68" s="950" t="s">
        <v>759</v>
      </c>
      <c r="F68" s="312">
        <f ca="1">F40</f>
        <v>5.5E-2</v>
      </c>
      <c r="O68" s="1428" t="s">
        <v>406</v>
      </c>
      <c r="P68" s="1467" t="s">
        <v>871</v>
      </c>
      <c r="Q68" s="1420">
        <f ca="1">ROUND(Q69-Q70*Q71,0)</f>
        <v>362</v>
      </c>
      <c r="R68" s="1420" t="s">
        <v>414</v>
      </c>
    </row>
    <row r="69" spans="1:18" s="1384" customFormat="1" ht="13.5" thickBot="1">
      <c r="A69" s="951"/>
      <c r="B69" s="952"/>
      <c r="C69" s="306"/>
      <c r="D69" s="970" t="s">
        <v>762</v>
      </c>
      <c r="E69" s="950" t="s">
        <v>763</v>
      </c>
      <c r="F69" s="333">
        <f ca="1">F41</f>
        <v>50</v>
      </c>
      <c r="O69" s="1428" t="s">
        <v>411</v>
      </c>
      <c r="P69" s="1467" t="s">
        <v>872</v>
      </c>
      <c r="Q69" s="1420">
        <f ca="1">C39</f>
        <v>905</v>
      </c>
      <c r="R69" s="1420" t="s">
        <v>818</v>
      </c>
    </row>
    <row r="70" spans="1:18" s="1384" customFormat="1" ht="13.5" thickBot="1">
      <c r="A70" s="954"/>
      <c r="B70" s="955"/>
      <c r="C70" s="310"/>
      <c r="D70" s="966"/>
      <c r="E70" s="950" t="s">
        <v>766</v>
      </c>
      <c r="F70" s="1054"/>
      <c r="O70" s="1428" t="s">
        <v>412</v>
      </c>
      <c r="P70" s="1467" t="s">
        <v>873</v>
      </c>
      <c r="Q70" s="1420">
        <f ca="1">C13</f>
        <v>7240</v>
      </c>
      <c r="R70" s="1420" t="s">
        <v>818</v>
      </c>
    </row>
    <row r="71" spans="1:18" s="1384" customFormat="1" ht="13.5" thickBot="1">
      <c r="A71" s="971" t="s">
        <v>396</v>
      </c>
      <c r="B71" s="972" t="s">
        <v>776</v>
      </c>
      <c r="C71" s="336">
        <f ca="1">ROUND(C68*10000/F71,0)</f>
        <v>-873</v>
      </c>
      <c r="D71" s="973" t="s">
        <v>777</v>
      </c>
      <c r="E71" s="974" t="s">
        <v>778</v>
      </c>
      <c r="F71" s="339">
        <f ca="1">F43</f>
        <v>35666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543</v>
      </c>
      <c r="D75" s="1384"/>
      <c r="E75" s="1384"/>
      <c r="F75" s="1384"/>
      <c r="K75" s="1402"/>
      <c r="L75" s="1384"/>
      <c r="O75" s="1418" t="s">
        <v>409</v>
      </c>
      <c r="P75" s="1419" t="s">
        <v>838</v>
      </c>
      <c r="Q75" s="1420">
        <f ca="1">Q65+Q66</f>
        <v>23037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v>
      </c>
    </row>
    <row r="80" spans="1:18">
      <c r="B80" s="340" t="s">
        <v>800</v>
      </c>
      <c r="C80" s="274">
        <f ca="1">ROUND(C75/C39,3)</f>
        <v>0.6</v>
      </c>
    </row>
    <row r="81" spans="2:3">
      <c r="B81" s="270" t="s">
        <v>801</v>
      </c>
      <c r="C81" s="238"/>
    </row>
    <row r="82" spans="2:3">
      <c r="B82" s="273" t="s">
        <v>802</v>
      </c>
      <c r="C82" s="275">
        <f ca="1">1-C83</f>
        <v>0.68599999999999994</v>
      </c>
    </row>
    <row r="83" spans="2:3">
      <c r="B83" s="273" t="s">
        <v>803</v>
      </c>
      <c r="C83" s="274">
        <f ca="1">ROUND(C13/C40,3)</f>
        <v>0.314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0</v>
      </c>
      <c r="D6" s="155" t="s">
        <v>2106</v>
      </c>
      <c r="E6" s="302" t="s">
        <v>696</v>
      </c>
      <c r="F6" s="303">
        <f ca="1">INDIRECT("'数据-取费表'!u"&amp;$G$1)</f>
        <v>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66" t="s">
        <v>2320</v>
      </c>
      <c r="K2" s="366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8" t="s">
        <v>2330</v>
      </c>
      <c r="K3" s="366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8" t="s">
        <v>2332</v>
      </c>
      <c r="K4" s="366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4" t="s">
        <v>2336</v>
      </c>
      <c r="B6" s="3675"/>
      <c r="C6" s="3676"/>
      <c r="D6" s="2870"/>
      <c r="E6" s="2871"/>
      <c r="F6" s="2872"/>
      <c r="G6" s="2873"/>
      <c r="H6" s="2848"/>
      <c r="I6" s="2849"/>
      <c r="J6" s="3660">
        <v>1</v>
      </c>
      <c r="K6" s="366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0"/>
      <c r="K7" s="366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7" t="s">
        <v>2350</v>
      </c>
      <c r="C8" s="3678"/>
      <c r="D8" s="2889" t="s">
        <v>2351</v>
      </c>
      <c r="E8" s="2890" t="s">
        <v>2352</v>
      </c>
      <c r="F8" s="2891" t="s">
        <v>2353</v>
      </c>
      <c r="G8" s="2892"/>
      <c r="H8" s="2848"/>
      <c r="I8" s="2849"/>
      <c r="J8" s="3660"/>
      <c r="K8" s="366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7" t="s">
        <v>2356</v>
      </c>
      <c r="C9" s="3678"/>
      <c r="D9" s="2889">
        <f>ROUND(D6*E9,0)</f>
        <v>0</v>
      </c>
      <c r="E9" s="2893"/>
      <c r="F9" s="2894" t="s">
        <v>2357</v>
      </c>
      <c r="G9" s="2873"/>
      <c r="H9" s="2848"/>
      <c r="I9" s="2849"/>
      <c r="J9" s="3660"/>
      <c r="K9" s="3662"/>
      <c r="L9" s="2883" t="s">
        <v>2358</v>
      </c>
      <c r="M9" s="2884"/>
      <c r="N9" s="2860"/>
      <c r="O9" s="2885"/>
      <c r="P9" s="2885"/>
      <c r="Q9" s="2886">
        <v>365</v>
      </c>
      <c r="R9" s="2887">
        <f t="shared" si="0"/>
        <v>0</v>
      </c>
      <c r="S9" s="2841"/>
      <c r="T9" s="2841"/>
      <c r="U9" s="2841"/>
      <c r="V9" s="2849"/>
    </row>
    <row r="10" spans="1:22" s="2853" customFormat="1" ht="13.15" customHeight="1">
      <c r="A10" s="2888">
        <v>2</v>
      </c>
      <c r="B10" s="3677" t="s">
        <v>2359</v>
      </c>
      <c r="C10" s="3678"/>
      <c r="D10" s="2889">
        <f>ROUND(D6*E10,0)</f>
        <v>0</v>
      </c>
      <c r="E10" s="2893"/>
      <c r="F10" s="2894" t="s">
        <v>2360</v>
      </c>
      <c r="G10" s="2873"/>
      <c r="H10" s="2848"/>
      <c r="I10" s="2849"/>
      <c r="J10" s="3660"/>
      <c r="K10" s="3662"/>
      <c r="L10" s="2883" t="s">
        <v>2361</v>
      </c>
      <c r="M10" s="2884"/>
      <c r="N10" s="2860"/>
      <c r="O10" s="2885"/>
      <c r="P10" s="2885"/>
      <c r="Q10" s="2886">
        <v>365</v>
      </c>
      <c r="R10" s="2887">
        <f t="shared" si="0"/>
        <v>0</v>
      </c>
      <c r="S10" s="2841"/>
      <c r="T10" s="2841"/>
      <c r="U10" s="2841"/>
      <c r="V10" s="2849"/>
    </row>
    <row r="11" spans="1:22" s="2853" customFormat="1" ht="13.15" customHeight="1">
      <c r="A11" s="2888">
        <v>3</v>
      </c>
      <c r="B11" s="3677" t="s">
        <v>2362</v>
      </c>
      <c r="C11" s="3678"/>
      <c r="D11" s="2889">
        <f>D12+D14+D15+D16</f>
        <v>0</v>
      </c>
      <c r="E11" s="2895" t="e">
        <f>D11/D6</f>
        <v>#DIV/0!</v>
      </c>
      <c r="F11" s="2891"/>
      <c r="G11" s="2892"/>
      <c r="H11" s="2848"/>
      <c r="I11" s="2849"/>
      <c r="J11" s="3660"/>
      <c r="K11" s="366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0" t="s">
        <v>2365</v>
      </c>
      <c r="C12" s="3671"/>
      <c r="D12" s="2897">
        <f>ROUND(D13*1.2%*(1-30%),0)</f>
        <v>0</v>
      </c>
      <c r="E12" s="2898">
        <v>1.2E-2</v>
      </c>
      <c r="F12" s="2891" t="s">
        <v>2366</v>
      </c>
      <c r="G12" s="2892"/>
      <c r="H12" s="2848"/>
      <c r="I12" s="2849"/>
      <c r="J12" s="3660"/>
      <c r="K12" s="366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0"/>
      <c r="K13" s="366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0" t="s">
        <v>2371</v>
      </c>
      <c r="C14" s="3671"/>
      <c r="D14" s="2897">
        <f>ROUND(E14*B5/10000,0)</f>
        <v>0</v>
      </c>
      <c r="E14" s="2886"/>
      <c r="F14" s="2891" t="s">
        <v>2372</v>
      </c>
      <c r="G14" s="2892"/>
      <c r="H14" s="2848"/>
      <c r="I14" s="2849"/>
      <c r="J14" s="3660"/>
      <c r="K14" s="366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0" t="s">
        <v>2375</v>
      </c>
      <c r="C15" s="3671"/>
      <c r="D15" s="2897">
        <f>ROUND(D6*E15,0)</f>
        <v>0</v>
      </c>
      <c r="E15" s="2898">
        <v>5.5E-2</v>
      </c>
      <c r="F15" s="2891" t="s">
        <v>2376</v>
      </c>
      <c r="G15" s="2873"/>
      <c r="H15" s="2848"/>
      <c r="I15" s="2849"/>
      <c r="J15" s="3660">
        <v>2</v>
      </c>
      <c r="K15" s="366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0" t="s">
        <v>2384</v>
      </c>
      <c r="C16" s="3671"/>
      <c r="D16" s="2908">
        <f>D6*E16</f>
        <v>0</v>
      </c>
      <c r="E16" s="2909"/>
      <c r="F16" s="2894" t="s">
        <v>2385</v>
      </c>
      <c r="G16" s="2873"/>
      <c r="H16" s="2848"/>
      <c r="I16" s="2849"/>
      <c r="J16" s="3660"/>
      <c r="K16" s="366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2" t="s">
        <v>2387</v>
      </c>
      <c r="C17" s="3673"/>
      <c r="D17" s="2911">
        <f>ROUND(D6*E17,0)</f>
        <v>0</v>
      </c>
      <c r="E17" s="2912"/>
      <c r="F17" s="2913" t="s">
        <v>2388</v>
      </c>
      <c r="G17" s="2873"/>
      <c r="H17" s="2848"/>
      <c r="I17" s="2849"/>
      <c r="J17" s="3660"/>
      <c r="K17" s="366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0"/>
      <c r="K18" s="366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0"/>
      <c r="K19" s="366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0"/>
      <c r="K21" s="366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0"/>
      <c r="K22" s="366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0"/>
      <c r="K23" s="366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0"/>
      <c r="K24" s="366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6" t="s">
        <v>2320</v>
      </c>
      <c r="K32" s="366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8" t="s">
        <v>2330</v>
      </c>
      <c r="K33" s="366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8" t="s">
        <v>2332</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0">
        <v>1</v>
      </c>
      <c r="K36" s="366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0"/>
      <c r="K40" s="366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23037</v>
      </c>
      <c r="C2" s="1872" t="s">
        <v>1651</v>
      </c>
      <c r="D2" s="1873" t="s">
        <v>1652</v>
      </c>
      <c r="E2" s="2607">
        <f>SUM(E6:E13)</f>
        <v>35666</v>
      </c>
      <c r="F2" s="2707"/>
      <c r="G2" s="1489"/>
      <c r="H2" s="1489"/>
      <c r="I2" s="1489"/>
      <c r="J2" s="1489"/>
      <c r="K2" s="1489"/>
      <c r="L2" s="1489"/>
      <c r="M2" s="1489"/>
      <c r="N2" s="1489"/>
      <c r="O2" s="1489"/>
      <c r="P2" s="1489"/>
      <c r="Q2" s="1489"/>
      <c r="R2" s="1489"/>
      <c r="S2" s="1489"/>
    </row>
    <row r="3" spans="1:22" ht="15.75">
      <c r="A3" s="1870" t="s">
        <v>686</v>
      </c>
      <c r="B3" s="2601">
        <f ca="1">ROUND(B2*10000/E2,0)</f>
        <v>6459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23037</v>
      </c>
      <c r="C6" s="1872" t="s">
        <v>1651</v>
      </c>
      <c r="D6" s="2709"/>
      <c r="E6" s="2606">
        <f>IF(OR(A6=0,F6="否"),0,'数据-取费表'!K6+'数据-取费表'!S6)</f>
        <v>35666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35666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18" t="s">
        <v>1673</v>
      </c>
      <c r="D5" s="3719"/>
      <c r="E5" s="3725" t="s">
        <v>1674</v>
      </c>
      <c r="F5" s="3726"/>
      <c r="G5" s="3718" t="s">
        <v>1675</v>
      </c>
      <c r="H5" s="3719"/>
      <c r="I5" s="3718" t="s">
        <v>1676</v>
      </c>
      <c r="J5" s="3719"/>
      <c r="K5" s="1890"/>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1890"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0" t="s">
        <v>1680</v>
      </c>
      <c r="Q7" s="3722"/>
      <c r="R7" s="701" t="s">
        <v>20</v>
      </c>
      <c r="S7" s="702">
        <f t="shared" ref="S7:S15" si="0">F7</f>
        <v>0</v>
      </c>
      <c r="T7" s="701" t="s">
        <v>20</v>
      </c>
      <c r="U7" s="702">
        <f t="shared" ref="U7:U15" si="1">H7</f>
        <v>0</v>
      </c>
      <c r="V7" s="701" t="s">
        <v>20</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5"/>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4"/>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4"/>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35666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44967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4"/>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35666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18" t="s">
        <v>1673</v>
      </c>
      <c r="D5" s="3719"/>
      <c r="E5" s="3725" t="s">
        <v>1674</v>
      </c>
      <c r="F5" s="3726"/>
      <c r="G5" s="3718" t="s">
        <v>1675</v>
      </c>
      <c r="H5" s="3719"/>
      <c r="I5" s="3718" t="s">
        <v>1676</v>
      </c>
      <c r="J5" s="3719"/>
      <c r="K5" s="559"/>
      <c r="L5" s="2715"/>
      <c r="M5" s="2716"/>
      <c r="N5" s="2716"/>
      <c r="O5" s="2716"/>
      <c r="P5" s="3735"/>
      <c r="Q5" s="3706"/>
      <c r="R5" s="3711"/>
      <c r="S5" s="3712"/>
      <c r="T5" s="3711"/>
      <c r="U5" s="3712"/>
      <c r="V5" s="3715"/>
      <c r="W5" s="3715"/>
      <c r="X5" s="1355"/>
      <c r="Y5" s="3711"/>
      <c r="Z5" s="3712"/>
      <c r="AA5" s="3697"/>
      <c r="AB5" s="3697"/>
      <c r="AC5" s="3731"/>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36"/>
      <c r="Q6" s="3708"/>
      <c r="R6" s="3711"/>
      <c r="S6" s="3712"/>
      <c r="T6" s="3713"/>
      <c r="U6" s="3714"/>
      <c r="V6" s="3715"/>
      <c r="W6" s="3715"/>
      <c r="X6" s="1355"/>
      <c r="Y6" s="3713"/>
      <c r="Z6" s="3714"/>
      <c r="AA6" s="3698"/>
      <c r="AB6" s="3698"/>
      <c r="AC6" s="3732"/>
    </row>
    <row r="7" spans="1:29" s="108" customFormat="1" ht="15.75" thickBot="1">
      <c r="A7" s="362" t="s">
        <v>1679</v>
      </c>
      <c r="B7" s="363"/>
      <c r="C7" s="364">
        <f>'数据-取费表'!B2</f>
        <v>44967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4"/>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4"/>
      <c r="Q26" s="1352"/>
      <c r="R26" s="705"/>
      <c r="S26" s="706"/>
      <c r="T26" s="705"/>
      <c r="U26" s="706"/>
      <c r="V26" s="705"/>
      <c r="W26" s="706"/>
      <c r="X26" s="1355"/>
      <c r="Y26" s="368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受贵公司委托，我公司对北京市漷县镇漷兴三街18号10幢房地产抵押价值进行了预评估。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估价对象为北京市漷县镇漷兴三街18号10幢房地产，为所有。根据《国有土地使用证》[]，估价对象（分摊）出让国有建设用地使用权面积为86032.95平方米，建筑面积为35666平方米。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漷县镇漷兴三街18号10幢房地产,属开发建设的，该项目尚在开发建设中。根据《国有土地使用证》[]，估价对象（分摊）出让国有建设用地使用权面积为86032.95平方米，规划建筑面积为35666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漷县镇漷兴三街18号10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本次估价的“房地产价值”是指在正常市场情况下，在价值时点2023年2月10日，估价对象规划用途为，土地取得方式为划拨，假定未设立法定优先受偿款下的房地产市场价值。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35666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44967</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30"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44967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4"/>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4" t="str">
        <f>A47</f>
        <v>比较价值（元/平方米）</v>
      </c>
      <c r="Q47" s="3684"/>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1" t="str">
        <f>A48</f>
        <v>估价对象XX用房的比较价值（楼面单价，元/平方米）</v>
      </c>
      <c r="Q48" s="3682"/>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35666</v>
      </c>
      <c r="F56" s="886" t="e">
        <f t="shared" ref="F56:F64" si="15">ROUND(B56*E56/10000,0)</f>
        <v>#DIV/0!</v>
      </c>
      <c r="G56" s="3695"/>
      <c r="H56" s="368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35666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28" sqref="M2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4" t="str">
        <f>A42</f>
        <v>比较价值（元/平方米）</v>
      </c>
      <c r="Q42" s="368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1" t="str">
        <f>A43</f>
        <v>估价对象XX用房的比较价值（楼面单价，元/平方米）</v>
      </c>
      <c r="Q43" s="3682"/>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35666</v>
      </c>
      <c r="F51" s="639" t="e">
        <f t="shared" ref="F51:F60" si="15">ROUND(B51*E51/10000,0)</f>
        <v>#DIV/0!</v>
      </c>
      <c r="G51" s="3695"/>
      <c r="H51" s="368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86032.95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10986</v>
      </c>
      <c r="C2" s="2145" t="s">
        <v>2074</v>
      </c>
      <c r="D2" s="2145" t="s">
        <v>2075</v>
      </c>
      <c r="E2" s="2612">
        <f ca="1">SUMIF(E6:E13,"&lt;&gt;#ref!",E6:E13)</f>
        <v>86032.95</v>
      </c>
      <c r="F2" s="2793"/>
      <c r="G2" s="2793"/>
      <c r="H2" s="2793"/>
      <c r="I2" s="2793"/>
      <c r="J2" s="2793"/>
      <c r="K2" s="2793"/>
      <c r="L2" s="2793"/>
      <c r="M2" s="2793"/>
      <c r="N2" s="2793"/>
      <c r="O2" s="2793"/>
      <c r="P2" s="2793"/>
    </row>
    <row r="3" spans="1:16" ht="15.75">
      <c r="A3" s="2145" t="s">
        <v>2076</v>
      </c>
      <c r="B3" s="2602">
        <f ca="1">ROUND(B2*10000/E2,0)</f>
        <v>1277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10986</v>
      </c>
      <c r="C6" s="2145" t="s">
        <v>2074</v>
      </c>
      <c r="D6" s="2793"/>
      <c r="E6" s="2612">
        <f ca="1">SUMIF(INDIRECT("'"&amp;A6&amp;"'"&amp;"!C:C"),"建筑面积",INDIRECT("'"&amp;A6&amp;"'"&amp;"!D:D"))</f>
        <v>86032.95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64" zoomScale="70" zoomScaleNormal="70" workbookViewId="0">
      <selection activeCell="I1" sqref="I1:I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1.2302</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1.1198999999999999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35773</v>
      </c>
      <c r="C2" s="2" t="s">
        <v>106</v>
      </c>
      <c r="D2" s="199"/>
      <c r="E2" s="199"/>
      <c r="F2" s="199"/>
      <c r="G2" s="199"/>
    </row>
    <row r="3" spans="1:7" s="200" customFormat="1" ht="18" customHeight="1" thickBot="1">
      <c r="A3" s="203" t="s">
        <v>58</v>
      </c>
      <c r="B3" s="204">
        <f ca="1">ROUND(B2*10000/'数据-汇总表'!E3,0)</f>
        <v>10030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357</v>
      </c>
      <c r="D10" s="845">
        <f>'数据-汇总表'!E6</f>
        <v>35666</v>
      </c>
      <c r="E10" s="225">
        <f>'数据-取费表'!B28</f>
        <v>100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713</v>
      </c>
      <c r="D19" s="849">
        <f>'数据-汇总表'!E3</f>
        <v>35666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1354</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45</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3262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3262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8167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7133</v>
      </c>
      <c r="D34" s="217"/>
      <c r="E34" s="220"/>
      <c r="F34" s="257">
        <f>IF('数据-取费表'!B24=0,1,'数据-取费表'!N16)</f>
        <v>1</v>
      </c>
      <c r="G34" s="219" t="s">
        <v>89</v>
      </c>
    </row>
    <row r="35" spans="1:7" ht="13.5" customHeight="1">
      <c r="A35" s="780" t="s">
        <v>351</v>
      </c>
      <c r="B35" s="215" t="s">
        <v>33</v>
      </c>
      <c r="C35" s="220">
        <f>ROUND(C34*F35,0)</f>
        <v>214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713</v>
      </c>
      <c r="D37" s="217">
        <f>'数据-汇总表'!E3</f>
        <v>35666</v>
      </c>
      <c r="E37" s="249">
        <f>'数据-取费表'!B35</f>
        <v>200</v>
      </c>
      <c r="F37" s="259"/>
      <c r="G37" s="261" t="s">
        <v>92</v>
      </c>
    </row>
    <row r="38" spans="1:7" ht="13.5" customHeight="1">
      <c r="A38" s="780" t="s">
        <v>354</v>
      </c>
      <c r="B38" s="215" t="s">
        <v>36</v>
      </c>
      <c r="C38" s="220">
        <f>ROUND(C34*F38,0)</f>
        <v>107</v>
      </c>
      <c r="D38" s="220"/>
      <c r="E38" s="220"/>
      <c r="F38" s="259">
        <f>'数据-取费表'!B36</f>
        <v>1.4999999999999999E-2</v>
      </c>
      <c r="G38" s="219" t="s">
        <v>90</v>
      </c>
    </row>
    <row r="39" spans="1:7" s="214" customFormat="1" ht="13.5" customHeight="1">
      <c r="A39" s="777" t="s">
        <v>338</v>
      </c>
      <c r="B39" s="210" t="s">
        <v>77</v>
      </c>
      <c r="C39" s="232">
        <f>ROUND(C33*F20,0)</f>
        <v>163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253</v>
      </c>
      <c r="D42" s="238"/>
      <c r="E42" s="238"/>
      <c r="F42" s="239"/>
      <c r="G42" s="3633" t="s">
        <v>94</v>
      </c>
    </row>
    <row r="43" spans="1:7" ht="13.5" customHeight="1">
      <c r="A43" s="780" t="s">
        <v>347</v>
      </c>
      <c r="B43" s="215" t="s">
        <v>426</v>
      </c>
      <c r="C43" s="238">
        <f ca="1">ROUND(IF('数据-取费表'!B22&lt;=1,C39*F22*'数据-取费表'!B21/2,C39*(POWER((1+F22),'数据-取费表'!B21/2)-1)),0)</f>
        <v>5</v>
      </c>
      <c r="D43" s="238"/>
      <c r="E43" s="238"/>
      <c r="F43" s="239"/>
      <c r="G43" s="3634"/>
    </row>
    <row r="44" spans="1:7" ht="13.5" customHeight="1">
      <c r="A44" s="780" t="s">
        <v>348</v>
      </c>
      <c r="B44" s="215" t="s">
        <v>428</v>
      </c>
      <c r="C44" s="238">
        <f ca="1">ROUND(IF('数据-取费表'!B22&lt;=1,C40*F22*'数据-取费表'!B21/2,C40*(POWER((1+F22),'数据-取费表'!B21/2)-1)),4)</f>
        <v>5.9999999999999995E-4</v>
      </c>
      <c r="D44" s="238"/>
      <c r="E44" s="238"/>
      <c r="F44" s="239"/>
      <c r="G44" s="3635"/>
    </row>
    <row r="45" spans="1:7" s="214" customFormat="1" ht="13.5" customHeight="1">
      <c r="A45" s="777" t="s">
        <v>341</v>
      </c>
      <c r="B45" s="244" t="s">
        <v>85</v>
      </c>
      <c r="C45" s="245">
        <f>C46</f>
        <v>1250</v>
      </c>
      <c r="D45" s="235">
        <f>C47</f>
        <v>3.0000000000000001E-3</v>
      </c>
      <c r="E45" s="236" t="s">
        <v>102</v>
      </c>
      <c r="F45" s="246"/>
      <c r="G45" s="247" t="s">
        <v>434</v>
      </c>
    </row>
    <row r="46" spans="1:7" s="214" customFormat="1" ht="13.5" customHeight="1">
      <c r="A46" s="780" t="s">
        <v>349</v>
      </c>
      <c r="B46" s="248" t="s">
        <v>427</v>
      </c>
      <c r="C46" s="249">
        <f>ROUND((C33+C39)*F27,0)</f>
        <v>1250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10647</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7240</v>
      </c>
      <c r="D51" s="232"/>
      <c r="E51" s="232"/>
      <c r="F51" s="264"/>
      <c r="G51" s="234" t="s">
        <v>37</v>
      </c>
    </row>
    <row r="52" spans="1:7" s="208" customFormat="1" ht="16.5" thickBot="1">
      <c r="A52" s="265" t="s">
        <v>38</v>
      </c>
      <c r="B52" s="266"/>
      <c r="C52" s="267">
        <f ca="1">C31+C51</f>
        <v>35773</v>
      </c>
      <c r="D52" s="266"/>
      <c r="E52" s="266"/>
      <c r="F52" s="266"/>
      <c r="G52" s="268"/>
    </row>
    <row r="55" spans="1:7" ht="15">
      <c r="B55" s="270" t="s">
        <v>39</v>
      </c>
      <c r="C55" s="271"/>
    </row>
    <row r="56" spans="1:7">
      <c r="B56" s="273" t="s">
        <v>40</v>
      </c>
      <c r="C56" s="274">
        <f ca="1">ROUND(C51/C52,3)</f>
        <v>0.20200000000000001</v>
      </c>
    </row>
    <row r="57" spans="1:7">
      <c r="B57" s="273" t="s">
        <v>41</v>
      </c>
      <c r="C57" s="275">
        <f ca="1">1-C56</f>
        <v>0.79800000000000004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22247</v>
      </c>
      <c r="E5" s="1491"/>
    </row>
    <row r="6" spans="1:5" ht="15.75">
      <c r="A6" s="1491"/>
      <c r="B6" s="3452"/>
      <c r="C6" s="1494" t="s">
        <v>911</v>
      </c>
      <c r="D6" s="850" t="str">
        <f ca="1">NUMBERSTRING(INT(D5*10000),2)&amp;"元整"</f>
        <v>贰亿贰仟贰佰肆拾柒万元整</v>
      </c>
      <c r="E6" s="1491"/>
    </row>
    <row r="7" spans="1:5" ht="15.75">
      <c r="A7" s="1491"/>
      <c r="B7" s="3457"/>
      <c r="C7" s="1495" t="s">
        <v>912</v>
      </c>
      <c r="D7" s="851">
        <f ca="1">结果表!H102</f>
        <v>6238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22247</v>
      </c>
      <c r="E13" s="1491"/>
    </row>
    <row r="14" spans="1:5" ht="15.75">
      <c r="A14" s="1491"/>
      <c r="B14" s="3452"/>
      <c r="C14" s="1494" t="s">
        <v>911</v>
      </c>
      <c r="D14" s="850" t="str">
        <f ca="1">NUMBERSTRING(INT(D13*10000),2)&amp;"元整"</f>
        <v>贰亿贰仟贰佰肆拾柒万元整</v>
      </c>
      <c r="E14" s="1491"/>
    </row>
    <row r="15" spans="1:5" ht="15">
      <c r="A15" s="1491"/>
      <c r="B15" s="3457"/>
      <c r="C15" s="1495" t="s">
        <v>921</v>
      </c>
      <c r="D15" s="859">
        <f ca="1">结果表!H108</f>
        <v>6238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44967</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44967</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30">
      <c r="A4" s="1505" t="str">
        <f>项目基本情况!S2</f>
        <v>北京市漷县镇漷兴三街18号10幢房地产</v>
      </c>
      <c r="B4" s="854">
        <f>项目基本情况!C17</f>
        <v>35666</v>
      </c>
      <c r="C4" s="854">
        <f>项目基本情况!C18</f>
        <v>86032.95</v>
      </c>
      <c r="D4" s="854">
        <f ca="1">结果表!D118</f>
        <v>15195</v>
      </c>
      <c r="E4" s="854">
        <f ca="1">结果表!E118</f>
        <v>4261</v>
      </c>
      <c r="F4" s="854">
        <f ca="1">结果表!F118</f>
        <v>7052</v>
      </c>
      <c r="G4" s="854">
        <f ca="1">结果表!G118</f>
        <v>1977</v>
      </c>
      <c r="H4" s="854">
        <f ca="1">结果表!H118</f>
        <v>22247</v>
      </c>
      <c r="I4" s="854">
        <f ca="1">结果表!I118</f>
        <v>6238</v>
      </c>
    </row>
    <row r="5" spans="1:9" ht="30" customHeight="1">
      <c r="A5" s="3464" t="s">
        <v>927</v>
      </c>
      <c r="B5" s="3464"/>
      <c r="C5" s="3464"/>
      <c r="D5" s="3464" t="str">
        <f ca="1">结果表!D119</f>
        <v>壹亿伍仟壹佰玖拾伍万元整</v>
      </c>
      <c r="E5" s="3464"/>
      <c r="F5" s="3464" t="str">
        <f ca="1">结果表!F119</f>
        <v>柒仟零伍拾贰万元整</v>
      </c>
      <c r="G5" s="3464"/>
      <c r="H5" s="3464" t="str">
        <f ca="1">结果表!H119</f>
        <v>贰亿贰仟贰佰肆拾柒万元整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22247</v>
      </c>
      <c r="E8" s="3463"/>
      <c r="F8" s="3463"/>
      <c r="G8" s="3463"/>
      <c r="H8" s="3463"/>
      <c r="I8" s="3463"/>
    </row>
    <row r="9" spans="1:9" ht="15">
      <c r="A9" s="3464" t="s">
        <v>927</v>
      </c>
      <c r="B9" s="3464"/>
      <c r="C9" s="3464"/>
      <c r="D9" s="3464" t="str">
        <f ca="1">结果表!D123</f>
        <v>贰亿贰仟贰佰肆拾柒万元整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2023-02-10T05:54:04Z</dcterms:modified>
</cp:coreProperties>
</file>