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480" yWindow="75" windowWidth="9630" windowHeight="1164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K15" i="69" l="1"/>
  <c r="I47" i="21" l="1"/>
  <c r="G47" i="21"/>
  <c r="E47" i="21"/>
  <c r="C16" i="66" l="1"/>
  <c r="B16" i="66"/>
  <c r="C15" i="66"/>
  <c r="B15" i="66"/>
  <c r="C33" i="21" l="1"/>
  <c r="D59" i="21"/>
  <c r="C11" i="21"/>
  <c r="I48" i="39"/>
  <c r="G48" i="39"/>
  <c r="E48" i="39"/>
  <c r="E73" i="39"/>
  <c r="F73" i="39" s="1"/>
  <c r="G73" i="39" s="1"/>
  <c r="H73" i="39" s="1"/>
  <c r="I73" i="39" s="1"/>
  <c r="J73" i="39" s="1"/>
  <c r="K73" i="39" s="1"/>
  <c r="L73" i="39" s="1"/>
  <c r="D73" i="39"/>
  <c r="I40" i="39"/>
  <c r="G40" i="39"/>
  <c r="E40" i="39"/>
  <c r="C40" i="39"/>
  <c r="C13" i="39"/>
  <c r="I9" i="39"/>
  <c r="G9" i="39"/>
  <c r="E9" i="39"/>
  <c r="I7" i="39"/>
  <c r="G7" i="39"/>
  <c r="E7" i="39"/>
  <c r="I15" i="69"/>
  <c r="M20" i="1" l="1"/>
  <c r="L19" i="1"/>
  <c r="L18" i="1"/>
  <c r="F20" i="6"/>
  <c r="F19" i="6"/>
  <c r="K13" i="3"/>
  <c r="I13" i="3"/>
  <c r="A14" i="3"/>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1" i="55"/>
  <c r="A10" i="55"/>
  <c r="B61" i="63"/>
  <c r="A9" i="55"/>
  <c r="B60" i="63"/>
  <c r="A8" i="55"/>
  <c r="A6" i="54"/>
  <c r="A8" i="54"/>
  <c r="A7" i="54"/>
  <c r="A28" i="51"/>
  <c r="B21" i="63" s="1"/>
  <c r="A27" i="51"/>
  <c r="B20" i="63"/>
  <c r="Q19" i="59"/>
  <c r="AB17" i="59"/>
  <c r="O19" i="59"/>
  <c r="Y17" i="59"/>
  <c r="Z17" i="59"/>
  <c r="N20" i="59"/>
  <c r="O20" i="59"/>
  <c r="P20" i="59"/>
  <c r="Q20" i="59"/>
  <c r="N19" i="59"/>
  <c r="X17" i="59"/>
  <c r="P19" i="59"/>
  <c r="B21" i="59"/>
  <c r="C21" i="59"/>
  <c r="D21" i="59"/>
  <c r="E21" i="59"/>
  <c r="F21" i="59"/>
  <c r="K75" i="9"/>
  <c r="K6" i="4"/>
  <c r="O76" i="9" s="1"/>
  <c r="B22" i="31"/>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s="1"/>
  <c r="A14" i="51"/>
  <c r="B11" i="63" s="1"/>
  <c r="A4" i="55"/>
  <c r="B57" i="63"/>
  <c r="B41" i="63"/>
  <c r="G5" i="54"/>
  <c r="B34" i="63"/>
  <c r="E5" i="54"/>
  <c r="B32" i="63"/>
  <c r="R2" i="54"/>
  <c r="B24" i="63"/>
  <c r="B19" i="63"/>
  <c r="B49" i="50"/>
  <c r="B5" i="63"/>
  <c r="B40" i="50"/>
  <c r="B3" i="63" s="1"/>
  <c r="N4"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C21" i="21"/>
  <c r="Z27" i="40"/>
  <c r="Q27" i="40"/>
  <c r="D96" i="40"/>
  <c r="E96" i="40"/>
  <c r="F27" i="40"/>
  <c r="AA27" i="40"/>
  <c r="Z31" i="39"/>
  <c r="Q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s="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J32" i="21"/>
  <c r="AC32" i="21" s="1"/>
  <c r="G13" i="3"/>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S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s="1"/>
  <c r="U21" i="39"/>
  <c r="AB33" i="36"/>
  <c r="AA11" i="36"/>
  <c r="AA14" i="35"/>
  <c r="S14" i="35"/>
  <c r="G99" i="37"/>
  <c r="F33" i="37"/>
  <c r="U46" i="34"/>
  <c r="AC30" i="34"/>
  <c r="AA14" i="34"/>
  <c r="W12" i="34"/>
  <c r="U29" i="33"/>
  <c r="AC13" i="33"/>
  <c r="U17" i="34"/>
  <c r="AA11" i="34"/>
  <c r="W32" i="33"/>
  <c r="H15" i="33"/>
  <c r="U15" i="33"/>
  <c r="AA11" i="33"/>
  <c r="S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U34" i="39"/>
  <c r="AB46" i="39"/>
  <c r="AC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AB37" i="21"/>
  <c r="W28" i="21"/>
  <c r="AC46" i="21"/>
  <c r="AC26" i="2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S29" i="39"/>
  <c r="S14" i="39"/>
  <c r="AB15" i="39"/>
  <c r="U11" i="39"/>
  <c r="U41" i="39"/>
  <c r="AB38" i="39"/>
  <c r="U31" i="39"/>
  <c r="AB31" i="39"/>
  <c r="S38" i="39"/>
  <c r="S22" i="31"/>
  <c r="M20" i="15"/>
  <c r="D96" i="9"/>
  <c r="F28" i="15"/>
  <c r="M18" i="15"/>
  <c r="A18" i="64"/>
  <c r="B74" i="63"/>
  <c r="C53" i="10"/>
  <c r="A25" i="64" s="1"/>
  <c r="A18" i="51"/>
  <c r="B14" i="63"/>
  <c r="BA16" i="3"/>
  <c r="BA17" i="3"/>
  <c r="AZ17" i="3"/>
  <c r="F3" i="35"/>
  <c r="K1" i="43"/>
  <c r="K1" i="12"/>
  <c r="G1" i="44"/>
  <c r="I4" i="6"/>
  <c r="G3" i="46"/>
  <c r="AZ15" i="3"/>
  <c r="G5" i="3"/>
  <c r="B3" i="3" s="1"/>
  <c r="E75"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AB43" i="39"/>
  <c r="AB33" i="39"/>
  <c r="AC46" i="39"/>
  <c r="S34" i="39"/>
  <c r="W42" i="39"/>
  <c r="W36" i="39"/>
  <c r="U14" i="39"/>
  <c r="W16" i="39"/>
  <c r="S15" i="39"/>
  <c r="W25"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E53" i="40"/>
  <c r="F27" i="6"/>
  <c r="E5" i="6"/>
  <c r="D12" i="11" s="1"/>
  <c r="C12" i="11" s="1"/>
  <c r="E317" i="3"/>
  <c r="E28" i="3"/>
  <c r="E357" i="3"/>
  <c r="E141" i="3"/>
  <c r="E179" i="3"/>
  <c r="E168" i="3"/>
  <c r="AS6" i="3"/>
  <c r="E34" i="3"/>
  <c r="E444" i="3"/>
  <c r="E407" i="3"/>
  <c r="E383" i="3"/>
  <c r="E550" i="3"/>
  <c r="E247" i="3"/>
  <c r="E136" i="3"/>
  <c r="E568" i="3"/>
  <c r="E79" i="3"/>
  <c r="E85" i="3"/>
  <c r="E425" i="3"/>
  <c r="E539" i="3"/>
  <c r="E401" i="3"/>
  <c r="E332" i="3"/>
  <c r="E257" i="3"/>
  <c r="E245" i="3"/>
  <c r="E272" i="3"/>
  <c r="AT6" i="3"/>
  <c r="E139" i="3"/>
  <c r="E16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H16" i="1"/>
  <c r="A9" i="64"/>
  <c r="A9" i="51"/>
  <c r="B9" i="63" s="1"/>
  <c r="A3" i="55"/>
  <c r="B56" i="63"/>
  <c r="E4" i="4"/>
  <c r="C4" i="4"/>
  <c r="G66" i="36"/>
  <c r="J18" i="36"/>
  <c r="AE8" i="1"/>
  <c r="AE6" i="1"/>
  <c r="W18" i="36"/>
  <c r="AC18" i="36"/>
  <c r="AG6" i="1"/>
  <c r="L20" i="6"/>
  <c r="AZ5" i="3"/>
  <c r="E3" i="6" s="1"/>
  <c r="L19" i="6"/>
  <c r="L27" i="6" s="1"/>
  <c r="B21" i="55"/>
  <c r="B72" i="63"/>
  <c r="B20" i="55"/>
  <c r="B70" i="63"/>
  <c r="S8" i="1"/>
  <c r="S9" i="1"/>
  <c r="R9" i="1"/>
  <c r="R8" i="1"/>
  <c r="C45" i="9"/>
  <c r="H14" i="66"/>
  <c r="B7" i="66" s="1"/>
  <c r="O40" i="9"/>
  <c r="R7" i="54" s="1"/>
  <c r="B52" i="63" s="1"/>
  <c r="K31" i="9"/>
  <c r="K32" i="9"/>
  <c r="N76" i="9"/>
  <c r="C46" i="9"/>
  <c r="K33" i="9"/>
  <c r="K34" i="9" s="1"/>
  <c r="O41" i="9"/>
  <c r="I14" i="66"/>
  <c r="B8" i="66" s="1"/>
  <c r="R8" i="54"/>
  <c r="B54" i="63"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H22" i="46"/>
  <c r="Y11" i="46"/>
  <c r="Y13" i="46"/>
  <c r="H101" i="46"/>
  <c r="H102" i="46"/>
  <c r="G22" i="46"/>
  <c r="J22" i="46"/>
  <c r="F101" i="46"/>
  <c r="F106" i="46"/>
  <c r="D101" i="46"/>
  <c r="D106" i="46"/>
  <c r="AY6" i="3"/>
  <c r="D3" i="6" s="1"/>
  <c r="AP7" i="1"/>
  <c r="G13" i="1"/>
  <c r="G6" i="1"/>
  <c r="H70" i="46"/>
  <c r="F107" i="46"/>
  <c r="H73" i="46"/>
  <c r="H50" i="46"/>
  <c r="H48" i="46"/>
  <c r="F35" i="46"/>
  <c r="I17" i="46"/>
  <c r="G17" i="46"/>
  <c r="C16" i="46"/>
  <c r="H63" i="46"/>
  <c r="I101" i="46"/>
  <c r="M101" i="46"/>
  <c r="M107" i="46" s="1"/>
  <c r="N101" i="46"/>
  <c r="N105" i="46" s="1"/>
  <c r="AC11" i="46"/>
  <c r="AC13" i="46" s="1"/>
  <c r="AD11" i="46"/>
  <c r="AJ11" i="46"/>
  <c r="AJ13" i="46" s="1"/>
  <c r="H64" i="46"/>
  <c r="H66" i="46"/>
  <c r="D100" i="46"/>
  <c r="F104" i="46"/>
  <c r="F109" i="46"/>
  <c r="H62" i="46"/>
  <c r="AF12" i="46"/>
  <c r="K100" i="46"/>
  <c r="AB12" i="46"/>
  <c r="AJ12" i="46"/>
  <c r="F102" i="46"/>
  <c r="F105" i="46"/>
  <c r="F103" i="46"/>
  <c r="C101" i="46"/>
  <c r="C109" i="46" s="1"/>
  <c r="G101" i="46"/>
  <c r="J101" i="46"/>
  <c r="J106" i="46" s="1"/>
  <c r="B113" i="46"/>
  <c r="N104" i="45"/>
  <c r="L101" i="46"/>
  <c r="L105" i="46" s="1"/>
  <c r="F22" i="46"/>
  <c r="E101" i="46"/>
  <c r="E106" i="46" s="1"/>
  <c r="Z7" i="46"/>
  <c r="K101" i="46"/>
  <c r="K103"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V13" i="59"/>
  <c r="D13" i="59"/>
  <c r="D107" i="46"/>
  <c r="M106" i="46"/>
  <c r="H107" i="46"/>
  <c r="C5" i="46"/>
  <c r="H105" i="46"/>
  <c r="H109" i="46"/>
  <c r="D103" i="46"/>
  <c r="D102" i="46"/>
  <c r="H104" i="46"/>
  <c r="H106" i="46"/>
  <c r="D5" i="46"/>
  <c r="D105" i="46"/>
  <c r="D109" i="46"/>
  <c r="D104" i="46"/>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330" i="3"/>
  <c r="AY35" i="3"/>
  <c r="AY91" i="3"/>
  <c r="AY124" i="3"/>
  <c r="AY449"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N104" i="46"/>
  <c r="AD13" i="46"/>
  <c r="N109" i="46"/>
  <c r="N103" i="46"/>
  <c r="I105" i="46"/>
  <c r="K107" i="46"/>
  <c r="K102" i="46"/>
  <c r="K104" i="46"/>
  <c r="E104" i="46"/>
  <c r="E105" i="46"/>
  <c r="E102" i="46"/>
  <c r="L102" i="46"/>
  <c r="L104"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G109" i="46"/>
  <c r="K109" i="46"/>
  <c r="J103" i="46"/>
  <c r="E109" i="46"/>
  <c r="C7" i="46"/>
  <c r="D12" i="59"/>
  <c r="D11" i="59"/>
  <c r="G20" i="46"/>
  <c r="E41" i="46"/>
  <c r="C41" i="46"/>
  <c r="F43" i="15"/>
  <c r="M25" i="44"/>
  <c r="F8" i="67"/>
  <c r="M29" i="15"/>
  <c r="F40" i="44"/>
  <c r="F10" i="44"/>
  <c r="N5" i="65"/>
  <c r="F36" i="15"/>
  <c r="M23" i="44"/>
  <c r="F13" i="15"/>
  <c r="F39" i="44"/>
  <c r="J7" i="65"/>
  <c r="F14" i="67"/>
  <c r="M28" i="44"/>
  <c r="B8" i="67"/>
  <c r="M11" i="44"/>
  <c r="F9" i="44"/>
  <c r="E9" i="67"/>
  <c r="J4" i="65"/>
  <c r="C19" i="44"/>
  <c r="F42" i="15"/>
  <c r="E12" i="67"/>
  <c r="B14" i="67"/>
  <c r="F37" i="15"/>
  <c r="B13" i="67"/>
  <c r="F10" i="67"/>
  <c r="F12" i="67"/>
  <c r="N3" i="65"/>
  <c r="M10" i="44"/>
  <c r="B11" i="67"/>
  <c r="F38" i="15"/>
  <c r="E11" i="67"/>
  <c r="M22" i="15"/>
  <c r="M29" i="44"/>
  <c r="L48" i="44"/>
  <c r="I5" i="65"/>
  <c r="M30" i="44"/>
  <c r="E13" i="67"/>
  <c r="F11" i="67"/>
  <c r="F45" i="44"/>
  <c r="I4" i="65"/>
  <c r="F6" i="15"/>
  <c r="L47" i="15"/>
  <c r="F16" i="15"/>
  <c r="F9" i="15"/>
  <c r="F46" i="44"/>
  <c r="F9" i="67"/>
  <c r="F35" i="15"/>
  <c r="F26" i="15"/>
  <c r="F43" i="44"/>
  <c r="F38" i="44"/>
  <c r="E10" i="67"/>
  <c r="F8" i="15"/>
  <c r="J5" i="65"/>
  <c r="M24" i="15"/>
  <c r="L49" i="44"/>
  <c r="M8" i="15"/>
  <c r="N6" i="65"/>
  <c r="J17" i="44"/>
  <c r="F11" i="44"/>
  <c r="M24" i="44"/>
  <c r="M21" i="15"/>
  <c r="M31" i="44"/>
  <c r="B10" i="67"/>
  <c r="M23" i="15"/>
  <c r="J15" i="15"/>
  <c r="I7" i="65"/>
  <c r="F40" i="15"/>
  <c r="J3" i="65"/>
  <c r="J36" i="15"/>
  <c r="F37" i="44"/>
  <c r="E8" i="67"/>
  <c r="I3" i="65"/>
  <c r="F8" i="44"/>
  <c r="M9" i="15"/>
  <c r="M26" i="44"/>
  <c r="E14" i="67"/>
  <c r="F18" i="44"/>
  <c r="M6" i="15"/>
  <c r="F13" i="67"/>
  <c r="B9" i="67"/>
  <c r="J6" i="65"/>
  <c r="N4" i="65"/>
  <c r="M28" i="15"/>
  <c r="M8" i="44"/>
  <c r="N7" i="65"/>
  <c r="F7" i="15"/>
  <c r="L48" i="15"/>
  <c r="M27" i="15"/>
  <c r="B12" i="67"/>
  <c r="M26" i="15"/>
  <c r="F28" i="44"/>
  <c r="F15" i="44"/>
  <c r="I6" i="65"/>
  <c r="F81" i="21" l="1"/>
  <c r="G81" i="21" s="1"/>
  <c r="H19" i="21"/>
  <c r="AB19" i="21" s="1"/>
  <c r="AC40" i="21"/>
  <c r="AA38" i="21"/>
  <c r="AA43" i="21"/>
  <c r="W42" i="21"/>
  <c r="S42" i="21"/>
  <c r="U43" i="21"/>
  <c r="AA40" i="21"/>
  <c r="U39" i="21"/>
  <c r="AA37" i="21"/>
  <c r="AB32" i="21"/>
  <c r="AA36" i="21"/>
  <c r="AC36" i="21"/>
  <c r="AB36" i="21"/>
  <c r="S35" i="21"/>
  <c r="U35" i="21"/>
  <c r="W32" i="21"/>
  <c r="F23" i="21"/>
  <c r="F85" i="21"/>
  <c r="G85" i="21" s="1"/>
  <c r="J23" i="21"/>
  <c r="H23" i="21"/>
  <c r="F21" i="21"/>
  <c r="AA21" i="21" s="1"/>
  <c r="H21" i="21"/>
  <c r="J21" i="21"/>
  <c r="F83" i="21"/>
  <c r="G83" i="21" s="1"/>
  <c r="J19" i="21"/>
  <c r="W19" i="21" s="1"/>
  <c r="F19" i="21"/>
  <c r="AA19" i="21" s="1"/>
  <c r="F17" i="21"/>
  <c r="J17" i="21"/>
  <c r="AC17" i="21" s="1"/>
  <c r="F79" i="21"/>
  <c r="G79" i="21" s="1"/>
  <c r="H17" i="21"/>
  <c r="AB17" i="21" s="1"/>
  <c r="F77" i="21"/>
  <c r="G77" i="21" s="1"/>
  <c r="J15" i="21"/>
  <c r="W15" i="21" s="1"/>
  <c r="F15" i="21"/>
  <c r="S15" i="21" s="1"/>
  <c r="H15" i="21"/>
  <c r="AA15" i="21"/>
  <c r="AC19" i="21"/>
  <c r="S19" i="21"/>
  <c r="AC15" i="21"/>
  <c r="AB10" i="21"/>
  <c r="W9" i="21"/>
  <c r="U9" i="21"/>
  <c r="S9" i="21"/>
  <c r="AA9" i="21"/>
  <c r="M43" i="9"/>
  <c r="D18" i="9"/>
  <c r="M44" i="9" s="1"/>
  <c r="AC43" i="39"/>
  <c r="AA44" i="39"/>
  <c r="AC44" i="39"/>
  <c r="AB44" i="39"/>
  <c r="S41" i="39"/>
  <c r="W41" i="39"/>
  <c r="AB29" i="39"/>
  <c r="H27" i="39"/>
  <c r="AB27" i="39" s="1"/>
  <c r="F101" i="39"/>
  <c r="G101" i="39" s="1"/>
  <c r="F27" i="39"/>
  <c r="J27" i="39"/>
  <c r="AC27" i="39" s="1"/>
  <c r="U23" i="39"/>
  <c r="H19" i="39"/>
  <c r="F93" i="39"/>
  <c r="G93" i="39" s="1"/>
  <c r="F19" i="39"/>
  <c r="J19" i="39"/>
  <c r="F17" i="39"/>
  <c r="J17" i="39"/>
  <c r="W17" i="39" s="1"/>
  <c r="F91" i="39"/>
  <c r="G91" i="39" s="1"/>
  <c r="H17" i="39"/>
  <c r="U17" i="39" s="1"/>
  <c r="S31" i="39"/>
  <c r="AC37" i="39"/>
  <c r="AC38" i="39"/>
  <c r="AB37" i="39"/>
  <c r="AC31" i="39"/>
  <c r="W29" i="39"/>
  <c r="W27" i="39"/>
  <c r="S25" i="39"/>
  <c r="AB25" i="39"/>
  <c r="W23" i="39"/>
  <c r="S23" i="39"/>
  <c r="AC21" i="39"/>
  <c r="W13" i="39"/>
  <c r="A30" i="64"/>
  <c r="A30" i="51"/>
  <c r="B22" i="63" s="1"/>
  <c r="P75" i="15"/>
  <c r="C103" i="46"/>
  <c r="J107" i="46"/>
  <c r="M105" i="46"/>
  <c r="M102" i="46"/>
  <c r="C106" i="46"/>
  <c r="C104" i="46"/>
  <c r="J102" i="46"/>
  <c r="M104" i="46"/>
  <c r="E63" i="40"/>
  <c r="D25" i="6"/>
  <c r="D8" i="6"/>
  <c r="E68" i="39"/>
  <c r="D22" i="6"/>
  <c r="E46" i="9"/>
  <c r="D24" i="6"/>
  <c r="D5" i="6"/>
  <c r="D19" i="6"/>
  <c r="D23" i="6"/>
  <c r="E45" i="9"/>
  <c r="AY481" i="3"/>
  <c r="AY236" i="3"/>
  <c r="AY99" i="3"/>
  <c r="AY528" i="3"/>
  <c r="AY501"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45" i="3"/>
  <c r="AY182" i="3"/>
  <c r="AY83" i="3"/>
  <c r="AY504" i="3"/>
  <c r="AY95" i="3"/>
  <c r="AY128" i="3"/>
  <c r="AY203" i="3"/>
  <c r="AY41" i="3"/>
  <c r="AY37" i="3"/>
  <c r="AY82" i="3"/>
  <c r="I102" i="46"/>
  <c r="I109"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L106" i="46"/>
  <c r="E107" i="46"/>
  <c r="E103" i="46"/>
  <c r="K105" i="46"/>
  <c r="K106" i="46"/>
  <c r="I107" i="46"/>
  <c r="N102" i="46"/>
  <c r="N106" i="46"/>
  <c r="I103" i="46"/>
  <c r="N107" i="46"/>
  <c r="I104" i="46"/>
  <c r="L6" i="3"/>
  <c r="E203" i="3"/>
  <c r="E261" i="3"/>
  <c r="E275" i="3"/>
  <c r="E233" i="3"/>
  <c r="E303" i="3"/>
  <c r="E111" i="3"/>
  <c r="E507" i="3"/>
  <c r="E420" i="3"/>
  <c r="E37" i="3"/>
  <c r="E560" i="3"/>
  <c r="E113" i="3"/>
  <c r="E363" i="3"/>
  <c r="E289" i="3"/>
  <c r="E455" i="3"/>
  <c r="AE6" i="3"/>
  <c r="E438" i="3"/>
  <c r="E97" i="3"/>
  <c r="E48" i="3"/>
  <c r="E500" i="3"/>
  <c r="J6" i="3"/>
  <c r="E119" i="3"/>
  <c r="E178" i="3"/>
  <c r="Q6" i="3"/>
  <c r="E561" i="3"/>
  <c r="E297" i="3"/>
  <c r="E395" i="3"/>
  <c r="AN6"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411" i="3"/>
  <c r="E250" i="3"/>
  <c r="E41"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M109" i="46"/>
  <c r="M103" i="46"/>
  <c r="J109" i="46"/>
  <c r="C105" i="46"/>
  <c r="C102" i="46"/>
  <c r="C107" i="46"/>
  <c r="J105" i="46"/>
  <c r="J104" i="46"/>
  <c r="F33" i="12"/>
  <c r="F31" i="6"/>
  <c r="G30" i="6"/>
  <c r="G31" i="6" s="1"/>
  <c r="E28" i="6"/>
  <c r="O9" i="1"/>
  <c r="P9" i="1" s="1"/>
  <c r="E14" i="6"/>
  <c r="E13" i="6"/>
  <c r="E10" i="6"/>
  <c r="BI6" i="3"/>
  <c r="E15" i="6"/>
  <c r="E12" i="6"/>
  <c r="E11" i="6"/>
  <c r="O12" i="1"/>
  <c r="P12" i="1" s="1"/>
  <c r="C22" i="4"/>
  <c r="D21" i="6"/>
  <c r="D10" i="6"/>
  <c r="D14" i="6"/>
  <c r="D20" i="6"/>
  <c r="F45" i="9"/>
  <c r="K38" i="9"/>
  <c r="C14" i="66" s="1"/>
  <c r="B2" i="66" s="1"/>
  <c r="D26" i="6"/>
  <c r="D11" i="6"/>
  <c r="D9" i="6"/>
  <c r="D29" i="6"/>
  <c r="D15" i="6"/>
  <c r="F46" i="9"/>
  <c r="D16" i="12"/>
  <c r="D19" i="12" s="1"/>
  <c r="C19" i="12" s="1"/>
  <c r="D45" i="9"/>
  <c r="C21" i="4"/>
  <c r="O5" i="54" s="1"/>
  <c r="B45" i="63" s="1"/>
  <c r="D16" i="43"/>
  <c r="C16" i="43" s="1"/>
  <c r="E6" i="6"/>
  <c r="D6" i="6" s="1"/>
  <c r="L38" i="9"/>
  <c r="B14" i="66" s="1"/>
  <c r="B1" i="66" s="1"/>
  <c r="D46" i="9"/>
  <c r="O7" i="1"/>
  <c r="P7" i="1" s="1"/>
  <c r="O11" i="1"/>
  <c r="P11" i="1" s="1"/>
  <c r="O13" i="1"/>
  <c r="P13" i="1" s="1"/>
  <c r="D21" i="12"/>
  <c r="C21" i="12" s="1"/>
  <c r="E156" i="3"/>
  <c r="E443" i="3"/>
  <c r="E535" i="3"/>
  <c r="E23" i="3"/>
  <c r="E283" i="3"/>
  <c r="G115" i="46"/>
  <c r="H115" i="46" s="1"/>
  <c r="K17" i="4"/>
  <c r="A22" i="51" s="1"/>
  <c r="B16" i="63" s="1"/>
  <c r="L76" i="9"/>
  <c r="C8" i="66"/>
  <c r="D8" i="66"/>
  <c r="D7" i="66"/>
  <c r="C7" i="66"/>
  <c r="K76" i="9"/>
  <c r="AP16" i="1"/>
  <c r="F22" i="11" s="1"/>
  <c r="A25" i="51"/>
  <c r="B18" i="63" s="1"/>
  <c r="C7" i="21"/>
  <c r="C58" i="21" s="1"/>
  <c r="D58" i="21" s="1"/>
  <c r="E58" i="21" s="1"/>
  <c r="C7" i="34"/>
  <c r="C59" i="34" s="1"/>
  <c r="C9" i="39"/>
  <c r="C70" i="39" s="1"/>
  <c r="G12" i="1"/>
  <c r="G16" i="1" s="1"/>
  <c r="N67" i="9"/>
  <c r="C95" i="9"/>
  <c r="C92" i="9" s="1"/>
  <c r="C25" i="12"/>
  <c r="C15" i="43"/>
  <c r="C31" i="43"/>
  <c r="C15" i="12"/>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H7" i="2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2" i="65"/>
  <c r="C16" i="15"/>
  <c r="C17" i="15"/>
  <c r="C18" i="44"/>
  <c r="E3" i="65"/>
  <c r="S21" i="21" l="1"/>
  <c r="U19" i="21"/>
  <c r="AC17" i="39"/>
  <c r="W17" i="21"/>
  <c r="AB23" i="21"/>
  <c r="U23" i="21"/>
  <c r="W23" i="21"/>
  <c r="AC23" i="21"/>
  <c r="S23" i="21"/>
  <c r="AA23" i="21"/>
  <c r="AB21" i="21"/>
  <c r="U21" i="21"/>
  <c r="W21" i="21"/>
  <c r="AC21" i="21"/>
  <c r="U17" i="21"/>
  <c r="S17" i="21"/>
  <c r="AA17" i="21"/>
  <c r="U15" i="21"/>
  <c r="AB15" i="21"/>
  <c r="U27" i="39"/>
  <c r="AA27" i="39"/>
  <c r="S27" i="39"/>
  <c r="W19" i="39"/>
  <c r="AC19" i="39"/>
  <c r="S19" i="39"/>
  <c r="AA19" i="39"/>
  <c r="U19" i="39"/>
  <c r="AB19" i="39"/>
  <c r="AB17" i="39"/>
  <c r="AA17" i="39"/>
  <c r="S17" i="39"/>
  <c r="S5" i="46"/>
  <c r="S3" i="46"/>
  <c r="S6" i="46"/>
  <c r="S2" i="46"/>
  <c r="S7" i="46"/>
  <c r="S4" i="46"/>
  <c r="C34" i="12"/>
  <c r="D33" i="12" s="1"/>
  <c r="D27" i="6"/>
  <c r="AC6" i="3"/>
  <c r="H6" i="3"/>
  <c r="E6" i="3" s="1"/>
  <c r="A20" i="64"/>
  <c r="C16" i="12"/>
  <c r="D113" i="46"/>
  <c r="A6" i="51"/>
  <c r="B7" i="63" s="1"/>
  <c r="A6" i="64"/>
  <c r="N5" i="54"/>
  <c r="B43" i="63" s="1"/>
  <c r="A20" i="51"/>
  <c r="B15" i="63" s="1"/>
  <c r="E58" i="40"/>
  <c r="E63" i="39"/>
  <c r="E62" i="40"/>
  <c r="E67" i="39"/>
  <c r="E16" i="6"/>
  <c r="E66" i="39"/>
  <c r="E61" i="40"/>
  <c r="D13" i="11"/>
  <c r="C13" i="11" s="1"/>
  <c r="D22" i="12"/>
  <c r="C22" i="12" s="1"/>
  <c r="C20" i="12" s="1"/>
  <c r="E59" i="40"/>
  <c r="D12" i="6"/>
  <c r="E64" i="39"/>
  <c r="E65" i="39"/>
  <c r="E60" i="40"/>
  <c r="D13" i="6"/>
  <c r="K20" i="6"/>
  <c r="K14" i="1"/>
  <c r="K26" i="6"/>
  <c r="M26" i="6" s="1"/>
  <c r="I26" i="6" s="1"/>
  <c r="K24" i="6"/>
  <c r="M24" i="6" s="1"/>
  <c r="I24" i="6" s="1"/>
  <c r="K22" i="6"/>
  <c r="M22" i="6" s="1"/>
  <c r="I22" i="6" s="1"/>
  <c r="E30" i="6"/>
  <c r="E31" i="6" s="1"/>
  <c r="K19" i="6"/>
  <c r="S6" i="1" s="1"/>
  <c r="K23" i="6"/>
  <c r="M23" i="6" s="1"/>
  <c r="I23" i="6" s="1"/>
  <c r="K25" i="6"/>
  <c r="M25" i="6" s="1"/>
  <c r="I25" i="6" s="1"/>
  <c r="K21" i="6"/>
  <c r="M21" i="6" s="1"/>
  <c r="I21" i="6" s="1"/>
  <c r="D28" i="6"/>
  <c r="D30" i="6" s="1"/>
  <c r="D31" i="6" s="1"/>
  <c r="I6" i="6" s="1"/>
  <c r="H12" i="39"/>
  <c r="U12" i="39" s="1"/>
  <c r="J12" i="39"/>
  <c r="AC12" i="39" s="1"/>
  <c r="F12" i="39"/>
  <c r="S12" i="39" s="1"/>
  <c r="H12" i="40"/>
  <c r="AB12" i="40" s="1"/>
  <c r="J12" i="40"/>
  <c r="AC12" i="40" s="1"/>
  <c r="F12" i="40"/>
  <c r="AA12" i="40" s="1"/>
  <c r="F7" i="21"/>
  <c r="AA7" i="21" s="1"/>
  <c r="H7" i="35"/>
  <c r="U7" i="35" s="1"/>
  <c r="B40" i="1"/>
  <c r="E65" i="40"/>
  <c r="D67" i="40"/>
  <c r="AC7" i="33"/>
  <c r="V48" i="33" s="1"/>
  <c r="I48" i="33" s="1"/>
  <c r="W7" i="33"/>
  <c r="S12" i="40"/>
  <c r="S7" i="34"/>
  <c r="AA7" i="34"/>
  <c r="R49" i="34" s="1"/>
  <c r="W7" i="34"/>
  <c r="AC7" i="34"/>
  <c r="V49" i="34" s="1"/>
  <c r="I49" i="34" s="1"/>
  <c r="U7" i="21"/>
  <c r="AB7" i="21"/>
  <c r="AB7" i="35"/>
  <c r="T38" i="35" s="1"/>
  <c r="G38" i="35" s="1"/>
  <c r="J7" i="37"/>
  <c r="W7" i="21"/>
  <c r="AC7" i="21"/>
  <c r="V48" i="21" s="1"/>
  <c r="I48" i="21" s="1"/>
  <c r="W12" i="39"/>
  <c r="D72" i="39"/>
  <c r="E70" i="39"/>
  <c r="AB7" i="34"/>
  <c r="T49" i="34" s="1"/>
  <c r="G49" i="34" s="1"/>
  <c r="U7" i="34"/>
  <c r="H7" i="33"/>
  <c r="F7" i="33"/>
  <c r="J46" i="36"/>
  <c r="J7" i="35"/>
  <c r="F7" i="35"/>
  <c r="H7" i="37"/>
  <c r="F7" i="37"/>
  <c r="D7" i="59"/>
  <c r="C6"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R48" i="21" l="1"/>
  <c r="E48" i="21" s="1"/>
  <c r="T48" i="21"/>
  <c r="G48" i="21" s="1"/>
  <c r="G53" i="21" s="1"/>
  <c r="H53" i="21" s="1"/>
  <c r="S7" i="21"/>
  <c r="M20" i="6"/>
  <c r="I20" i="6" s="1"/>
  <c r="S7" i="1"/>
  <c r="S16" i="1" s="1"/>
  <c r="AA12" i="39"/>
  <c r="U12" i="40"/>
  <c r="D16" i="6"/>
  <c r="I5" i="6"/>
  <c r="S21" i="6"/>
  <c r="H21" i="6"/>
  <c r="R21" i="6" s="1"/>
  <c r="S23" i="6"/>
  <c r="H23" i="6"/>
  <c r="R23" i="6" s="1"/>
  <c r="S24" i="6"/>
  <c r="H24" i="6"/>
  <c r="R24" i="6" s="1"/>
  <c r="AB12" i="39"/>
  <c r="S25" i="6"/>
  <c r="H25" i="6"/>
  <c r="R25" i="6" s="1"/>
  <c r="K27" i="6"/>
  <c r="M19" i="6"/>
  <c r="S22" i="6"/>
  <c r="H22" i="6"/>
  <c r="R22" i="6" s="1"/>
  <c r="S26" i="6"/>
  <c r="H26" i="6"/>
  <c r="R26" i="6" s="1"/>
  <c r="S20" i="6"/>
  <c r="H20" i="6"/>
  <c r="R20" i="6" s="1"/>
  <c r="R7" i="1" s="1"/>
  <c r="M14" i="1"/>
  <c r="K16" i="1"/>
  <c r="W12" i="40"/>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I53" i="34"/>
  <c r="J53" i="34" s="1"/>
  <c r="R50" i="34"/>
  <c r="E49" i="34"/>
  <c r="I52" i="33"/>
  <c r="J52" i="33" s="1"/>
  <c r="E67" i="40"/>
  <c r="F65" i="40"/>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G39" i="46"/>
  <c r="I39" i="46" s="1"/>
  <c r="E35" i="46"/>
  <c r="E37" i="46"/>
  <c r="G33" i="46"/>
  <c r="I33" i="46" s="1"/>
  <c r="E34" i="46"/>
  <c r="G34" i="46"/>
  <c r="I34" i="46" s="1"/>
  <c r="J18" i="15"/>
  <c r="J5" i="15"/>
  <c r="C40" i="44"/>
  <c r="J28" i="44"/>
  <c r="J31" i="44" s="1"/>
  <c r="J26" i="44"/>
  <c r="C52" i="15"/>
  <c r="C47" i="15" s="1"/>
  <c r="C10" i="15"/>
  <c r="C5" i="15" s="1"/>
  <c r="C20" i="11"/>
  <c r="C21" i="11" s="1"/>
  <c r="C22" i="11" s="1"/>
  <c r="C23" i="11" s="1"/>
  <c r="B2" i="11" s="1"/>
  <c r="F41" i="15"/>
  <c r="G52" i="21" l="1"/>
  <c r="H52" i="21" s="1"/>
  <c r="R49" i="21"/>
  <c r="F68" i="15"/>
  <c r="T11" i="1"/>
  <c r="T9" i="1"/>
  <c r="T8" i="1"/>
  <c r="T13" i="1"/>
  <c r="T12" i="1"/>
  <c r="O14" i="1"/>
  <c r="O16" i="1" s="1"/>
  <c r="T7" i="1"/>
  <c r="T6" i="1"/>
  <c r="T10" i="1"/>
  <c r="M16" i="1"/>
  <c r="M27" i="6"/>
  <c r="I19" i="6"/>
  <c r="E38"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10" i="12" s="1"/>
  <c r="C49" i="21"/>
  <c r="B3" i="21" s="1"/>
  <c r="B2" i="21" s="1"/>
  <c r="I46" i="37"/>
  <c r="J46" i="37" s="1"/>
  <c r="G52" i="33"/>
  <c r="H52" i="33" s="1"/>
  <c r="G53" i="33"/>
  <c r="H53" i="33" s="1"/>
  <c r="I42" i="35"/>
  <c r="J42" i="35" s="1"/>
  <c r="G46" i="37"/>
  <c r="H46" i="37" s="1"/>
  <c r="G47" i="37"/>
  <c r="H47" i="37" s="1"/>
  <c r="D5" i="59"/>
  <c r="M20" i="46"/>
  <c r="E29" i="46"/>
  <c r="C27" i="46"/>
  <c r="C65" i="15"/>
  <c r="C59" i="15"/>
  <c r="B5" i="11"/>
  <c r="B3" i="11"/>
  <c r="B4" i="11"/>
  <c r="J26" i="15"/>
  <c r="J29" i="15" s="1"/>
  <c r="J24" i="15"/>
  <c r="C38" i="15"/>
  <c r="Q58" i="44"/>
  <c r="Q67" i="44"/>
  <c r="Q49" i="44"/>
  <c r="Q55" i="44" s="1"/>
  <c r="F7" i="67"/>
  <c r="C14" i="15"/>
  <c r="C16" i="44"/>
  <c r="T16" i="1" l="1"/>
  <c r="C20" i="44"/>
  <c r="C17" i="44"/>
  <c r="C15" i="15"/>
  <c r="C18" i="15"/>
  <c r="I27" i="6"/>
  <c r="S19" i="6"/>
  <c r="S27" i="6" s="1"/>
  <c r="H19" i="6"/>
  <c r="L16" i="1"/>
  <c r="N16" i="1"/>
  <c r="C29" i="43" s="1"/>
  <c r="C13" i="43"/>
  <c r="P14" i="1"/>
  <c r="P16" i="1" s="1"/>
  <c r="C13" i="12"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21" i="44" l="1"/>
  <c r="C22" i="44" s="1"/>
  <c r="C28" i="44" s="1"/>
  <c r="C19" i="15"/>
  <c r="C20" i="15" s="1"/>
  <c r="C26" i="15" s="1"/>
  <c r="C17" i="12"/>
  <c r="C14" i="12"/>
  <c r="C14" i="43"/>
  <c r="C17" i="43"/>
  <c r="R19" i="6"/>
  <c r="H27" i="6"/>
  <c r="I65" i="40"/>
  <c r="H67" i="40"/>
  <c r="H72" i="39"/>
  <c r="I70" i="39"/>
  <c r="N46" i="36"/>
  <c r="E3" i="67"/>
  <c r="B2" i="67"/>
  <c r="D4" i="46"/>
  <c r="B3" i="46"/>
  <c r="B4" i="46"/>
  <c r="R27" i="6" l="1"/>
  <c r="R6" i="1"/>
  <c r="R16" i="1" s="1"/>
  <c r="C18" i="12"/>
  <c r="C23" i="12" s="1"/>
  <c r="C18" i="43"/>
  <c r="C19" i="43" s="1"/>
  <c r="C25" i="43" s="1"/>
  <c r="C24" i="43" s="1"/>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19" i="9"/>
  <c r="D21" i="9"/>
  <c r="B3" i="39" l="1"/>
  <c r="B5" i="39"/>
  <c r="L44" i="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C37" i="15" s="1"/>
  <c r="C35" i="44"/>
  <c r="C33" i="44" s="1"/>
  <c r="J21" i="44"/>
  <c r="J19" i="44" s="1"/>
  <c r="C36" i="15"/>
  <c r="J14" i="15"/>
  <c r="J13" i="15" s="1"/>
  <c r="J23" i="15" s="1"/>
  <c r="C56" i="15"/>
  <c r="C60" i="15" s="1"/>
  <c r="C58" i="15" s="1"/>
  <c r="J16" i="44"/>
  <c r="J24" i="44" s="1"/>
  <c r="Q51" i="44"/>
  <c r="B4" i="43"/>
  <c r="B3" i="43"/>
  <c r="Q49" i="15"/>
  <c r="Q72" i="44"/>
  <c r="C39" i="44"/>
  <c r="C43" i="44"/>
  <c r="C55" i="15" l="1"/>
  <c r="C64" i="15" s="1"/>
  <c r="Q71" i="15"/>
  <c r="J22" i="15"/>
  <c r="J16" i="15" s="1"/>
  <c r="J25" i="15" s="1"/>
  <c r="J15" i="44"/>
  <c r="J25" i="44" s="1"/>
  <c r="J18" i="44" s="1"/>
  <c r="J27" i="44" s="1"/>
  <c r="J35" i="15"/>
  <c r="C63" i="15"/>
  <c r="C32" i="44"/>
  <c r="C42" i="44" s="1"/>
  <c r="C44" i="44" s="1"/>
  <c r="C45" i="44" s="1"/>
  <c r="C30" i="15"/>
  <c r="C39" i="15" s="1"/>
  <c r="C40" i="15" s="1"/>
  <c r="C57" i="15" l="1"/>
  <c r="C66" i="15" s="1"/>
  <c r="C67" i="15" s="1"/>
  <c r="C70" i="15" s="1"/>
  <c r="Q71" i="44"/>
  <c r="Q70" i="44" s="1"/>
  <c r="J39" i="15"/>
  <c r="J40" i="15" s="1"/>
  <c r="Q70" i="15"/>
  <c r="Q69" i="15" s="1"/>
  <c r="L57" i="15"/>
  <c r="L60" i="15" s="1"/>
  <c r="B2" i="44"/>
  <c r="L52" i="44"/>
  <c r="Q57" i="15"/>
  <c r="Q48" i="15"/>
  <c r="Q54" i="15" s="1"/>
  <c r="Q66" i="15"/>
  <c r="C43" i="15"/>
  <c r="J42" i="15"/>
  <c r="J43" i="15" s="1"/>
  <c r="L51" i="15"/>
  <c r="C46" i="15" l="1"/>
  <c r="Q68" i="15"/>
  <c r="Q67" i="15"/>
  <c r="Q76" i="15" s="1"/>
  <c r="L46" i="15"/>
  <c r="B2" i="15" s="1"/>
  <c r="Q58" i="15"/>
  <c r="Q63" i="15" s="1"/>
  <c r="Q69" i="44"/>
  <c r="L58" i="44"/>
  <c r="L61" i="44" s="1"/>
  <c r="B3" i="44"/>
  <c r="B5" i="44"/>
  <c r="B4" i="44"/>
  <c r="B3" i="15" l="1"/>
  <c r="D8" i="12" s="1"/>
  <c r="D10" i="12"/>
  <c r="C6" i="12" s="1"/>
  <c r="Q59" i="44"/>
  <c r="Q64" i="44" s="1"/>
  <c r="Q68" i="44"/>
  <c r="Q77" i="44" s="1"/>
  <c r="C24" i="12" l="1"/>
  <c r="C29" i="12"/>
  <c r="C35" i="12" l="1"/>
  <c r="C33" i="12" s="1"/>
  <c r="C28" i="12"/>
  <c r="C26" i="12" s="1"/>
  <c r="C31" i="12" s="1"/>
  <c r="C30" i="12" s="1"/>
  <c r="C36" i="12" l="1"/>
  <c r="B2" i="12" s="1"/>
  <c r="C19" i="9"/>
  <c r="G19" i="9" l="1"/>
  <c r="L43" i="9"/>
  <c r="D22" i="9"/>
  <c r="B3" i="12"/>
  <c r="B4" i="12"/>
  <c r="B5" i="12"/>
  <c r="C20" i="9"/>
  <c r="C21" i="9"/>
  <c r="G20" i="9" l="1"/>
  <c r="G21" i="9"/>
  <c r="C32" i="9"/>
  <c r="G22" i="9"/>
  <c r="N43" i="9"/>
  <c r="O43" i="9" l="1"/>
  <c r="C35" i="9"/>
  <c r="F42" i="9" s="1"/>
  <c r="O38" i="9"/>
  <c r="C42" i="9"/>
  <c r="C34" i="9"/>
  <c r="C33" i="9"/>
  <c r="D42" i="9" l="1"/>
  <c r="Q5" i="54" s="1"/>
  <c r="B47" i="63" s="1"/>
  <c r="N38" i="9"/>
  <c r="K28" i="9" s="1"/>
  <c r="C44" i="9"/>
  <c r="D63" i="9"/>
  <c r="D14" i="66"/>
  <c r="N68" i="9"/>
  <c r="R5" i="54"/>
  <c r="B48" i="63" s="1"/>
  <c r="M38" i="9"/>
  <c r="K27" i="9" s="1"/>
  <c r="E42" i="9"/>
  <c r="P5" i="54" s="1"/>
  <c r="B46" i="63" s="1"/>
  <c r="K26" i="9"/>
  <c r="K25" i="9"/>
  <c r="D73" i="9" l="1"/>
  <c r="N73" i="9" s="1"/>
  <c r="C96" i="9"/>
  <c r="C91" i="9" s="1"/>
  <c r="C103" i="9"/>
  <c r="C90" i="9"/>
  <c r="C97" i="9" s="1"/>
  <c r="C111" i="9"/>
  <c r="C104" i="9" s="1"/>
  <c r="C82" i="9"/>
  <c r="C81" i="9" s="1"/>
  <c r="C85" i="9" s="1"/>
  <c r="C86" i="9" s="1"/>
  <c r="D72" i="9" s="1"/>
  <c r="D70" i="9"/>
  <c r="D71" i="9"/>
  <c r="D66" i="9" s="1"/>
  <c r="N72" i="9" s="1"/>
  <c r="F14" i="66"/>
  <c r="E14" i="66"/>
  <c r="N69" i="9"/>
  <c r="E44" i="9"/>
  <c r="D44" i="9"/>
  <c r="G14" i="66"/>
  <c r="F44" i="9"/>
  <c r="O39" i="9"/>
  <c r="M84" i="9" l="1"/>
  <c r="N84" i="9" s="1"/>
  <c r="M87" i="9"/>
  <c r="N87" i="9" s="1"/>
  <c r="M83" i="9"/>
  <c r="N83" i="9" s="1"/>
  <c r="M86" i="9"/>
  <c r="N86" i="9" s="1"/>
  <c r="M88" i="9"/>
  <c r="N88" i="9" s="1"/>
  <c r="M85" i="9"/>
  <c r="N85" i="9" s="1"/>
  <c r="C98" i="9"/>
  <c r="E98" i="9" s="1"/>
  <c r="E99" i="9" s="1"/>
  <c r="R6" i="54"/>
  <c r="B50" i="63" s="1"/>
  <c r="K29" i="9"/>
  <c r="K30" i="9" s="1"/>
  <c r="C113" i="9"/>
  <c r="C99" i="9" l="1"/>
  <c r="N89" i="9"/>
  <c r="O89" i="9" s="1"/>
  <c r="C114" i="9"/>
  <c r="E114" i="9" s="1"/>
  <c r="E115" i="9" s="1"/>
  <c r="C115" i="9" l="1"/>
  <c r="D76" i="9" s="1"/>
  <c r="D74" i="9" s="1"/>
  <c r="N74" i="9" s="1"/>
  <c r="O77" i="9" s="1"/>
  <c r="Q77" i="9" s="1"/>
  <c r="O79" i="9" l="1"/>
  <c r="O80" i="9" s="1"/>
  <c r="O78" i="9"/>
  <c r="O81" i="9" l="1"/>
  <c r="J15" i="69" l="1"/>
  <c r="D15" i="66" l="1"/>
  <c r="E15" i="66" l="1"/>
  <c r="G15" i="66"/>
  <c r="F15" i="66"/>
  <c r="D16" i="66" l="1"/>
  <c r="F16" i="66" l="1"/>
  <c r="E16" i="66"/>
  <c r="G16" i="66"/>
  <c r="B6" i="66" s="1"/>
  <c r="B5"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<sst xmlns="http://schemas.openxmlformats.org/spreadsheetml/2006/main" count="7517" uniqueCount="3227">
  <si>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</si>
  <si>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</si>
  <si>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</si>
  <si>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</si>
  <si>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</si>
  <si>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</si>
  <si>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</si>
  <si>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</si>
  <si>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</si>
  <si>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</si>
  <si>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</si>
  <si>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</si>
  <si>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</si>
  <si>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</si>
  <si>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</si>
  <si>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</si>
  <si>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</si>
  <si>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</si>
  <si>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</si>
  <si>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</si>
  <si>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</si>
  <si>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</si>
  <si>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</si>
  <si>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</si>
  <si>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</si>
  <si>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</si>
  <si>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</si>
  <si>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</si>
  <si>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</si>
  <si>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</si>
  <si>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</si>
  <si>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</si>
  <si>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</si>
  <si>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</si>
  <si>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</si>
  <si>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</si>
  <si>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</si>
  <si>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</si>
  <si>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</si>
  <si>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</si>
  <si>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</si>
  <si>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</si>
  <si>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</si>
  <si>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</si>
  <si>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</si>
  <si>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</si>
  <si>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</si>
  <si>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</si>
  <si>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</si>
  <si>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</si>
  <si>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</si>
  <si>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</si>
  <si>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</si>
  <si>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</si>
  <si>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</si>
  <si>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</si>
  <si>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</si>
  <si>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</si>
  <si>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</si>
  <si>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</si>
  <si>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</si>
  <si>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</si>
  <si>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</si>
  <si>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</si>
  <si>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</si>
  <si>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</si>
  <si>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</si>
  <si>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</si>
  <si>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</si>
  <si>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</si>
  <si>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</si>
  <si>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</si>
  <si>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</si>
  <si>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</si>
  <si>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</si>
  <si>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</si>
  <si>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</si>
  <si>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</si>
  <si>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</si>
  <si>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</si>
  <si>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</si>
  <si>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</si>
  <si>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</si>
  <si>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</si>
  <si>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</si>
  <si>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</si>
  <si>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</si>
  <si>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</si>
  <si>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</si>
  <si>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</si>
  <si>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</si>
  <si>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</si>
  <si>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</si>
  <si>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</si>
  <si>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</si>
  <si>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</si>
  <si>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</si>
  <si>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</si>
  <si>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</si>
  <si>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</si>
  <si>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</si>
  <si>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</si>
  <si>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</si>
  <si>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</si>
  <si>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</si>
  <si>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</si>
  <si>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</si>
  <si>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</si>
  <si>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</si>
  <si>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</si>
  <si>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</si>
  <si>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</si>
  <si>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</si>
  <si>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</si>
  <si>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</si>
  <si>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</si>
  <si>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</si>
  <si>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</si>
  <si>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</si>
  <si>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</si>
  <si>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</si>
  <si>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</si>
  <si>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</si>
  <si>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</si>
  <si>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</si>
  <si>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</si>
  <si>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</si>
  <si>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</si>
  <si>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</si>
  <si>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</si>
  <si>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</si>
  <si>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</si>
  <si>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</si>
  <si>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</si>
  <si>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</si>
  <si>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</si>
  <si>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</si>
  <si>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</si>
  <si>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</si>
  <si>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</si>
  <si>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</si>
  <si>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</si>
  <si>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</si>
  <si>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</si>
  <si>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</si>
  <si>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</si>
  <si>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</si>
  <si>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</si>
  <si>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</si>
  <si>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</si>
  <si>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</si>
  <si>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</si>
  <si>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</si>
  <si>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</si>
  <si>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</si>
  <si>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</si>
  <si>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</si>
  <si>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</si>
  <si>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</si>
  <si>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</si>
  <si>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</si>
  <si>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</si>
  <si>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</si>
  <si>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</si>
  <si>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</si>
  <si>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</si>
  <si>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</si>
  <si>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</si>
  <si>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</si>
  <si>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</si>
  <si>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</si>
  <si>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</si>
  <si>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</si>
  <si>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</si>
  <si>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</si>
  <si>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</si>
  <si>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</si>
  <si>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</si>
  <si>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</si>
  <si>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</si>
  <si>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</si>
  <si>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</si>
  <si>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</si>
  <si>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</si>
  <si>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</si>
  <si>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</si>
  <si>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</si>
  <si>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</si>
  <si>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</si>
  <si>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</si>
  <si>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</si>
  <si>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</si>
  <si>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</si>
  <si>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</si>
  <si>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</si>
  <si>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</si>
  <si>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</si>
  <si>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</si>
  <si>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</si>
  <si>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</si>
  <si>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</si>
  <si>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</si>
  <si>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</si>
  <si>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</si>
  <si>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</si>
  <si>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</si>
  <si>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</si>
  <si>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</si>
  <si>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</si>
  <si>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</si>
  <si>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</si>
  <si>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</si>
  <si>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</si>
  <si>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</si>
  <si>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</si>
  <si>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</si>
  <si>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</si>
  <si>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</si>
  <si>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</si>
  <si>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</si>
  <si>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</si>
  <si>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</si>
  <si>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</si>
  <si>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</si>
  <si>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</si>
  <si>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</si>
  <si>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</si>
  <si>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</si>
  <si>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</si>
  <si>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</si>
  <si>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</si>
  <si>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</si>
  <si>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</si>
  <si>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</si>
  <si>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</si>
  <si>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</si>
  <si>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</si>
  <si>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</si>
  <si>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</si>
  <si>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</si>
  <si>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</si>
  <si>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</si>
  <si>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</si>
  <si>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</si>
  <si>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</si>
  <si>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</si>
  <si>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</si>
  <si>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</si>
  <si>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</si>
  <si>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</si>
  <si>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</si>
  <si>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</si>
  <si>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</si>
  <si>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</si>
  <si>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</si>
  <si>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</si>
  <si>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</si>
  <si>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</si>
  <si>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</si>
  <si>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</si>
  <si>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</si>
  <si>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</si>
  <si>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</si>
  <si>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</si>
  <si>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</si>
  <si>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</si>
  <si>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</si>
  <si>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</si>
  <si>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</si>
  <si>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</si>
  <si>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</si>
  <si>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</si>
  <si>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</si>
  <si>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</si>
  <si>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</si>
  <si>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</si>
  <si>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</si>
  <si>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</si>
  <si>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</si>
  <si>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</si>
  <si>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</si>
  <si>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</si>
  <si>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</si>
  <si>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</si>
  <si>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</si>
  <si>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</si>
  <si>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</si>
  <si>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</si>
  <si>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</si>
  <si>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</si>
  <si>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</si>
  <si>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</si>
  <si>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</si>
  <si>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</si>
  <si>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</si>
  <si>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</si>
  <si>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</si>
  <si>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</si>
  <si>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</si>
  <si>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</si>
  <si>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</si>
  <si>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</si>
  <si>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</si>
  <si>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</si>
  <si>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</si>
  <si>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</si>
  <si>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</si>
  <si>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</si>
  <si>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</si>
  <si>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</si>
  <si>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</si>
  <si>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</si>
  <si>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</si>
  <si>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</si>
  <si>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</si>
  <si>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</si>
  <si>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</si>
  <si>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</si>
  <si>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</si>
  <si>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</si>
  <si>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</si>
  <si>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</si>
  <si>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</si>
  <si>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</si>
  <si>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</si>
  <si>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</si>
  <si>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</si>
  <si>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</si>
  <si>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</si>
  <si>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</si>
  <si>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</si>
  <si>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</si>
  <si>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</si>
  <si>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</si>
  <si>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</si>
  <si>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</si>
  <si>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</si>
  <si>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</si>
  <si>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</si>
  <si>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</si>
  <si>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</si>
  <si>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</si>
  <si>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</si>
  <si>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</si>
  <si>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</si>
  <si>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</si>
  <si>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</si>
  <si>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</si>
  <si>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</si>
  <si>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</si>
  <si>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</si>
  <si>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</si>
  <si>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</si>
  <si>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</si>
  <si>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</si>
  <si>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</si>
  <si>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</si>
  <si>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</si>
  <si>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</si>
  <si>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</si>
  <si>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</si>
  <si>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</si>
  <si>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</si>
  <si>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</si>
  <si>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</si>
  <si>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</si>
  <si>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</si>
  <si>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</si>
  <si>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</si>
  <si>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</si>
  <si>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</si>
  <si>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</si>
  <si>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</si>
  <si>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</si>
  <si>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</si>
  <si>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</si>
  <si>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</si>
  <si>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</si>
  <si>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</si>
  <si>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</si>
  <si>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</si>
  <si>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</si>
  <si>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</si>
  <si>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</si>
  <si>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</si>
  <si>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</si>
  <si>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</si>
  <si>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</si>
  <si>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</si>
  <si>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</si>
  <si>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</si>
  <si>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</si>
  <si>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</si>
  <si>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</si>
  <si>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</si>
  <si>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</si>
  <si>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</si>
  <si>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</si>
  <si>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</si>
  <si>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</si>
  <si>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</si>
  <si>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</si>
  <si>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</si>
  <si>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</si>
  <si>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</si>
  <si>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</si>
  <si>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</si>
  <si>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</si>
  <si>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</si>
  <si>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</si>
  <si>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</si>
  <si>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</si>
  <si>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</si>
  <si>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</si>
  <si>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</si>
  <si>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</si>
  <si>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</si>
  <si>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</si>
  <si>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</si>
  <si>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</si>
  <si>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</si>
  <si>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</si>
  <si>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</si>
  <si>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</si>
  <si>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</si>
  <si>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</si>
  <si>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</si>
  <si>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</si>
  <si>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</si>
  <si>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</si>
  <si>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</si>
  <si>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</si>
  <si>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</si>
  <si>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</si>
  <si>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</si>
  <si>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</si>
  <si>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</si>
  <si>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</si>
  <si>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</si>
  <si>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</si>
  <si>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</si>
  <si>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</si>
  <si>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</si>
  <si>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</si>
  <si>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</si>
  <si>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</si>
  <si>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</si>
  <si>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</si>
  <si>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</si>
  <si>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</si>
  <si>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</si>
  <si>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</si>
  <si>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</si>
  <si>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</si>
  <si>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</si>
  <si>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</si>
  <si>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</si>
  <si>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</si>
  <si>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</si>
  <si>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</si>
  <si>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</si>
  <si>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</si>
  <si>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</si>
  <si>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</si>
  <si>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</si>
  <si>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</si>
  <si>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</si>
  <si>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</si>
  <si>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</si>
  <si>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</si>
  <si>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</si>
  <si>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</si>
  <si>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</si>
  <si>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</si>
  <si>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</si>
  <si>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</si>
  <si>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</si>
  <si>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</si>
  <si>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</si>
  <si>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</si>
  <si>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</si>
  <si>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</si>
  <si>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</si>
  <si>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</si>
  <si>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</si>
  <si>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</si>
  <si>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</si>
  <si>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</si>
  <si>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</si>
  <si>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</si>
  <si>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</si>
  <si>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</si>
  <si>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</si>
  <si>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</si>
  <si>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</si>
  <si>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</si>
  <si>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</si>
  <si>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</si>
  <si>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</si>
  <si>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</si>
  <si>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</si>
  <si>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</si>
  <si>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</si>
  <si>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</si>
  <si>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</si>
  <si>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</si>
  <si>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</si>
  <si>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</si>
  <si>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</si>
  <si>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</si>
  <si>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</si>
  <si>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</si>
  <si>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</si>
  <si>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</si>
  <si>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</si>
  <si>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</si>
  <si>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</si>
  <si>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</si>
  <si>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</si>
  <si>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</si>
  <si>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</si>
  <si>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</si>
  <si>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</si>
  <si>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</si>
  <si>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</si>
  <si>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</si>
  <si>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</si>
  <si>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</si>
  <si>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</si>
  <si>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</si>
  <si>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</si>
  <si>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</si>
  <si>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</si>
  <si>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</si>
  <si>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</si>
  <si>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</si>
  <si>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</si>
  <si>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</si>
  <si>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</si>
  <si>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</si>
  <si>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</si>
  <si>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</si>
  <si>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</si>
  <si>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</si>
  <si>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</si>
  <si>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</si>
  <si>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</si>
  <si>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</si>
  <si>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</si>
  <si>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</si>
  <si>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</si>
  <si>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</si>
  <si>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</si>
  <si>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</si>
  <si>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</si>
  <si>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</si>
  <si>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</si>
  <si>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</si>
  <si>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</si>
  <si>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</si>
  <si>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</si>
  <si>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</si>
  <si>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</si>
  <si>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</si>
  <si>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</si>
  <si>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</si>
  <si>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</si>
  <si>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</si>
  <si>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</si>
  <si>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</si>
  <si>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</si>
  <si>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</si>
  <si>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</si>
  <si>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</si>
  <si>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</si>
  <si>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</si>
  <si>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</si>
  <si>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</si>
  <si>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</si>
  <si>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</si>
  <si>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</si>
  <si>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</si>
  <si>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</si>
  <si>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</si>
  <si>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</si>
  <si>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</si>
  <si>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</si>
  <si>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</si>
  <si>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</si>
  <si>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</si>
  <si>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</si>
  <si>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</si>
  <si>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</si>
  <si>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</si>
  <si>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</si>
  <si>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</si>
  <si>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</si>
  <si>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</si>
  <si>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</si>
  <si>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</si>
  <si>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</si>
  <si>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</si>
  <si>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</si>
  <si>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</si>
  <si>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</si>
  <si>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</si>
  <si>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</si>
  <si>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</si>
  <si>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</si>
  <si>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</si>
  <si>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</si>
  <si>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</si>
  <si>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</si>
  <si>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</si>
  <si>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</si>
  <si>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</si>
  <si>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</si>
  <si>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</si>
  <si>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</si>
  <si>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</si>
  <si>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</si>
  <si>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</si>
  <si>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</si>
  <si>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</si>
  <si>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</si>
  <si>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</si>
  <si>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</si>
  <si>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</si>
  <si>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</si>
  <si>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</si>
  <si>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</si>
  <si>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</si>
  <si>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</si>
  <si>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</si>
  <si>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</si>
  <si>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</si>
  <si>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</si>
  <si>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</si>
  <si>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</si>
  <si>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</si>
  <si>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</si>
  <si>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</si>
  <si>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</si>
  <si>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</si>
  <si>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</si>
  <si>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</si>
  <si>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</si>
  <si>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</si>
  <si>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</si>
  <si>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</si>
  <si>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</si>
  <si>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</si>
  <si>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</si>
  <si>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</si>
  <si>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</si>
  <si>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</si>
  <si>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</si>
  <si>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</si>
  <si>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</si>
  <si>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</si>
  <si>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</si>
  <si>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</si>
  <si>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</si>
  <si>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</si>
  <si>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</si>
  <si>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</si>
  <si>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</si>
  <si>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</si>
  <si>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</si>
  <si>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</si>
  <si>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</si>
  <si>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</si>
  <si>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</si>
  <si>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</si>
  <si>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</si>
  <si>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</si>
  <si>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</si>
  <si>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</si>
  <si>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</si>
  <si>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</si>
  <si>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</si>
  <si>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</si>
  <si>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</si>
  <si>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</si>
  <si>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</si>
  <si>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</si>
  <si>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</si>
  <si>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</si>
  <si>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</si>
  <si>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</si>
  <si>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</si>
  <si>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</si>
  <si>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</si>
  <si>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</si>
  <si>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</si>
  <si>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</si>
  <si>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</si>
  <si>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</si>
  <si>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</si>
  <si>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</si>
  <si>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</si>
  <si>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</si>
  <si>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</si>
  <si>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</si>
  <si>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</si>
  <si>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</si>
  <si>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</si>
  <si>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</si>
  <si>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</si>
  <si>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</si>
  <si>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</si>
  <si>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</si>
  <si>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</si>
  <si>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</si>
  <si>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</si>
  <si>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</si>
  <si>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</si>
  <si>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</si>
  <si>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</si>
  <si>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</si>
  <si>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</si>
  <si>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</si>
  <si>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</si>
  <si>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</si>
  <si>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</si>
  <si>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</si>
  <si>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</si>
  <si>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</si>
  <si>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</si>
  <si>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</si>
  <si>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</si>
  <si>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</si>
  <si>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</si>
  <si>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</si>
  <si>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</si>
  <si>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</si>
  <si>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</si>
  <si>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</si>
  <si>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</si>
  <si>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</si>
  <si>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</si>
  <si>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</si>
  <si>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</si>
  <si>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</si>
  <si>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</si>
  <si>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</si>
  <si>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</si>
  <si>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</si>
  <si>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</si>
  <si>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</si>
  <si>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</si>
  <si>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</si>
  <si>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</si>
  <si>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</si>
  <si>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</si>
  <si>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</si>
  <si>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</si>
  <si>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</si>
  <si>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</si>
  <si>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</si>
  <si>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</si>
  <si>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</si>
  <si>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</si>
  <si>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</si>
  <si>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</si>
  <si>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</si>
  <si>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</si>
  <si>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</si>
  <si>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</si>
  <si>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</si>
  <si>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</si>
  <si>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</si>
  <si>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</si>
  <si>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</si>
  <si>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</si>
  <si>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</si>
  <si>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</si>
  <si>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</si>
  <si>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</si>
  <si>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</si>
  <si>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</si>
  <si>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</si>
  <si>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</si>
  <si>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</si>
  <si>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</si>
  <si>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</si>
  <si>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</si>
  <si>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</si>
  <si>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</si>
  <si>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</si>
  <si>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</si>
  <si>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</si>
  <si>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</si>
  <si>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</si>
  <si>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</si>
  <si>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</si>
  <si>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</si>
  <si>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</si>
  <si>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</si>
  <si>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</si>
  <si>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</si>
  <si>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</si>
  <si>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</si>
  <si>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</si>
  <si>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</si>
  <si>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</si>
  <si>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</si>
  <si>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</si>
  <si>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</si>
  <si>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</si>
  <si>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</si>
  <si>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</si>
  <si>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</si>
  <si>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</si>
  <si>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</si>
  <si>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</si>
  <si>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</si>
  <si>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</si>
  <si>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</si>
  <si>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</si>
  <si>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</si>
  <si>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</si>
  <si>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</si>
  <si>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</si>
  <si>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</si>
  <si>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</si>
  <si>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</si>
  <si>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</si>
  <si>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</si>
  <si>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</si>
  <si>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</si>
  <si>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</si>
  <si>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</si>
  <si>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</si>
  <si>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</si>
  <si>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</si>
  <si>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</si>
  <si>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</si>
  <si>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</si>
  <si>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</si>
  <si>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</si>
  <si>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</si>
  <si>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</si>
  <si>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</si>
  <si>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</si>
  <si>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</si>
  <si>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</si>
  <si>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</si>
  <si>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</si>
  <si>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</si>
  <si>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</si>
  <si>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</si>
  <si>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</si>
  <si>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</si>
  <si>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</si>
  <si>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</si>
  <si>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</si>
  <si>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</si>
  <si>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</si>
  <si>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</si>
  <si>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</si>
  <si>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</si>
  <si>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</si>
  <si>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</si>
  <si>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</si>
  <si>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</si>
  <si>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</si>
  <si>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</si>
  <si>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</si>
  <si>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</si>
  <si>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</si>
  <si>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</si>
  <si>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</si>
  <si>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</si>
  <si>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</si>
  <si>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</si>
  <si>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</si>
  <si>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</si>
  <si>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</si>
  <si>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</si>
  <si>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</si>
  <si>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</si>
  <si>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</si>
  <si>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</si>
  <si>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</si>
  <si>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</si>
  <si>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</si>
  <si>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</si>
  <si>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</si>
  <si>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</si>
  <si>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</si>
  <si>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</si>
  <si>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</si>
  <si>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</si>
  <si>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</si>
  <si>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</si>
  <si>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</si>
  <si>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</si>
  <si>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</si>
  <si>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</si>
  <si>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</si>
  <si>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</si>
  <si>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</si>
  <si>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</si>
  <si>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</si>
  <si>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</si>
  <si>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</si>
  <si>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</si>
  <si>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</si>
  <si>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</si>
  <si>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</si>
  <si>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</si>
  <si>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</si>
  <si>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</si>
  <si>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</si>
  <si>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</si>
  <si>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</si>
  <si>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</si>
  <si>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</si>
  <si>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</si>
  <si>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</si>
  <si>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</si>
  <si>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</si>
  <si>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</si>
  <si>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</si>
  <si>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</si>
  <si>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</si>
  <si>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</si>
  <si>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</si>
  <si>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</si>
  <si>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</si>
  <si>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</si>
  <si>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</si>
  <si>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</si>
  <si>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</si>
  <si>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</si>
  <si>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</si>
  <si>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</si>
  <si>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</si>
  <si>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</si>
  <si>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</si>
  <si>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</si>
  <si>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</si>
  <si>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</si>
  <si>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</si>
  <si>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</si>
  <si>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</si>
  <si>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</si>
  <si>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</si>
  <si>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</si>
  <si>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</si>
  <si>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</si>
  <si>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</si>
  <si>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</si>
  <si>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</si>
  <si>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</si>
  <si>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</si>
  <si>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</si>
  <si>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</si>
  <si>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</si>
  <si>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</si>
  <si>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</si>
  <si>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</si>
  <si>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</si>
  <si>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</si>
  <si>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</si>
  <si>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</si>
  <si>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</si>
  <si>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</si>
  <si>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</si>
  <si>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</si>
  <si>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</si>
  <si>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</si>
  <si>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</si>
  <si>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</si>
  <si>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</si>
  <si>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</si>
  <si>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</si>
  <si>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</si>
  <si>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</si>
  <si>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</si>
  <si>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</si>
  <si>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</si>
  <si>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</si>
  <si>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</si>
  <si>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</si>
  <si>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</si>
  <si>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</si>
  <si>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</si>
  <si>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</si>
  <si>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</si>
  <si>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</si>
  <si>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</si>
  <si>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</si>
  <si>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</si>
  <si>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</si>
  <si>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</si>
  <si>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</si>
  <si>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</si>
  <si>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</si>
  <si>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</si>
  <si>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</si>
  <si>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</si>
  <si>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</si>
  <si>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</si>
  <si>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</si>
  <si>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</si>
  <si>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</si>
  <si>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</si>
  <si>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</si>
  <si>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</si>
  <si>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</si>
  <si>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</si>
  <si>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</si>
  <si>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</si>
  <si>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</si>
  <si>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</si>
  <si>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</si>
  <si>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</si>
  <si>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</si>
  <si>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</si>
  <si>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</si>
  <si>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</si>
  <si>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</si>
  <si>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</si>
  <si>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</si>
  <si>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</si>
  <si>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</si>
  <si>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</si>
  <si>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</si>
  <si>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</si>
  <si>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</si>
  <si>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</si>
  <si>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</si>
  <si>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</si>
  <si>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</si>
  <si>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</si>
  <si>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</si>
  <si>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</si>
  <si>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</si>
  <si>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</si>
  <si>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</si>
  <si>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</si>
  <si>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</si>
  <si>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</si>
  <si>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</si>
  <si>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</si>
  <si>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</si>
  <si>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</si>
  <si>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</si>
  <si>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</si>
  <si>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</si>
  <si>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</si>
  <si>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</si>
  <si>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</si>
  <si>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</si>
  <si>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</si>
  <si>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</si>
  <si>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</si>
  <si>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</si>
  <si>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</si>
  <si>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</si>
  <si>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</si>
  <si>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</si>
  <si>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</si>
  <si>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</si>
  <si>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</si>
  <si>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</si>
  <si>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</si>
  <si>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</si>
  <si>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</si>
  <si>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</si>
  <si>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</si>
  <si>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</si>
  <si>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</si>
  <si>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</si>
  <si>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</si>
  <si>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</si>
  <si>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</si>
  <si>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</si>
  <si>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</si>
  <si>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</si>
  <si>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</si>
  <si>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</si>
  <si>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</si>
  <si>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</si>
  <si>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</si>
  <si>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</si>
  <si>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</si>
  <si>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</si>
  <si>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</si>
  <si>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</si>
  <si>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</si>
  <si>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</si>
  <si>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</si>
  <si>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</si>
  <si>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</si>
  <si>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</si>
  <si>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</si>
  <si>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</si>
  <si>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</si>
  <si>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</si>
  <si>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</si>
  <si>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</si>
  <si>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</si>
  <si>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</si>
  <si>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</si>
  <si>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</si>
  <si>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</si>
  <si>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</si>
  <si>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</si>
  <si>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</si>
  <si>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</si>
  <si>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</si>
  <si>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</si>
  <si>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</si>
  <si>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</si>
  <si>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</si>
  <si>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</si>
  <si>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</si>
  <si>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</si>
  <si>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</si>
  <si>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</si>
  <si>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</si>
  <si>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</si>
  <si>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</si>
  <si>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</si>
  <si>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</si>
  <si>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</si>
  <si>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</si>
  <si>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</si>
  <si>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</si>
  <si>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</si>
  <si>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</si>
  <si>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</si>
  <si>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</si>
  <si>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</si>
  <si>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</si>
  <si>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</si>
  <si>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</si>
  <si>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</si>
  <si>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</si>
  <si>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</si>
  <si>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</si>
  <si>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</si>
  <si>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</si>
  <si>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</si>
  <si>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</si>
  <si>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</si>
  <si>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</si>
  <si>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</si>
  <si>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</si>
  <si>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</si>
  <si>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</si>
  <si>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</si>
  <si>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</si>
  <si>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</si>
  <si>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</si>
  <si>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</si>
  <si>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</si>
  <si>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</si>
  <si>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</si>
  <si>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</si>
  <si>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</si>
  <si>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</si>
  <si>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</si>
  <si>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</si>
  <si>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</si>
  <si>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</si>
  <si>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</si>
  <si>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</si>
  <si>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</si>
  <si>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</si>
  <si>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</si>
  <si>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</si>
  <si>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</si>
  <si>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</si>
  <si>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</si>
  <si>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</si>
  <si>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</si>
  <si>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</si>
  <si>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</si>
  <si>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</si>
  <si>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</si>
  <si>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</si>
  <si>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</si>
  <si>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</si>
  <si>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</si>
  <si>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</si>
  <si>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</si>
  <si>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</si>
  <si>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</si>
  <si>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</si>
  <si>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</si>
  <si>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</si>
  <si>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</si>
  <si>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</si>
  <si>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</si>
  <si>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</si>
  <si>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</si>
  <si>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</si>
  <si>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</si>
  <si>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</si>
  <si>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</si>
  <si>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</si>
  <si>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</si>
  <si>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</si>
  <si>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</si>
  <si>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</si>
  <si>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</si>
  <si>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</si>
  <si>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</si>
  <si>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</si>
  <si>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</si>
  <si>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</si>
  <si>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</si>
  <si>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</si>
  <si>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</si>
  <si>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</si>
  <si>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</si>
  <si>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</si>
  <si>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</si>
  <si>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</si>
  <si>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</si>
  <si>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</si>
  <si>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</si>
  <si>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</si>
  <si>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</si>
  <si>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</si>
  <si>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</si>
  <si>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</si>
  <si>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</si>
  <si>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</si>
  <si>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</si>
  <si>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</si>
  <si>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</si>
  <si>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</si>
  <si>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</si>
  <si>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</si>
  <si>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</si>
  <si>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</si>
  <si>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</si>
  <si>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</si>
  <si>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</si>
  <si>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</si>
  <si>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</si>
  <si>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</si>
  <si>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</si>
  <si>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</si>
  <si>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</si>
  <si>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</si>
  <si>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</si>
  <si>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</si>
  <si>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</si>
  <si>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</si>
  <si>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</si>
  <si>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</si>
  <si>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</si>
  <si>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</si>
  <si>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</si>
  <si>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</si>
  <si>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</si>
  <si>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</si>
  <si>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</si>
  <si>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</si>
  <si>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</si>
  <si>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</si>
  <si>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</si>
  <si>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</si>
  <si>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</si>
  <si>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</si>
  <si>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</si>
  <si>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</si>
  <si>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</si>
  <si>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</si>
  <si>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</si>
  <si>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</si>
  <si>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</si>
  <si>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</si>
  <si>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</si>
  <si>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</si>
  <si>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</si>
  <si>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</si>
  <si>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</si>
  <si>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</si>
  <si>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</si>
  <si>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</si>
  <si>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</si>
  <si>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</si>
  <si>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</si>
  <si>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</si>
  <si>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</si>
  <si>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</si>
  <si>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</si>
  <si>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</si>
  <si>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</si>
  <si>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</si>
  <si>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</si>
  <si>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</si>
  <si>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</si>
  <si>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</si>
  <si>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</si>
  <si>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</si>
  <si>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</si>
  <si>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</si>
  <si>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</si>
  <si>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</si>
  <si>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</si>
  <si>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</si>
  <si>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</si>
  <si>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</si>
  <si>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</si>
  <si>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</si>
  <si>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</si>
  <si>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</si>
  <si>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</si>
  <si>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</si>
  <si>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</si>
  <si>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</si>
  <si>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</si>
  <si>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</si>
  <si>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</si>
  <si>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</si>
  <si>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</si>
  <si>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</si>
  <si>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</si>
  <si>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</si>
  <si>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</si>
  <si>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</si>
  <si>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</si>
  <si>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</si>
  <si>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</si>
  <si>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</si>
  <si>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</si>
  <si>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</si>
  <si>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</si>
  <si>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</si>
  <si>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</si>
  <si>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</si>
  <si>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</si>
  <si>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</si>
  <si>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</si>
  <si>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</si>
  <si>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</si>
  <si>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</si>
  <si>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</si>
  <si>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</si>
  <si>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</si>
  <si>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</si>
  <si>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</si>
  <si>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</si>
  <si>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</si>
  <si>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</si>
  <si>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</si>
  <si>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</si>
  <si>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</si>
  <si>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</si>
  <si>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</si>
  <si>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</si>
  <si>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</si>
  <si>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</si>
  <si>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</si>
  <si>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</si>
  <si>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</si>
  <si>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</si>
  <si>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</si>
  <si>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</si>
  <si>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</si>
  <si>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</si>
  <si>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</si>
  <si>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</si>
  <si>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</si>
  <si>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</si>
  <si>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</si>
  <si>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</si>
  <si>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</si>
  <si>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</si>
  <si>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</si>
  <si>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</si>
  <si>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</si>
  <si>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</si>
  <si>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</si>
  <si>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</si>
  <si>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</si>
  <si>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</si>
  <si>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</si>
  <si>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</si>
  <si>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</si>
  <si>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</si>
  <si>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</si>
  <si>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</si>
  <si>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</si>
  <si>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</si>
  <si>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</si>
  <si>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</si>
  <si>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</si>
  <si>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</si>
  <si>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</si>
  <si>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</si>
  <si>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</si>
  <si>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</si>
  <si>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</si>
  <si>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</si>
  <si>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</si>
  <si>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</si>
  <si>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</si>
  <si>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</si>
  <si>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</si>
  <si>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</si>
  <si>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</si>
  <si>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</si>
  <si>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</si>
  <si>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</si>
  <si>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</si>
  <si>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</si>
  <si>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</si>
  <si>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</si>
  <si>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</si>
  <si>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</si>
  <si>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</si>
  <si>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</si>
  <si>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</si>
  <si>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</si>
  <si>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</si>
  <si>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</si>
  <si>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</si>
  <si>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</si>
  <si>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</si>
  <si>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</si>
  <si>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</si>
  <si>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</si>
  <si>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</si>
  <si>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</si>
  <si>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</si>
  <si>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</si>
  <si>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</si>
  <si>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</si>
  <si>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</si>
  <si>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</si>
  <si>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</si>
  <si>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</si>
  <si>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</si>
  <si>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</si>
  <si>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</si>
  <si>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</si>
  <si>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</si>
  <si>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</si>
  <si>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</si>
  <si>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</si>
  <si>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</si>
  <si>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</si>
  <si>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</si>
  <si>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</si>
  <si>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</si>
  <si>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</si>
  <si>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</si>
  <si>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</si>
  <si>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</si>
  <si>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</si>
  <si>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</si>
  <si>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</si>
  <si>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</si>
  <si>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</si>
  <si>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</si>
  <si>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</si>
  <si>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</si>
  <si>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</si>
  <si>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</si>
  <si>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</si>
  <si>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</si>
  <si>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</si>
  <si>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</si>
  <si>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</si>
  <si>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</si>
  <si>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</si>
  <si>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</si>
  <si>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</si>
  <si>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</si>
  <si>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</si>
  <si>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</si>
  <si>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</si>
  <si>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</si>
  <si>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</si>
  <si>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</si>
  <si>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</si>
  <si>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</si>
  <si>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</si>
  <si>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</si>
  <si>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</si>
  <si>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</si>
  <si>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</si>
  <si>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</si>
  <si>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</si>
  <si>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</si>
  <si>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</si>
  <si>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</si>
  <si>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</si>
  <si>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</si>
  <si>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</si>
  <si>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</si>
  <si>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</si>
  <si>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</si>
  <si>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</si>
  <si>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</si>
  <si>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</si>
  <si>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</si>
  <si>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</si>
  <si>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</si>
  <si>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</si>
  <si>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</si>
  <si>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</si>
  <si>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</si>
  <si>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</si>
  <si>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</si>
  <si>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</si>
  <si>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</si>
  <si>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</si>
  <si>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</si>
  <si>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</si>
  <si>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</si>
  <si>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</si>
  <si>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</si>
  <si>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</si>
  <si>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</si>
  <si>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</si>
  <si>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</si>
  <si>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</si>
  <si>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</si>
  <si>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</si>
  <si>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</si>
  <si>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</si>
  <si>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</si>
  <si>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</si>
  <si>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</si>
  <si>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</si>
  <si>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</si>
  <si>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</si>
  <si>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</si>
  <si>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</si>
  <si>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</si>
  <si>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</si>
  <si>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</si>
  <si>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</si>
  <si>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</si>
  <si>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</si>
  <si>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</si>
  <si>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</si>
  <si>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</si>
  <si>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</si>
  <si>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</si>
  <si>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</si>
  <si>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</si>
  <si>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</si>
  <si>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</si>
  <si>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</si>
  <si>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</si>
  <si>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</si>
  <si>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</si>
  <si>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</si>
  <si>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</si>
  <si>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</si>
  <si>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</si>
  <si>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</si>
  <si>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</si>
  <si>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</si>
  <si>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</si>
  <si>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</si>
  <si>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</si>
  <si>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</si>
  <si>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</si>
  <si>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</si>
  <si>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</si>
  <si>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</si>
  <si>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</si>
  <si>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</si>
  <si>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</si>
  <si>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</si>
  <si>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</si>
  <si>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</si>
  <si>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</si>
  <si>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</si>
  <si>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</si>
  <si>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</si>
  <si>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</si>
  <si>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</si>
  <si>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</si>
  <si>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</si>
  <si>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</si>
  <si>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</si>
  <si>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</si>
  <si>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</si>
  <si>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</si>
  <si>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</si>
  <si>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</si>
  <si>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</si>
  <si>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</si>
  <si>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</si>
  <si>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</si>
  <si>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</si>
  <si>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</si>
  <si>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</si>
  <si>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</si>
  <si>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</si>
  <si>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</si>
  <si>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</si>
  <si>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</si>
  <si>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</si>
  <si>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</si>
  <si>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</si>
  <si>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</si>
  <si>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</si>
  <si>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</si>
  <si>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</si>
  <si>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</si>
  <si>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</si>
  <si>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</si>
  <si>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</si>
  <si>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</si>
  <si>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</si>
  <si>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</si>
  <si>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</si>
  <si>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</si>
  <si>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</si>
  <si>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</si>
  <si>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</si>
  <si>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</si>
  <si>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</si>
  <si>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</si>
  <si>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</si>
  <si>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</si>
  <si>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</si>
  <si>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</si>
  <si>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</si>
  <si>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</si>
  <si>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</si>
  <si>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</si>
  <si>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</si>
  <si>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</si>
  <si>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</si>
  <si>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</si>
  <si>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</si>
  <si>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</si>
  <si>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</si>
  <si>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</si>
  <si>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</si>
  <si>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</si>
  <si>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</si>
  <si>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</si>
  <si>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</si>
  <si>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</si>
  <si>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</si>
  <si>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</si>
  <si>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</si>
  <si>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</si>
  <si>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</si>
  <si>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</si>
  <si>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</si>
  <si>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</si>
  <si>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</si>
  <si>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</si>
  <si>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</si>
  <si>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</si>
  <si>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</si>
  <si>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</si>
  <si>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</si>
  <si>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</si>
  <si>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</si>
  <si>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</si>
  <si>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</si>
  <si>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</si>
  <si>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</si>
  <si>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</si>
  <si>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</si>
  <si>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</si>
  <si>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</si>
  <si>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</si>
  <si>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</si>
  <si>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</si>
  <si>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</si>
  <si>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</si>
  <si>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</si>
  <si>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</si>
  <si>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</si>
  <si>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</si>
  <si>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</si>
  <si>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</si>
  <si>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</si>
  <si>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</si>
  <si>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</si>
  <si>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</si>
  <si>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</si>
  <si>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</si>
  <si>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</si>
  <si>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</si>
  <si>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</si>
  <si>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</si>
  <si>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</si>
  <si>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</si>
  <si>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</si>
  <si>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</si>
  <si>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</si>
  <si>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</si>
  <si>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</si>
  <si>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</si>
  <si>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</si>
  <si>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</si>
  <si>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</si>
  <si>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</si>
  <si>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</si>
  <si>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</si>
  <si>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</si>
  <si>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</si>
  <si>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</si>
  <si>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</si>
  <si>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</si>
  <si>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</si>
  <si>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</si>
  <si>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</si>
  <si>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</si>
  <si>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</si>
  <si>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</si>
  <si>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</si>
  <si>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</si>
  <si>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</si>
  <si>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</si>
  <si>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</si>
  <si>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</si>
  <si>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</si>
  <si>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</si>
  <si>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</si>
  <si>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</si>
  <si>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</si>
  <si>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</si>
  <si>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</si>
  <si>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</si>
  <si>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</si>
  <si>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</si>
  <si>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</si>
  <si>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</si>
  <si>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</si>
  <si>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</si>
  <si>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</si>
  <si>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</si>
  <si>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</si>
  <si>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</si>
  <si>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</si>
  <si>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</si>
  <si>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</si>
  <si>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</si>
  <si>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</si>
  <si>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</si>
  <si>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</si>
  <si>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</si>
  <si>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</si>
  <si>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</si>
  <si>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</si>
  <si>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</si>
  <si>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</si>
  <si>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</si>
  <si>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</si>
  <si>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</si>
  <si>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</si>
  <si>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</si>
  <si>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</si>
  <si>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</si>
  <si>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</si>
  <si>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</si>
  <si>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</si>
  <si>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</si>
  <si>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</si>
  <si>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</si>
  <si>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</si>
  <si>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</si>
  <si>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</si>
  <si>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</si>
  <si>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</si>
  <si>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</si>
  <si>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</si>
  <si>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</si>
  <si>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</si>
  <si>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</si>
  <si>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</si>
  <si>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</si>
  <si>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</si>
  <si>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</si>
  <si>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</si>
  <si>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</si>
  <si>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</si>
  <si>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</si>
  <si>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</si>
  <si>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</si>
  <si>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</si>
  <si>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</si>
  <si>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</si>
  <si>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</si>
  <si>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</si>
  <si>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</si>
  <si>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</si>
  <si>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</si>
  <si>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</si>
  <si>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</si>
  <si>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</si>
  <si>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</si>
  <si>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</si>
  <si>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</si>
  <si>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</si>
  <si>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</si>
  <si>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</si>
  <si>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</si>
  <si>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</si>
  <si>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</si>
  <si>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</si>
  <si>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</si>
  <si>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</si>
  <si>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</si>
  <si>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</si>
  <si>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</si>
  <si>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</si>
  <si>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</si>
  <si>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</si>
  <si>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</si>
  <si>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</si>
  <si>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</si>
  <si>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</si>
  <si>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</si>
  <si>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</si>
  <si>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</si>
  <si>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</si>
  <si>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</si>
  <si>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</si>
  <si>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</si>
  <si>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</si>
  <si>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</si>
  <si>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</si>
  <si>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</si>
  <si>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</si>
  <si>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</si>
  <si>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</si>
  <si>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</si>
  <si>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</si>
  <si>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</si>
  <si>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</si>
  <si>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</si>
  <si>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</si>
  <si>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</si>
  <si>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</si>
  <si>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</si>
  <si>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</si>
  <si>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</si>
  <si>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</si>
  <si>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</si>
  <si>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</si>
  <si>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</si>
  <si>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</si>
  <si>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</si>
  <si>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</si>
  <si>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</si>
  <si>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</si>
  <si>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</si>
  <si>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</si>
  <si>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</si>
  <si>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</si>
  <si>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</si>
  <si>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</si>
  <si>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</si>
  <si>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</si>
  <si>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</si>
  <si>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</si>
  <si>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</si>
  <si>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</si>
  <si>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</si>
  <si>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</si>
  <si>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</si>
  <si>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</si>
  <si>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</si>
  <si>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</si>
  <si>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</si>
  <si>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</si>
  <si>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</si>
  <si>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</si>
  <si>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</si>
  <si>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</si>
  <si>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</si>
  <si>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</si>
  <si>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</si>
  <si>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</si>
  <si>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</si>
  <si>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</si>
  <si>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</si>
  <si>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</si>
  <si>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</si>
  <si>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</si>
  <si>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</si>
  <si>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</si>
  <si>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</si>
  <si>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</si>
  <si>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</si>
  <si>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</si>
  <si>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</si>
  <si>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</si>
  <si>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</si>
  <si>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</si>
  <si>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</si>
  <si>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</si>
  <si>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</si>
  <si>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</si>
  <si>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</si>
  <si>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</si>
  <si>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</si>
  <si>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</si>
  <si>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</si>
  <si>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</si>
  <si>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</si>
  <si>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</si>
  <si>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</si>
  <si>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</si>
  <si>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</si>
  <si>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</si>
  <si>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</si>
  <si>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</si>
  <si>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</si>
  <si>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</si>
  <si>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</si>
  <si>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</si>
  <si>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</si>
  <si>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</si>
  <si>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</si>
  <si>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</si>
  <si>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</si>
  <si>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</si>
  <si>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</si>
  <si>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</si>
  <si>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</si>
  <si>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</si>
  <si>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</si>
  <si>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</si>
  <si>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</si>
  <si>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</si>
  <si>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</si>
  <si>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</si>
  <si>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</si>
  <si>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</si>
  <si>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</si>
  <si>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</si>
  <si>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</si>
  <si>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</si>
  <si>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</si>
  <si>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</si>
  <si>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</si>
  <si>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</si>
  <si>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</si>
  <si>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</si>
  <si>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</si>
  <si>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</si>
  <si>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</si>
  <si>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</si>
  <si>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</si>
  <si>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</si>
  <si>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</si>
  <si>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</si>
  <si>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</si>
  <si>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</si>
  <si>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</si>
  <si>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</si>
  <si>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</si>
  <si>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</si>
  <si>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</si>
  <si>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</si>
  <si>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</si>
  <si>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</si>
  <si>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</si>
  <si>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</si>
  <si>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</si>
  <si>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</si>
  <si>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</si>
  <si>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</si>
  <si>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</si>
  <si>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</si>
  <si>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</si>
  <si>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</si>
  <si>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</si>
  <si>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</si>
  <si>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</si>
  <si>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</si>
  <si>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</si>
  <si>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</si>
  <si>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</si>
  <si>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</si>
  <si>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</si>
  <si>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</si>
  <si>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</si>
  <si>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</si>
  <si>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</si>
  <si>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</si>
  <si>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</si>
  <si>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</si>
  <si>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</si>
  <si>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</si>
  <si>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</si>
  <si>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</si>
  <si>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</si>
  <si>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</si>
  <si>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</si>
  <si>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</si>
  <si>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</si>
  <si>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</si>
  <si>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</si>
  <si>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</si>
  <si>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</si>
  <si>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</si>
  <si>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</si>
  <si>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</si>
  <si>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</si>
  <si>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</si>
  <si>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</si>
  <si>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</si>
  <si>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</si>
  <si>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</si>
  <si>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</si>
  <si>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</si>
  <si>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</si>
  <si>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</si>
  <si>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</si>
  <si>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</si>
  <si>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</si>
  <si>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</si>
  <si>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</si>
  <si>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</si>
  <si>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</si>
  <si>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</si>
  <si>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</si>
  <si>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</si>
  <si>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</si>
  <si>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</si>
  <si>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</si>
  <si>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</si>
  <si>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</si>
  <si>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</si>
  <si>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</si>
  <si>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</si>
  <si>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</si>
  <si>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</si>
  <si>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</si>
  <si>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</si>
  <si>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</si>
  <si>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</si>
  <si>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</si>
  <si>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</si>
  <si>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</si>
  <si>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</si>
  <si>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</si>
  <si>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</si>
  <si>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</si>
  <si>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</si>
  <si>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</si>
  <si>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</si>
  <si>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</si>
  <si>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</si>
  <si>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</si>
  <si>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</si>
  <si>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</si>
  <si>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</si>
  <si>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</si>
  <si>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</si>
  <si>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</si>
  <si>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</si>
  <si>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</si>
  <si>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</si>
  <si>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</si>
  <si>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</si>
  <si>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</si>
  <si>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</si>
  <si>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</si>
  <si>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</si>
  <si>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</si>
  <si>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</si>
  <si>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</si>
  <si>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</si>
  <si>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</si>
  <si>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</si>
  <si>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</si>
  <si>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</si>
  <si>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</si>
  <si>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</si>
  <si>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</si>
  <si>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</si>
  <si>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</si>
  <si>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</si>
  <si>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</si>
  <si>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</si>
  <si>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</si>
  <si>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</si>
  <si>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</si>
  <si>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</si>
  <si>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</si>
  <si>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</si>
  <si>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</si>
  <si>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</si>
  <si>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</si>
  <si>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</si>
  <si>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</si>
  <si>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</si>
  <si>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</si>
  <si>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</si>
  <si>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</si>
  <si>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</si>
  <si>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</si>
  <si>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</si>
  <si>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</si>
  <si>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</si>
  <si>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</si>
  <si>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</si>
  <si>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</si>
  <si>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</si>
  <si>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</si>
  <si>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</si>
  <si>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</si>
  <si>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</si>
  <si>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</si>
  <si>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</si>
  <si>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</si>
  <si>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</si>
  <si>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</si>
  <si>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</si>
  <si>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</si>
  <si>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</si>
  <si>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</si>
  <si>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</si>
  <si>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</si>
  <si>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</si>
  <si>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</si>
  <si>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</si>
  <si>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</si>
  <si>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</si>
  <si>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</si>
  <si>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</si>
  <si>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</si>
  <si>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</si>
  <si>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</si>
  <si>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</si>
  <si>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</si>
  <si>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</si>
  <si>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</si>
  <si>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</si>
  <si>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</si>
  <si>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</si>
  <si>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</si>
  <si>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</si>
  <si>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</si>
  <si>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</si>
  <si>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</si>
  <si>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</si>
  <si>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</si>
  <si>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</si>
  <si>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</si>
  <si>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</si>
  <si>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</si>
  <si>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</si>
  <si>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</si>
  <si>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</si>
  <si>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</si>
  <si>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</si>
  <si>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</si>
  <si>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</si>
  <si>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</si>
  <si>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</si>
  <si>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</si>
  <si>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</si>
  <si>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</si>
  <si>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</si>
  <si>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</si>
  <si>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</si>
  <si>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</si>
  <si>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</si>
  <si>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</si>
  <si>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</si>
  <si>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</si>
  <si>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</si>
  <si>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</si>
  <si>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</si>
  <si>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</si>
  <si>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</si>
  <si>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</si>
  <si>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</si>
  <si>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</si>
  <si>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</si>
  <si>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</si>
  <si>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</si>
  <si>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</si>
  <si>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</si>
  <si>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</si>
  <si>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</si>
  <si>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</si>
  <si>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</si>
  <si>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</si>
  <si>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</si>
  <si>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</si>
  <si>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</si>
  <si>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</si>
  <si>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</si>
  <si>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</si>
  <si>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</si>
  <si>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</si>
  <si>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</si>
  <si>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</si>
  <si>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</si>
  <si>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</si>
  <si>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</si>
  <si>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</si>
  <si>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</si>
  <si>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</si>
  <si>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</si>
  <si>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</si>
  <si>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</si>
  <si>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</si>
  <si>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</si>
  <si>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</si>
  <si>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</si>
  <si>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</si>
  <si>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</si>
  <si>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</si>
  <si>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</si>
  <si>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</si>
  <si>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</si>
  <si>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</si>
  <si>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</si>
  <si>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</si>
  <si>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</si>
  <si>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</si>
  <si>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</si>
  <si>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</si>
  <si>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</si>
  <si>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</si>
  <si>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</si>
  <si>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</si>
  <si>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</si>
  <si>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</si>
  <si>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</si>
  <si>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</si>
  <si>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</si>
  <si>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</si>
  <si>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</si>
  <si>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</si>
  <si>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</si>
  <si>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</si>
  <si>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</si>
  <si>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</si>
  <si>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</si>
  <si>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</si>
  <si>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</si>
  <si>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</si>
  <si>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</si>
  <si>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</si>
  <si>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</si>
  <si>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</si>
  <si>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</si>
  <si>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</si>
  <si>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</si>
  <si>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</si>
  <si>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</si>
  <si>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</si>
  <si>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</si>
  <si>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</si>
  <si>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</si>
  <si>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</si>
  <si>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</si>
  <si>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</si>
  <si>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</si>
  <si>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</si>
  <si>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</si>
  <si>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</si>
  <si>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</si>
  <si>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</si>
  <si>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</si>
  <si>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</si>
  <si>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</si>
  <si>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</si>
  <si>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</si>
  <si>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</si>
  <si>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</si>
  <si>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</si>
  <si>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</si>
  <si>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</si>
  <si>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</si>
  <si>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</si>
  <si>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</si>
  <si>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</si>
  <si>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</si>
  <si>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</si>
  <si>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</si>
  <si>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</si>
  <si>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</si>
  <si>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</si>
  <si>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</si>
  <si>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</si>
  <si>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</si>
  <si>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</si>
  <si>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</si>
  <si>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</si>
  <si>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</si>
  <si>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</si>
  <si>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</si>
  <si>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</si>
  <si>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</si>
  <si>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</si>
  <si>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</si>
  <si>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</si>
  <si>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</si>
  <si>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</si>
  <si>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</si>
  <si>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</si>
  <si>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</si>
  <si>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</si>
  <si>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</si>
  <si>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</si>
  <si>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</si>
  <si>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</si>
  <si>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</si>
  <si>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</si>
  <si>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</si>
  <si>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</si>
  <si>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</si>
  <si>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</si>
  <si>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</si>
  <si>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</si>
  <si>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</si>
  <si>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</si>
  <si>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</si>
  <si>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</si>
  <si>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</si>
  <si>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</si>
  <si>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</si>
  <si>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</si>
  <si>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</si>
  <si>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</si>
  <si>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</si>
  <si>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</si>
  <si>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</si>
  <si>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</si>
  <si>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</si>
  <si>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</si>
  <si>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</si>
  <si>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</si>
  <si>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</si>
  <si>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</si>
  <si>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</si>
  <si>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</si>
  <si>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</si>
  <si>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</si>
  <si>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</si>
  <si>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</si>
  <si>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</si>
  <si>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</si>
  <si>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</si>
  <si>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</si>
  <si>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</si>
  <si>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</si>
  <si>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</si>
  <si>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</si>
  <si>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</si>
  <si>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</si>
  <si>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</si>
  <si>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</si>
  <si>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</si>
  <si>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</si>
  <si>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</si>
  <si>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</si>
  <si>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</si>
  <si>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</si>
  <si>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</si>
  <si>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</si>
  <si>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</si>
  <si>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</si>
  <si>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</si>
  <si>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</si>
  <si>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</si>
  <si>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</si>
  <si>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</si>
  <si>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</si>
  <si>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</si>
  <si>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</si>
  <si>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</si>
  <si>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</si>
  <si>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</si>
  <si>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</si>
  <si>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</si>
  <si>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</si>
  <si>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</si>
  <si>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</si>
  <si>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</si>
  <si>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</si>
  <si>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</si>
  <si>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</si>
  <si>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</si>
  <si>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</si>
  <si>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</si>
  <si>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</si>
  <si>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</si>
  <si>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</si>
  <si>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</si>
  <si>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</si>
  <si>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</si>
  <si>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</si>
  <si>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</si>
  <si>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</si>
  <si>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</si>
  <si>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</si>
  <si>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</si>
  <si>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</si>
  <si>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</si>
  <si>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</si>
  <si>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</si>
  <si>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</si>
  <si>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</si>
  <si>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</si>
  <si>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</si>
  <si>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</si>
  <si>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</si>
  <si>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</si>
  <si>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</si>
  <si>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</si>
  <si>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</si>
  <si>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</si>
  <si>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</si>
  <si>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</si>
  <si>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</si>
  <si>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</si>
  <si>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</si>
  <si>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</si>
  <si>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</si>
  <si>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</si>
  <si>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</si>
  <si>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</si>
  <si>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</si>
  <si>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</si>
  <si>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</si>
  <si>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</si>
  <si>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</si>
  <si>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</si>
  <si>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</si>
  <si>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</si>
  <si>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</si>
  <si>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</si>
  <si>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</si>
  <si>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</si>
  <si>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</si>
  <si>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</si>
  <si>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</si>
  <si>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</si>
  <si>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</si>
  <si>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</si>
  <si>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</si>
  <si>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</si>
  <si>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</si>
  <si>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</si>
  <si>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</si>
  <si>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</si>
  <si>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</si>
  <si>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</si>
  <si>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</si>
  <si>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</si>
  <si>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</si>
  <si>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</si>
  <si>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</si>
  <si>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</si>
  <si>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</si>
  <si>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</si>
  <si>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</si>
  <si>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</si>
  <si>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</si>
  <si>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</si>
  <si>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</si>
  <si>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</si>
  <si>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</si>
  <si>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</si>
  <si>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</si>
  <si>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</si>
  <si>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</si>
  <si>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</si>
  <si>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</si>
  <si>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</si>
  <si>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</si>
  <si>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</si>
  <si>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</si>
  <si>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</si>
  <si>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</si>
  <si>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</si>
  <si>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</si>
  <si>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</si>
  <si>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</si>
  <si>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</si>
  <si>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</si>
  <si>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</si>
  <si>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</si>
  <si>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</si>
  <si>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</si>
  <si>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</si>
  <si>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</si>
  <si>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</si>
  <si>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</si>
  <si>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</si>
  <si>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</si>
  <si>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</si>
  <si>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</si>
  <si>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</si>
  <si>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</si>
  <si>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</si>
  <si>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</si>
  <si>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</si>
  <si>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</si>
  <si>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</si>
  <si>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</si>
  <si>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</si>
  <si>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</si>
  <si>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</si>
  <si>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</si>
  <si>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</si>
  <si>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</si>
  <si>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</si>
  <si>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</si>
  <si>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</si>
  <si>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</si>
  <si>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</si>
  <si>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</si>
  <si>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</si>
  <si>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</si>
  <si>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</si>
  <si>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</si>
  <si>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</si>
  <si>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</si>
  <si>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</si>
  <si>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</si>
  <si>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</si>
  <si>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</si>
  <si>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</si>
  <si>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</si>
  <si>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</si>
  <si>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</si>
  <si>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</si>
  <si>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</si>
  <si>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</si>
  <si>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</si>
  <si>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</si>
  <si>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</si>
  <si>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</si>
  <si>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</si>
  <si>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</si>
  <si>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</si>
  <si>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</si>
  <si>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</si>
  <si>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</si>
  <si>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</si>
  <si>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</si>
  <si>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</si>
  <si>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</si>
  <si>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</si>
  <si>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</si>
  <si>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</si>
  <si>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</si>
  <si>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</si>
  <si>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</si>
  <si>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</si>
  <si>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</si>
  <si>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</si>
  <si>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</si>
  <si>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</si>
  <si>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</si>
  <si>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</si>
  <si>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</si>
  <si>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</si>
  <si>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</si>
  <si>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</si>
  <si>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</si>
  <si>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</si>
  <si>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</si>
  <si>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</si>
  <si>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</si>
  <si>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</si>
  <si>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</si>
  <si>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</si>
  <si>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</si>
  <si>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</si>
  <si>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</si>
  <si>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</si>
  <si>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</si>
  <si>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</si>
  <si>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</si>
  <si>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</si>
  <si>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</si>
  <si>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</si>
  <si>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</si>
  <si>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</si>
  <si>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</si>
  <si>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</si>
  <si>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</si>
  <si>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</si>
  <si>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</si>
  <si>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</si>
  <si>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</si>
  <si>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</si>
  <si>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</si>
  <si>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</si>
  <si>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</si>
  <si>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</si>
  <si>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</si>
  <si>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</si>
  <si>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</si>
  <si>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</si>
  <si>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</si>
  <si>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</si>
  <si>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</si>
  <si>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</si>
  <si>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</si>
  <si>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</si>
  <si>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</si>
  <si>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</si>
  <si>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</si>
  <si>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</si>
  <si>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</si>
  <si>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</si>
  <si>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</si>
  <si>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</si>
  <si>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</si>
  <si>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</si>
  <si>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</si>
  <si>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</si>
  <si>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</si>
  <si>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</si>
  <si>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</si>
  <si>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</si>
  <si>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</si>
  <si>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</si>
  <si>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</si>
  <si>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</si>
  <si>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</si>
  <si>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</si>
  <si>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</si>
  <si>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</si>
  <si>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</si>
  <si>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</si>
  <si>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</si>
  <si>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</si>
  <si>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</si>
  <si>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</si>
  <si>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</si>
  <si>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</si>
  <si>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</si>
  <si>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</si>
  <si>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</si>
  <si>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</si>
  <si>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</si>
  <si>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</si>
  <si>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</si>
  <si>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</si>
  <si>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</si>
  <si>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</si>
  <si>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</si>
  <si>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</si>
  <si>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</si>
  <si>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</si>
  <si>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</si>
  <si>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</si>
  <si>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</si>
  <si>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</si>
  <si>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</si>
  <si>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</si>
  <si>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</si>
  <si>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</si>
  <si>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</si>
  <si>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</si>
  <si>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</si>
  <si>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</si>
  <si>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</si>
  <si>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</si>
  <si>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</si>
  <si>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</si>
  <si>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</si>
  <si>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</si>
  <si>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</si>
  <si>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</si>
  <si>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</si>
  <si>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</si>
  <si>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</si>
  <si>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</si>
  <si>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</si>
  <si>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</si>
  <si>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</si>
  <si>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</si>
  <si>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</si>
  <si>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</si>
  <si>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</si>
  <si>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</si>
  <si>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</si>
  <si>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</si>
  <si>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</si>
  <si>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</si>
  <si>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</si>
  <si>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</si>
  <si>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</si>
  <si>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</si>
  <si>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</si>
  <si>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</si>
  <si>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</si>
  <si>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</si>
  <si>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</si>
  <si>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</si>
  <si>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</si>
  <si>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</si>
  <si>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</si>
  <si>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</si>
  <si>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</si>
  <si>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</si>
  <si>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</si>
  <si>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</si>
  <si>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</si>
  <si>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</si>
  <si>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</si>
  <si>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</si>
  <si>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</si>
  <si>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</si>
  <si>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</si>
  <si>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</si>
  <si>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</si>
  <si>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</si>
  <si>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</si>
  <si>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</si>
  <si>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</si>
  <si>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</si>
  <si>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</si>
  <si>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</si>
  <si>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</si>
  <si>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</si>
  <si>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</si>
  <si>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</si>
  <si>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</si>
  <si>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</si>
  <si>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</si>
  <si>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</si>
  <si>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</si>
  <si>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</si>
  <si>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</si>
  <si>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</si>
  <si>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</si>
  <si>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</si>
  <si>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</si>
  <si>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</si>
  <si>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</si>
  <si>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</si>
  <si>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</si>
  <si>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</si>
  <si>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</si>
  <si>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</si>
  <si>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</si>
  <si>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</si>
  <si>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</si>
  <si>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</si>
  <si>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</si>
  <si>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</si>
  <si>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</si>
  <si>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</si>
  <si>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</si>
  <si>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</si>
  <si>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</si>
  <si>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</si>
  <si>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</si>
  <si>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</si>
  <si>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</si>
  <si>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</si>
  <si>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</si>
  <si>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</si>
  <si>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</si>
  <si>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</si>
  <si>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</si>
  <si>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</si>
  <si>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</si>
  <si>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</si>
  <si>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</si>
  <si>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</si>
  <si>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</si>
  <si>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</si>
  <si>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</si>
  <si>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</si>
  <si>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</si>
  <si>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</si>
  <si>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</si>
  <si>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</si>
  <si>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</si>
  <si>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</si>
  <si>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</si>
  <si>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</si>
  <si>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</si>
  <si>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</si>
  <si>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</si>
  <si>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</si>
  <si>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</si>
  <si>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</si>
  <si>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</si>
  <si>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</si>
  <si>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</si>
  <si>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</si>
  <si>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</si>
  <si>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</si>
  <si>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</si>
  <si>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</si>
  <si>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</si>
  <si>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</si>
  <si>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</si>
  <si>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</si>
  <si>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</si>
  <si>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</si>
  <si>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</si>
  <si>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</si>
  <si>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</si>
  <si>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</si>
  <si>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</si>
  <si>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</si>
  <si>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</si>
  <si>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</si>
  <si>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</si>
  <si>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</si>
  <si>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</si>
  <si>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</si>
  <si>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</si>
  <si>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</si>
  <si>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</si>
  <si>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</si>
  <si>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</si>
  <si>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</si>
  <si>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</si>
  <si>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</si>
  <si>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</si>
  <si>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</si>
  <si>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</si>
  <si>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</si>
  <si>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</si>
  <si>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</si>
  <si>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</si>
  <si>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</si>
  <si>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</si>
  <si>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</si>
  <si>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</si>
  <si>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</si>
  <si>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</si>
  <si>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</si>
  <si>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</si>
  <si>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</si>
  <si>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</si>
  <si>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</si>
  <si>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</si>
  <si>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</si>
  <si>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</si>
  <si>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</si>
  <si>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</si>
  <si>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</si>
  <si>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</si>
  <si>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</si>
  <si>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</si>
  <si>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</si>
  <si>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</si>
  <si>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</si>
  <si>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</si>
  <si>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</si>
  <si>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</si>
  <si>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</si>
  <si>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</si>
  <si>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</si>
  <si>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</si>
  <si>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</si>
  <si>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</si>
  <si>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</si>
  <si>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</si>
  <si>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</si>
  <si>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</si>
  <si>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</si>
  <si>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</si>
  <si>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</si>
  <si>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</si>
  <si>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</si>
  <si>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</si>
  <si>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</si>
  <si>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</si>
  <si>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</si>
  <si>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</si>
  <si>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</si>
  <si>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</si>
  <si>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</si>
  <si>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</si>
  <si>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</si>
  <si>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</si>
  <si>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</si>
  <si>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</si>
  <si>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</si>
  <si>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</si>
  <si>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</si>
  <si>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</si>
  <si>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</si>
  <si>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</si>
  <si>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</si>
  <si>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</si>
  <si>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</si>
  <si>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</si>
  <si>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</si>
  <si>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</si>
  <si>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</si>
  <si>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</si>
  <si>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</si>
  <si>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</si>
  <si>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</si>
  <si>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</si>
  <si>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</si>
  <si>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</si>
  <si>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</si>
  <si>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</si>
  <si>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</si>
  <si>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</si>
  <si>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</si>
  <si>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</si>
  <si>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</si>
  <si>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</si>
  <si>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</si>
  <si>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</si>
  <si>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</si>
  <si>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</si>
  <si>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</si>
  <si>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</si>
  <si>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</si>
  <si>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</si>
  <si>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</si>
  <si>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</si>
  <si>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</si>
  <si>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</si>
  <si>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</si>
  <si>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</si>
  <si>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</si>
  <si>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</si>
  <si>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</si>
  <si>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</si>
  <si>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</si>
  <si>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</si>
  <si>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</si>
  <si>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</si>
  <si>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</si>
  <si>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</si>
  <si>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</si>
  <si>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</si>
  <si>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</si>
  <si>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</si>
  <si>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</si>
  <si>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</si>
  <si>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</si>
  <si>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</si>
  <si>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</si>
  <si>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</si>
  <si>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</si>
  <si>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</si>
  <si>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</si>
  <si>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</si>
  <si>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</si>
  <si>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</si>
  <si>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</si>
  <si>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</si>
  <si>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</si>
  <si>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</si>
  <si>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</si>
  <si>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</si>
  <si>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</si>
  <si>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</si>
  <si>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</si>
  <si>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</si>
  <si>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</si>
  <si>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</si>
  <si>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</si>
  <si>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</si>
  <si>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</si>
  <si>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</si>
  <si>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</si>
  <si>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</si>
  <si>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</si>
  <si>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</si>
  <si>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</si>
  <si>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</si>
  <si>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</si>
  <si>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</si>
  <si>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</si>
  <si>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</si>
  <si>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</si>
  <si>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</si>
  <si>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</si>
  <si>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</si>
  <si>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</si>
  <si>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</si>
  <si>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</si>
  <si>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</si>
  <si>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</si>
  <si>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</si>
  <si>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</si>
  <si>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</si>
  <si>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</si>
  <si>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</si>
  <si>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</si>
  <si>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</si>
  <si>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</si>
  <si>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</si>
  <si>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</si>
  <si>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</si>
  <si>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</si>
  <si>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扬中绿洲新城实业集团有限公司</t>
    <phoneticPr fontId="3" type="noConversion"/>
  </si>
  <si>
    <t>国民信托有限公司</t>
    <phoneticPr fontId="3" type="noConversion"/>
  </si>
  <si>
    <t>其它商服用地</t>
    <phoneticPr fontId="3" type="noConversion"/>
  </si>
  <si>
    <t>商住用地</t>
    <phoneticPr fontId="3" type="noConversion"/>
  </si>
  <si>
    <t>《不动产权证书》[苏（2019）扬中市不动产权第9000044号]</t>
    <phoneticPr fontId="3" type="noConversion"/>
  </si>
  <si>
    <t>《国有建设用地使用权出让合同》[3211822013CR(注资）064]及附件、《北京市规划委员会关于同意XX项目的规划设计方案的规划意见复函》[]以及《建设工程规划许可证》[]</t>
    <phoneticPr fontId="3" type="noConversion"/>
  </si>
  <si>
    <t>商业</t>
  </si>
  <si>
    <t>扬中市油坊镇</t>
    <phoneticPr fontId="6" type="noConversion"/>
  </si>
  <si>
    <t>江苏省镇江市</t>
    <phoneticPr fontId="6" type="noConversion"/>
  </si>
  <si>
    <t>否</t>
  </si>
  <si>
    <t>地上</t>
  </si>
  <si>
    <t>普通住宅</t>
  </si>
  <si>
    <t>底商</t>
  </si>
  <si>
    <t>住宅</t>
    <phoneticPr fontId="7" type="noConversion"/>
  </si>
  <si>
    <t>商业</t>
    <phoneticPr fontId="7" type="noConversion"/>
  </si>
  <si>
    <t>不动产收益法</t>
  </si>
  <si>
    <t>押一</t>
  </si>
  <si>
    <t>按租金收入计税</t>
  </si>
  <si>
    <t>钢混</t>
  </si>
  <si>
    <t>土地（套用方法）</t>
  </si>
  <si>
    <t>已全部缴纳</t>
  </si>
  <si>
    <t>剩余法-待开发</t>
  </si>
  <si>
    <t>比较法-住宅、综合</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</si>
  <si>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</si>
  <si>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</si>
  <si>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</si>
  <si>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</si>
  <si>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</si>
  <si>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</si>
  <si>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</si>
  <si>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</si>
  <si>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</si>
  <si>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</si>
  <si>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</si>
  <si>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</si>
  <si>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</si>
  <si>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</si>
  <si>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</si>
  <si>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镇江市</t>
  </si>
  <si>
    <t>住宅用地</t>
  </si>
  <si>
    <t>大于或等于1.8并且小于或等于3</t>
  </si>
  <si>
    <t>挂牌</t>
  </si>
  <si>
    <t>城镇住宅-普通商品住房用地</t>
  </si>
  <si>
    <t>2020-12-19</t>
  </si>
  <si>
    <t>中扬置业股份有限公司</t>
  </si>
  <si>
    <t>3星</t>
  </si>
  <si>
    <t>港东南路东侧、康宁路北侧</t>
  </si>
  <si>
    <t>大于或等于2并且小于或等于3.2</t>
  </si>
  <si>
    <t>扬中市冠捷科创有限公司</t>
  </si>
  <si>
    <t>宜禾路南侧、中电大道西侧</t>
  </si>
  <si>
    <t>大于或等于1.5并且小于或等于2.5</t>
  </si>
  <si>
    <t>宜禾路南侧、新民路东侧</t>
  </si>
  <si>
    <t>港东北路东侧、原亚东电器厂</t>
  </si>
  <si>
    <t>大于1并且小于或等于1.5</t>
  </si>
  <si>
    <t>扬中绿洲置业有限公司</t>
  </si>
  <si>
    <t>中电大道西侧、祁家路北侧</t>
  </si>
  <si>
    <t>大于或等于1.5并且小于或等于2.2</t>
  </si>
  <si>
    <t>2020-11-30</t>
  </si>
  <si>
    <t>江苏大行临港产业投资有限公司</t>
  </si>
  <si>
    <t>春路北路西侧、建中河南侧地块一</t>
  </si>
  <si>
    <t>扬中市嘉茂建设工程有限公司</t>
  </si>
  <si>
    <t>新坝镇S238省道东侧、大全路北侧</t>
  </si>
  <si>
    <t>大于或等于1.1并且小于或等于1.6</t>
  </si>
  <si>
    <t>大航控股集团江苏置业有限公司</t>
  </si>
  <si>
    <t>2星</t>
  </si>
  <si>
    <t>春柳北路西侧、建中河南侧地块二</t>
  </si>
  <si>
    <t>大于或等于1.1并且小于或等于1.8</t>
  </si>
  <si>
    <t>祁家路南侧、金港大道东侧</t>
  </si>
  <si>
    <t>大于或等于1.5并且小于或等于1.8</t>
  </si>
  <si>
    <t>滨江大道北侧、新民南路东侧</t>
  </si>
  <si>
    <t>江苏天禾旅游发展有限公司</t>
  </si>
  <si>
    <t>昌盛路南侧、泰镇高速北侧</t>
  </si>
  <si>
    <t>大于1并且小于或等于1.3</t>
  </si>
  <si>
    <t>城镇住宅用地</t>
  </si>
  <si>
    <t>2020-09-28</t>
  </si>
  <si>
    <t>滨江大道北侧、迎江大道西侧</t>
  </si>
  <si>
    <t>上海爱家投资(集团)有限公司</t>
  </si>
  <si>
    <t>三桥路西侧、中园路北侧</t>
  </si>
  <si>
    <t>大于或等于1.1并且小于或等于1.5</t>
  </si>
  <si>
    <t>扬中市京城经贸实业总公司</t>
  </si>
  <si>
    <t>三栏路北侧、新胜东区居民点东北侧</t>
  </si>
  <si>
    <t>等于1.12</t>
  </si>
  <si>
    <t>南江路北侧、恒和医院西侧</t>
  </si>
  <si>
    <t>大于或等于1.2并且小于或等于1.6</t>
  </si>
  <si>
    <t>2020-03-30</t>
  </si>
  <si>
    <t>扬中市恒祥置业有限公司</t>
  </si>
  <si>
    <t>恒和医院西侧、普济小区南侧</t>
  </si>
  <si>
    <t>滨江大道北侧、江洲南路西侧</t>
  </si>
  <si>
    <t>大于或等于1.4并且小于或等于1.6</t>
  </si>
  <si>
    <t>扬子中路南侧、明珠大道东侧</t>
  </si>
  <si>
    <t>2020-01-06</t>
  </si>
  <si>
    <t>扬中市丰裕房屋开发有限公司</t>
  </si>
  <si>
    <t>西来桥镇人民路北侧、群英路西侧</t>
  </si>
  <si>
    <t>大于1并且小于或等于1.8</t>
  </si>
  <si>
    <t>扬中中联房地产有限公司</t>
  </si>
  <si>
    <t>1星</t>
  </si>
  <si>
    <t>园丁路南侧地块一</t>
  </si>
  <si>
    <t>大于1并且小于或等于2.7</t>
  </si>
  <si>
    <t>翠竹路西侧、工会路北侧</t>
  </si>
  <si>
    <t>大于或等于1.2并且小于或等于1.7</t>
  </si>
  <si>
    <t>江苏荣胜置业有限公司</t>
  </si>
  <si>
    <t>河南桥路东侧、复振路北侧</t>
  </si>
  <si>
    <t>2019-07-10</t>
  </si>
  <si>
    <t>扬中市绿桥龙庭置业有限公司</t>
  </si>
  <si>
    <t>联盟南路东侧、迎宾大道南侧、新民南路西侧、南江路北侧</t>
  </si>
  <si>
    <t>综合用地(含住宅)</t>
  </si>
  <si>
    <t>大于或等于2并且小于或等于2.7</t>
  </si>
  <si>
    <t>商住</t>
  </si>
  <si>
    <t>2019-05-29</t>
  </si>
  <si>
    <t>新城控股集团企业管理有限公司</t>
  </si>
  <si>
    <t>大于或等于2并且小于或等于2.6</t>
  </si>
  <si>
    <t>2019-05-23</t>
  </si>
  <si>
    <t>大于或等于2并且小于或等于2.8</t>
  </si>
  <si>
    <t>浩云湾东南侧、中电大道西侧、祁家路北侧</t>
  </si>
  <si>
    <t>港东北路东侧、亚东电器厂片区</t>
  </si>
  <si>
    <t>2019-04-22</t>
  </si>
  <si>
    <t>建中河南侧、翠竹北路西侧</t>
  </si>
  <si>
    <t>大于或等于1.1并且小于或等于1.3</t>
  </si>
  <si>
    <t>镇江乾建置业有限公司</t>
  </si>
  <si>
    <t>宜禾路北侧、鑫源钢铁西侧</t>
  </si>
  <si>
    <t>大于1并且小于或等于1.2</t>
  </si>
  <si>
    <t>大于或等于1.1并且小于或等于1.4</t>
  </si>
  <si>
    <t>扬中市华兴房地产开发有限公司</t>
  </si>
  <si>
    <t>2019-03-04</t>
  </si>
  <si>
    <t>翠竹北路城北幼儿园西侧</t>
  </si>
  <si>
    <t>江苏欣润置业有限公司</t>
  </si>
  <si>
    <t>开发区兴宏路南侧</t>
  </si>
  <si>
    <t>大于1并且小于或等于1.59</t>
  </si>
  <si>
    <t>其他普通商品住房用地</t>
  </si>
  <si>
    <t>2018-12-26</t>
  </si>
  <si>
    <t>江苏大行置业有限公司</t>
  </si>
  <si>
    <t>西城区迎宾大道北侧、联盟路东侧</t>
  </si>
  <si>
    <t>中低价位、中小套型普通商品住房用地</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</si>
  <si>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</si>
  <si>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</si>
  <si>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</si>
  <si>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</si>
  <si>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</si>
  <si>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</si>
  <si>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</si>
  <si>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扬中市通发实业有限公司</t>
  </si>
  <si>
    <t>新坝华鹏路以东、中兴路以南</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</si>
  <si>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</si>
  <si>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</si>
  <si>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</si>
  <si>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</si>
  <si>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</si>
  <si>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</si>
  <si>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</si>
  <si>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</si>
  <si>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</si>
  <si>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</si>
  <si>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</si>
  <si>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</si>
  <si>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</si>
  <si>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</si>
  <si>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</si>
  <si>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</si>
  <si>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</si>
  <si>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</si>
  <si>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</si>
  <si>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</si>
  <si>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</si>
  <si>
    <t>大于或等于1.1并且小于或等于2.35</t>
  </si>
  <si>
    <t>镇江市巨华置业有限公司</t>
  </si>
  <si>
    <t>规划道路东侧、规划区间路南侧、联盟南路西侧、南江路北侧</t>
    <phoneticPr fontId="228" type="noConversion"/>
  </si>
  <si>
    <t>扬子中路北侧、文化路西侧</t>
    <phoneticPr fontId="228" type="noConversion"/>
  </si>
  <si>
    <t>市中心</t>
    <phoneticPr fontId="228" type="noConversion"/>
  </si>
  <si>
    <t>新坝镇S238省道东侧、新政东路南侧</t>
    <phoneticPr fontId="228" type="noConversion"/>
  </si>
  <si>
    <t>苏（2019）扬中市不动产权第9000044号</t>
  </si>
  <si>
    <t>扬国用（2013）第40220号</t>
  </si>
  <si>
    <t>扬国用（2013)第40174号</t>
    <phoneticPr fontId="228" type="noConversion"/>
  </si>
  <si>
    <t>扬中市西来桥镇</t>
    <phoneticPr fontId="228" type="noConversion"/>
  </si>
  <si>
    <t>产权证号</t>
    <phoneticPr fontId="228" type="noConversion"/>
  </si>
  <si>
    <t>项目</t>
    <phoneticPr fontId="228" type="noConversion"/>
  </si>
  <si>
    <t>规划建筑面积</t>
    <phoneticPr fontId="228" type="noConversion"/>
  </si>
  <si>
    <t>土地面积（㎡）</t>
    <phoneticPr fontId="228" type="noConversion"/>
  </si>
  <si>
    <t>评估总值（万元）</t>
    <phoneticPr fontId="228" type="noConversion"/>
  </si>
  <si>
    <t>扬中市油坊镇</t>
    <phoneticPr fontId="228" type="noConversion"/>
  </si>
  <si>
    <t>扬中市八桥镇</t>
    <phoneticPr fontId="228" type="noConversion"/>
  </si>
  <si>
    <t>合计</t>
    <phoneticPr fontId="228" type="noConversion"/>
  </si>
  <si>
    <t>建中河南侧、翠竹北路西侧</t>
    <phoneticPr fontId="228" type="noConversion"/>
  </si>
  <si>
    <t>新坝镇大全路南侧、浮玉花园北侧</t>
    <phoneticPr fontId="228" type="noConversion"/>
  </si>
  <si>
    <t>规划道路东侧、迎宾大道南侧、联盟南路西侧、规划区间路北侧</t>
    <phoneticPr fontId="228" type="noConversion"/>
  </si>
  <si>
    <t>扬中市油坊镇</t>
    <phoneticPr fontId="3" type="noConversion"/>
  </si>
  <si>
    <t>正常</t>
  </si>
  <si>
    <t>一般</t>
  </si>
  <si>
    <t>较好</t>
  </si>
  <si>
    <t>五通</t>
  </si>
  <si>
    <t>楼面地价</t>
  </si>
  <si>
    <t>住宅</t>
    <phoneticPr fontId="26" type="noConversion"/>
  </si>
  <si>
    <r>
      <t>70</t>
    </r>
    <r>
      <rPr>
        <sz val="11"/>
        <color indexed="8"/>
        <rFont val="宋体"/>
        <family val="3"/>
        <charset val="134"/>
      </rPr>
      <t>、</t>
    </r>
    <r>
      <rPr>
        <sz val="11"/>
        <color indexed="8"/>
        <rFont val="Arial"/>
        <family val="2"/>
      </rPr>
      <t>40</t>
    </r>
    <phoneticPr fontId="26" type="noConversion"/>
  </si>
  <si>
    <t>规则</t>
  </si>
  <si>
    <t>规则</t>
    <phoneticPr fontId="26" type="noConversion"/>
  </si>
  <si>
    <t>较规则</t>
    <phoneticPr fontId="26" type="noConversion"/>
  </si>
  <si>
    <t>较好</t>
    <phoneticPr fontId="26" type="noConversion"/>
  </si>
  <si>
    <t>一般</t>
    <phoneticPr fontId="26" type="noConversion"/>
  </si>
  <si>
    <t>保集梧桐墅</t>
    <phoneticPr fontId="3" type="noConversion"/>
  </si>
  <si>
    <t>翡丽中央</t>
    <phoneticPr fontId="3" type="noConversion"/>
  </si>
  <si>
    <t>华鹏卢浮至尊</t>
    <phoneticPr fontId="3" type="noConversion"/>
  </si>
  <si>
    <t>扬中油坊镇</t>
    <phoneticPr fontId="3" type="noConversion"/>
  </si>
  <si>
    <t>住宅</t>
    <phoneticPr fontId="21" type="noConversion"/>
  </si>
  <si>
    <t>60-70（含）</t>
  </si>
  <si>
    <t>六通</t>
  </si>
  <si>
    <t>钢混</t>
    <phoneticPr fontId="3" type="noConversion"/>
  </si>
  <si>
    <t>高层</t>
  </si>
  <si>
    <t>高层</t>
    <phoneticPr fontId="21" type="noConversion"/>
  </si>
  <si>
    <t>高档</t>
  </si>
  <si>
    <t>高档</t>
    <phoneticPr fontId="21" type="noConversion"/>
  </si>
  <si>
    <t>中档</t>
    <phoneticPr fontId="21" type="noConversion"/>
  </si>
  <si>
    <t>精装修</t>
  </si>
  <si>
    <t>精装修</t>
    <phoneticPr fontId="21" type="noConversion"/>
  </si>
  <si>
    <t>一般装修</t>
    <phoneticPr fontId="21" type="noConversion"/>
  </si>
  <si>
    <t>毛坯</t>
  </si>
  <si>
    <t>毛坯</t>
    <phoneticPr fontId="21" type="noConversion"/>
  </si>
  <si>
    <t>专业</t>
  </si>
  <si>
    <t>专业</t>
    <phoneticPr fontId="21" type="noConversion"/>
  </si>
  <si>
    <t>七通</t>
  </si>
  <si>
    <t>四通</t>
  </si>
  <si>
    <t>三通</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</si>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</sst>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name val="微软雅黑"/>
      <family val="2"/>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177" fontId="76" fillId="13" borderId="0" xfId="0" applyNumberFormat="1" applyFont="1" applyFill="1" applyAlignment="1" applyProtection="1">
      <alignment horizontal="center" vertical="center"/>
      <protection locked="0"/>
    </xf>
    <xf numFmtId="0" fontId="280" fillId="0" borderId="10" xfId="14" applyFont="1" applyFill="1" applyBorder="1" applyAlignment="1">
      <alignment horizontal="center" vertical="center" wrapText="1"/>
    </xf>
    <xf numFmtId="0" fontId="281" fillId="0" borderId="0" xfId="0" applyFont="1" applyFill="1" applyAlignment="1"/>
    <xf numFmtId="0" fontId="281" fillId="0" borderId="0" xfId="0" applyFont="1" applyFill="1" applyAlignment="1">
      <alignment wrapText="1"/>
    </xf>
    <xf numFmtId="0" fontId="281" fillId="0" borderId="0" xfId="0" applyFont="1" applyAlignment="1"/>
    <xf numFmtId="0" fontId="281" fillId="0" borderId="0" xfId="0" applyFont="1" applyAlignment="1">
      <alignment wrapText="1"/>
    </xf>
    <xf numFmtId="0" fontId="281" fillId="9" borderId="0" xfId="0" applyFont="1" applyFill="1" applyAlignment="1"/>
    <xf numFmtId="0" fontId="281" fillId="9" borderId="0" xfId="0" applyFont="1" applyFill="1" applyAlignment="1">
      <alignment wrapText="1"/>
    </xf>
    <xf numFmtId="0" fontId="281" fillId="20" borderId="0" xfId="0" applyFont="1" applyFill="1" applyAlignment="1"/>
    <xf numFmtId="0" fontId="281" fillId="20" borderId="0" xfId="0" applyFont="1" applyFill="1" applyAlignment="1">
      <alignment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5" xfId="14" applyFont="1" applyFill="1" applyBorder="1" applyAlignment="1">
      <alignment horizontal="left" vertical="center" wrapText="1"/>
    </xf>
    <xf numFmtId="0" fontId="280" fillId="0" borderId="8" xfId="14" applyFont="1" applyFill="1" applyBorder="1" applyAlignment="1">
      <alignment horizontal="left" vertical="center" wrapText="1"/>
    </xf>
    <xf numFmtId="0" fontId="280" fillId="0" borderId="9" xfId="14" applyFont="1" applyFill="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54</xdr:row>
      <xdr:rowOff>66675</xdr:rowOff>
    </xdr:from>
    <xdr:to>
      <xdr:col>12</xdr:col>
      <xdr:colOff>227609</xdr:colOff>
      <xdr:row>87</xdr:row>
      <xdr:rowOff>8825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25" y="17726025"/>
          <a:ext cx="7933334" cy="5600000"/>
        </a:xfrm>
        <a:prstGeom prst="rect">
          <a:avLst/>
        </a:prstGeom>
      </xdr:spPr>
    </xdr:pic>
    <xdr:clientData/>
  </xdr:twoCellAnchor>
  <xdr:twoCellAnchor editAs="oneCell">
    <xdr:from>
      <xdr:col>0</xdr:col>
      <xdr:colOff>485775</xdr:colOff>
      <xdr:row>88</xdr:row>
      <xdr:rowOff>134884</xdr:rowOff>
    </xdr:from>
    <xdr:to>
      <xdr:col>11</xdr:col>
      <xdr:colOff>133350</xdr:colOff>
      <xdr:row>123</xdr:row>
      <xdr:rowOff>8617</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3623534"/>
          <a:ext cx="6667500" cy="5874483"/>
        </a:xfrm>
        <a:prstGeom prst="rect">
          <a:avLst/>
        </a:prstGeom>
      </xdr:spPr>
    </xdr:pic>
    <xdr:clientData/>
  </xdr:twoCellAnchor>
  <xdr:twoCellAnchor editAs="oneCell">
    <xdr:from>
      <xdr:col>12</xdr:col>
      <xdr:colOff>228600</xdr:colOff>
      <xdr:row>53</xdr:row>
      <xdr:rowOff>104775</xdr:rowOff>
    </xdr:from>
    <xdr:to>
      <xdr:col>19</xdr:col>
      <xdr:colOff>237321</xdr:colOff>
      <xdr:row>84</xdr:row>
      <xdr:rowOff>46968</xdr:rowOff>
    </xdr:to>
    <xdr:pic>
      <xdr:nvPicPr>
        <xdr:cNvPr id="4" name="图片 3"/>
        <xdr:cNvPicPr>
          <a:picLocks noChangeAspect="1"/>
        </xdr:cNvPicPr>
      </xdr:nvPicPr>
      <xdr:blipFill>
        <a:blip xmlns:r="http://schemas.openxmlformats.org/officeDocument/2006/relationships" r:embed="rId3"/>
        <a:stretch>
          <a:fillRect/>
        </a:stretch>
      </xdr:blipFill>
      <xdr:spPr>
        <a:xfrm>
          <a:off x="8058150" y="17592675"/>
          <a:ext cx="6438096" cy="5257143"/>
        </a:xfrm>
        <a:prstGeom prst="rect">
          <a:avLst/>
        </a:prstGeom>
      </xdr:spPr>
    </xdr:pic>
    <xdr:clientData/>
  </xdr:twoCellAnchor>
  <xdr:twoCellAnchor editAs="oneCell">
    <xdr:from>
      <xdr:col>12</xdr:col>
      <xdr:colOff>28575</xdr:colOff>
      <xdr:row>85</xdr:row>
      <xdr:rowOff>104775</xdr:rowOff>
    </xdr:from>
    <xdr:to>
      <xdr:col>18</xdr:col>
      <xdr:colOff>104048</xdr:colOff>
      <xdr:row>110</xdr:row>
      <xdr:rowOff>85192</xdr:rowOff>
    </xdr:to>
    <xdr:pic>
      <xdr:nvPicPr>
        <xdr:cNvPr id="5" name="图片 4"/>
        <xdr:cNvPicPr>
          <a:picLocks noChangeAspect="1"/>
        </xdr:cNvPicPr>
      </xdr:nvPicPr>
      <xdr:blipFill>
        <a:blip xmlns:r="http://schemas.openxmlformats.org/officeDocument/2006/relationships" r:embed="rId4"/>
        <a:stretch>
          <a:fillRect/>
        </a:stretch>
      </xdr:blipFill>
      <xdr:spPr>
        <a:xfrm>
          <a:off x="7858125" y="23079075"/>
          <a:ext cx="5819048"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96;&#20013;&#24066;&#35199;&#26469;&#26725;&#38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96;&#20013;&#24066;&#20843;&#26725;&#38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93354.45</v>
          </cell>
          <cell r="C14">
            <v>26672.7</v>
          </cell>
          <cell r="D14">
            <v>12065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70400.400000000009</v>
          </cell>
          <cell r="C14">
            <v>20114.400000000001</v>
          </cell>
          <cell r="D14">
            <v>10638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江苏省镇江市扬中市油坊镇出让国有建设用地使用权抵押价格预评估</v>
      </c>
      <c r="AX2" s="2613"/>
      <c r="AZ2" s="2613"/>
      <c r="BA2" s="2614"/>
      <c r="BC2" s="2614"/>
    </row>
    <row r="3" spans="1:55" s="2615" customFormat="1">
      <c r="A3" s="2594" t="s">
        <v>2641</v>
      </c>
      <c r="B3" s="2597" t="str">
        <f>'预评函-封皮'!B40</f>
        <v>扬中绿洲新城实业集团有限公司</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受贵公司委托，我公司对江苏省镇江市扬中市油坊镇出让国有建设用地使用权抵押价格进行了预评估。</v>
      </c>
      <c r="AM6" s="2619"/>
    </row>
    <row r="7" spans="1:55" s="2593" customFormat="1">
      <c r="A7" s="2594" t="s">
        <v>2637</v>
      </c>
      <c r="B7" s="2595" t="str">
        <f>'预评函-1'!A6</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593" customFormat="1">
      <c r="A10" s="2594" t="s">
        <v>2639</v>
      </c>
      <c r="B10" s="2595" t="str">
        <f>'预评函-1'!A11</f>
        <v>2021年3月2日</v>
      </c>
    </row>
    <row r="11" spans="1:55" s="2593" customFormat="1">
      <c r="A11" s="2594" t="s">
        <v>2645</v>
      </c>
      <c r="B11" s="2595" t="str">
        <f>'预评函-1'!A14</f>
        <v>根据《不动产权证书》[苏（2019）扬中市不动产权第9000044号]，本次评估估价对象证载（地类）用途为其它商服用地。</v>
      </c>
    </row>
    <row r="12" spans="1:55" s="2593" customFormat="1">
      <c r="A12" s="2594" t="s">
        <v>2646</v>
      </c>
      <c r="B12" s="2595" t="str">
        <f>'预评函-1'!A15</f>
        <v>本次评估设定用途即为证载用途商住用地。</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根据《国有土地使用证》[]，估价对象（分摊）出让国有建设用地使用权面积为20854.2平方米。根据《建设工程规划许可证》[]、《出让合同》[]，估价对象规划建筑面积为72989.7平方米。</v>
      </c>
    </row>
    <row r="16" spans="1:55" s="2593" customFormat="1">
      <c r="A16" s="2594" t="s">
        <v>2649</v>
      </c>
      <c r="B16" s="2595" t="str">
        <f>'预评函-1'!A22</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估价期日：2021年3月2日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t="str">
        <f>'预评函-2'!E5</f>
        <v>其它商服用地</v>
      </c>
      <c r="AV32" s="2599"/>
    </row>
    <row r="33" spans="1:2">
      <c r="A33" s="2594" t="s">
        <v>2693</v>
      </c>
      <c r="B33" s="2595">
        <f>'预评函-2'!F5</f>
        <v>258</v>
      </c>
    </row>
    <row r="34" spans="1:2">
      <c r="A34" s="2594" t="s">
        <v>2694</v>
      </c>
      <c r="B34" s="2595" t="str">
        <f>'预评函-2'!G5</f>
        <v>商住用地</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20854.2</v>
      </c>
    </row>
    <row r="44" spans="1:2">
      <c r="A44" s="2594" t="s">
        <v>2720</v>
      </c>
      <c r="B44" s="2595" t="str">
        <f>'预评函-2'!O3</f>
        <v>规划建筑面积/㎡</v>
      </c>
    </row>
    <row r="45" spans="1:2">
      <c r="A45" s="2594" t="s">
        <v>2702</v>
      </c>
      <c r="B45" s="2595">
        <f>'预评函-2'!O5</f>
        <v>72989.7</v>
      </c>
    </row>
    <row r="46" spans="1:2">
      <c r="A46" s="2594" t="s">
        <v>2703</v>
      </c>
      <c r="B46" s="2595">
        <f ca="1">'预评函-2'!P5</f>
        <v>6254</v>
      </c>
    </row>
    <row r="47" spans="1:2">
      <c r="A47" s="2594" t="s">
        <v>2704</v>
      </c>
      <c r="B47" s="2595">
        <f ca="1">'预评函-2'!Q5</f>
        <v>1787</v>
      </c>
    </row>
    <row r="48" spans="1:2">
      <c r="A48" s="2594" t="s">
        <v>2705</v>
      </c>
      <c r="B48" s="2595">
        <f ca="1">'预评函-2'!R5</f>
        <v>13042</v>
      </c>
    </row>
    <row r="49" spans="1:2">
      <c r="A49" s="2594" t="s">
        <v>2721</v>
      </c>
      <c r="B49" s="2595" t="str">
        <f>'预评函-2'!A6</f>
        <v>抵押价格</v>
      </c>
    </row>
    <row r="50" spans="1:2">
      <c r="A50" s="2594" t="s">
        <v>2706</v>
      </c>
      <c r="B50" s="2595">
        <f ca="1">'预评函-2'!R6</f>
        <v>13042</v>
      </c>
    </row>
    <row r="51" spans="1:2">
      <c r="A51" s="2594" t="s">
        <v>2722</v>
      </c>
      <c r="B51" s="2595" t="str">
        <f>'预评函-2'!A7</f>
        <v>——</v>
      </c>
    </row>
    <row r="52" spans="1:2">
      <c r="A52" s="2594" t="s">
        <v>2707</v>
      </c>
      <c r="B52" s="2595" t="str">
        <f>'预评函-2'!R7</f>
        <v>——</v>
      </c>
    </row>
    <row r="53" spans="1:2">
      <c r="A53" s="2594" t="s">
        <v>2723</v>
      </c>
      <c r="B53" s="2595">
        <f>'预评函-2'!A8</f>
        <v>0</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C14" sqref="C14"/>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49" t="str">
        <f>IF(B10="北京市","北京市",C10)&amp;F10&amp;B16&amp;"国有建设用地使用权"&amp;B9&amp;"预评估"</f>
        <v>江苏省镇江市扬中市油坊镇出让国有建设用地使用权抵押价格预评估</v>
      </c>
      <c r="C1" s="3350"/>
      <c r="D1" s="3350"/>
      <c r="E1" s="3350"/>
      <c r="F1" s="3350"/>
      <c r="G1" s="3350"/>
      <c r="H1" s="3350"/>
      <c r="I1" s="3351"/>
      <c r="J1" s="3073"/>
      <c r="K1" s="2309" t="str">
        <f>IF(B10="北京市","北京市",C10)&amp;F10&amp;B16&amp;"国有建设用地使用权"&amp;B9</f>
        <v>江苏省镇江市扬中市油坊镇出让国有建设用地使用权抵押价格</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江苏省镇江市扬中市油坊镇出让国有建设用地使用权</v>
      </c>
      <c r="L2" s="3052"/>
      <c r="M2" s="3052"/>
      <c r="N2" s="3053"/>
      <c r="O2" s="3054"/>
      <c r="P2" s="3053"/>
      <c r="Q2" s="3053"/>
      <c r="R2" s="3053"/>
      <c r="S2" s="3053"/>
      <c r="T2" s="3053"/>
      <c r="U2" s="3053"/>
    </row>
    <row r="3" spans="1:21">
      <c r="A3" s="1587" t="s">
        <v>1928</v>
      </c>
      <c r="B3" s="1588"/>
      <c r="C3" s="2996" t="s">
        <v>1984</v>
      </c>
      <c r="D3" s="1588">
        <v>44257</v>
      </c>
      <c r="E3" s="3073"/>
      <c r="F3" s="3073"/>
      <c r="G3" s="3073"/>
      <c r="H3" s="3074"/>
      <c r="I3" s="3075"/>
      <c r="J3" s="3073"/>
      <c r="K3" s="3056"/>
      <c r="L3" s="3052"/>
      <c r="M3" s="3052"/>
      <c r="N3" s="3053"/>
      <c r="O3" s="3054"/>
      <c r="P3" s="3053"/>
      <c r="Q3" s="3053"/>
      <c r="R3" s="3053"/>
      <c r="S3" s="3053"/>
      <c r="T3" s="3053"/>
      <c r="U3" s="3053"/>
    </row>
    <row r="4" spans="1:21" ht="29.25" thickBot="1">
      <c r="A4" s="1590"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1930</v>
      </c>
      <c r="B5" s="1702" t="s">
        <v>3006</v>
      </c>
      <c r="C5" s="1592"/>
      <c r="D5" s="1593"/>
      <c r="E5" s="3073"/>
      <c r="F5" s="3073"/>
      <c r="G5" s="3073"/>
      <c r="H5" s="3074"/>
      <c r="I5" s="3075"/>
      <c r="J5" s="3073"/>
      <c r="K5" s="3056"/>
      <c r="L5" s="3052"/>
      <c r="M5" s="3052"/>
      <c r="N5" s="3053"/>
      <c r="O5" s="3054"/>
      <c r="P5" s="3053"/>
      <c r="Q5" s="3053"/>
      <c r="R5" s="3053"/>
      <c r="S5" s="3053"/>
      <c r="T5" s="3053"/>
      <c r="U5" s="3053"/>
    </row>
    <row r="6" spans="1:21" ht="26.25">
      <c r="A6" s="1589" t="s">
        <v>2686</v>
      </c>
      <c r="B6" s="1702" t="s">
        <v>3007</v>
      </c>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2687</v>
      </c>
      <c r="B7" s="1702" t="s">
        <v>3006</v>
      </c>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2954</v>
      </c>
      <c r="C8" s="1597"/>
      <c r="D8" s="3355" t="s">
        <v>1933</v>
      </c>
      <c r="E8" s="1756" t="s">
        <v>3003</v>
      </c>
      <c r="F8" s="1598"/>
      <c r="G8" s="3074"/>
      <c r="H8" s="3074"/>
      <c r="I8" s="3077"/>
      <c r="J8" s="3073"/>
      <c r="K8" s="3056"/>
      <c r="L8" s="3052"/>
      <c r="M8" s="3052"/>
      <c r="N8" s="3053"/>
      <c r="O8" s="3054"/>
      <c r="P8" s="3053"/>
      <c r="Q8" s="3053"/>
      <c r="R8" s="3053"/>
      <c r="S8" s="3053"/>
      <c r="T8" s="3053"/>
      <c r="U8" s="3053"/>
    </row>
    <row r="9" spans="1:21" ht="15" thickBot="1">
      <c r="A9" s="2998" t="s">
        <v>1932</v>
      </c>
      <c r="B9" s="1599" t="s">
        <v>3003</v>
      </c>
      <c r="C9" s="1600"/>
      <c r="D9" s="3356"/>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3004</v>
      </c>
      <c r="C10" s="1601" t="s">
        <v>3014</v>
      </c>
      <c r="D10" s="1593"/>
      <c r="E10" s="1602" t="s">
        <v>1935</v>
      </c>
      <c r="F10" s="1603" t="s">
        <v>3013</v>
      </c>
      <c r="G10" s="1661"/>
      <c r="H10" s="1662"/>
      <c r="I10" s="1593"/>
      <c r="J10" s="3073"/>
      <c r="K10" s="3056"/>
      <c r="L10" s="3052"/>
      <c r="M10" s="3052"/>
      <c r="N10" s="3053"/>
      <c r="O10" s="3054"/>
      <c r="P10" s="3053"/>
      <c r="Q10" s="3053"/>
      <c r="R10" s="3053"/>
      <c r="S10" s="3053"/>
      <c r="T10" s="3053"/>
      <c r="U10" s="3053"/>
    </row>
    <row r="11" spans="1:21">
      <c r="A11" s="3000" t="s">
        <v>1989</v>
      </c>
      <c r="B11" s="1618" t="s">
        <v>3005</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52" t="s">
        <v>3008</v>
      </c>
      <c r="C12" s="3353"/>
      <c r="D12" s="3354"/>
      <c r="E12" s="1619" t="s">
        <v>2050</v>
      </c>
      <c r="F12" s="3370" t="s">
        <v>3010</v>
      </c>
      <c r="G12" s="3371"/>
      <c r="H12" s="3371"/>
      <c r="I12" s="3372"/>
      <c r="J12" s="3073"/>
      <c r="K12" s="3056"/>
      <c r="L12" s="3052"/>
      <c r="M12" s="3052"/>
      <c r="N12" s="3053"/>
      <c r="O12" s="3054"/>
      <c r="P12" s="3053"/>
      <c r="Q12" s="3053"/>
      <c r="R12" s="3053"/>
      <c r="S12" s="3053"/>
      <c r="T12" s="3053"/>
      <c r="U12" s="3053"/>
    </row>
    <row r="13" spans="1:21">
      <c r="A13" s="1610" t="s">
        <v>2048</v>
      </c>
      <c r="B13" s="3352" t="s">
        <v>3009</v>
      </c>
      <c r="C13" s="3353"/>
      <c r="D13" s="3354"/>
      <c r="E13" s="1619" t="s">
        <v>2050</v>
      </c>
      <c r="F13" s="3370" t="s">
        <v>3011</v>
      </c>
      <c r="G13" s="3371"/>
      <c r="H13" s="3371"/>
      <c r="I13" s="3372"/>
      <c r="J13" s="3073"/>
      <c r="K13" s="3056"/>
      <c r="L13" s="3052"/>
      <c r="M13" s="3052"/>
      <c r="N13" s="3053"/>
      <c r="O13" s="3054"/>
      <c r="P13" s="3053"/>
      <c r="Q13" s="3053"/>
      <c r="R13" s="3053"/>
      <c r="S13" s="3053"/>
      <c r="T13" s="3053"/>
      <c r="U13" s="3053"/>
    </row>
    <row r="14" spans="1:21">
      <c r="A14" s="1587" t="s">
        <v>2051</v>
      </c>
      <c r="B14" s="1619"/>
      <c r="C14" s="1757"/>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2949</v>
      </c>
      <c r="C16" s="1619" t="s">
        <v>1937</v>
      </c>
      <c r="D16" s="2487" t="s">
        <v>1938</v>
      </c>
      <c r="E16" s="1642" t="s">
        <v>3012</v>
      </c>
      <c r="F16" s="1642"/>
      <c r="G16" s="1642"/>
      <c r="H16" s="1642"/>
      <c r="I16" s="1609" t="s">
        <v>1943</v>
      </c>
      <c r="J16" s="3073"/>
      <c r="K16" s="2310" t="str">
        <f>IF(D17="","",D16&amp;TEXT(D17,"yyyy年m月d日;;"))</f>
        <v>住宅2083年7月16日</v>
      </c>
      <c r="L16" s="1619" t="str">
        <f>IF(OR(K16="",M16=""),"","、")</f>
        <v>、</v>
      </c>
      <c r="M16" s="2310" t="str">
        <f>IF(E17="","",E16&amp;TEXT(E17,"yyyy年m月d日;;"))</f>
        <v>商业2053年7月16日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v>67038</v>
      </c>
      <c r="E17" s="1620">
        <v>56081</v>
      </c>
      <c r="F17" s="1620"/>
      <c r="G17" s="1620"/>
      <c r="H17" s="1620"/>
      <c r="I17" s="1620"/>
      <c r="J17" s="3073"/>
      <c r="K17" s="3051" t="str">
        <f>CONCATENATE(K16,L16,M16,N16,O16,P16,Q16,R16,S16,T16,,U16)</f>
        <v>住宅2083年7月16日、商业2053年7月16日</v>
      </c>
      <c r="L17" s="3052"/>
      <c r="M17" s="3052"/>
      <c r="N17" s="3053"/>
      <c r="O17" s="3054"/>
      <c r="P17" s="3053"/>
      <c r="Q17" s="3053"/>
      <c r="R17" s="3053"/>
      <c r="S17" s="3053"/>
      <c r="T17" s="3053"/>
      <c r="U17" s="3053"/>
    </row>
    <row r="18" spans="1:21">
      <c r="A18" s="1679"/>
      <c r="B18" s="1606"/>
      <c r="C18" s="3002" t="s">
        <v>1945</v>
      </c>
      <c r="D18" s="1607">
        <v>70</v>
      </c>
      <c r="E18" s="1607">
        <v>40</v>
      </c>
      <c r="F18" s="1607"/>
      <c r="G18" s="1607"/>
      <c r="H18" s="1607"/>
      <c r="I18" s="1607"/>
      <c r="J18" s="3073"/>
      <c r="K18" s="3056"/>
      <c r="L18" s="3052"/>
      <c r="M18" s="3052"/>
      <c r="N18" s="3053"/>
      <c r="O18" s="3054"/>
      <c r="P18" s="3053"/>
      <c r="Q18" s="3053"/>
      <c r="R18" s="3053"/>
      <c r="S18" s="3053"/>
      <c r="T18" s="3053"/>
      <c r="U18" s="3053"/>
    </row>
    <row r="19" spans="1:21">
      <c r="A19" s="1679"/>
      <c r="B19" s="1606"/>
      <c r="C19" s="1586" t="s">
        <v>1946</v>
      </c>
      <c r="D19" s="1674">
        <f>IF(B16="出让",IF(D17="","",ROUNDDOWN(MIN((D17-$D$3)/365,D18),2)),D18)</f>
        <v>62.41</v>
      </c>
      <c r="E19" s="1608">
        <f>IF(B16="出让",IF(E17="","",ROUNDDOWN(MIN((E17-$D$3)/365,E18),2)),E18)</f>
        <v>32.39</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67"/>
      <c r="E20" s="3368"/>
      <c r="F20" s="3368"/>
      <c r="G20" s="3368"/>
      <c r="H20" s="3368"/>
      <c r="I20" s="3369"/>
      <c r="J20" s="3073"/>
      <c r="K20" s="3056"/>
      <c r="L20" s="3052"/>
      <c r="M20" s="3052"/>
      <c r="N20" s="3053"/>
      <c r="O20" s="3054"/>
      <c r="P20" s="3053"/>
      <c r="Q20" s="3053"/>
      <c r="R20" s="3053"/>
      <c r="S20" s="3053"/>
      <c r="T20" s="3053"/>
      <c r="U20" s="3053"/>
    </row>
    <row r="21" spans="1:21">
      <c r="A21" s="1679" t="s">
        <v>1947</v>
      </c>
      <c r="B21" s="1680" t="s">
        <v>1948</v>
      </c>
      <c r="C21" s="1675">
        <f>'数据-汇总表'!E3</f>
        <v>72989.7</v>
      </c>
      <c r="D21" s="1676" t="s">
        <v>1949</v>
      </c>
      <c r="E21" s="3357" t="s">
        <v>1987</v>
      </c>
      <c r="F21" s="3358"/>
      <c r="G21" s="3358"/>
      <c r="H21" s="3358"/>
      <c r="I21" s="3359"/>
      <c r="J21" s="3073"/>
      <c r="K21" s="3056"/>
      <c r="L21" s="3052"/>
      <c r="M21" s="3052"/>
      <c r="N21" s="3053"/>
      <c r="O21" s="3054"/>
      <c r="P21" s="3053"/>
      <c r="Q21" s="3053"/>
      <c r="R21" s="3053"/>
      <c r="S21" s="3053"/>
      <c r="T21" s="3053"/>
      <c r="U21" s="3053"/>
    </row>
    <row r="22" spans="1:21">
      <c r="A22" s="2801" t="s">
        <v>943</v>
      </c>
      <c r="B22" s="1587" t="s">
        <v>1950</v>
      </c>
      <c r="C22" s="1609">
        <f>'数据-汇总表'!D3</f>
        <v>20854.2</v>
      </c>
      <c r="D22" s="1610" t="s">
        <v>1949</v>
      </c>
      <c r="E22" s="3357" t="s">
        <v>2868</v>
      </c>
      <c r="F22" s="3358"/>
      <c r="G22" s="3358"/>
      <c r="H22" s="3358"/>
      <c r="I22" s="335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60" t="s">
        <v>1955</v>
      </c>
      <c r="C24" s="3361"/>
      <c r="D24" s="3362" t="s">
        <v>1956</v>
      </c>
      <c r="E24" s="3363"/>
      <c r="F24" s="1628" t="s">
        <v>1957</v>
      </c>
      <c r="G24" s="3073"/>
      <c r="H24" s="3073"/>
      <c r="I24" s="3077"/>
      <c r="J24" s="3073"/>
      <c r="K24" s="334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4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4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34" t="s">
        <v>1990</v>
      </c>
      <c r="B31" s="1680" t="s">
        <v>1991</v>
      </c>
      <c r="C31" s="3373"/>
      <c r="D31" s="3374"/>
      <c r="E31" s="3073"/>
      <c r="F31" s="3073"/>
      <c r="G31" s="3073"/>
      <c r="H31" s="3073"/>
      <c r="I31" s="3077"/>
      <c r="J31" s="3073"/>
      <c r="K31" s="3059"/>
      <c r="L31" s="3053"/>
      <c r="M31" s="3053"/>
      <c r="N31" s="3053"/>
      <c r="O31" s="3053"/>
      <c r="P31" s="3053"/>
      <c r="Q31" s="3053"/>
      <c r="R31" s="3053"/>
      <c r="S31" s="3053"/>
      <c r="T31" s="3053"/>
      <c r="U31" s="3053"/>
    </row>
    <row r="32" spans="1:21">
      <c r="A32" s="3334"/>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34"/>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35"/>
      <c r="B34" s="1587" t="s">
        <v>1994</v>
      </c>
      <c r="C34" s="3336"/>
      <c r="D34" s="3337"/>
      <c r="E34" s="3073"/>
      <c r="F34" s="3073"/>
      <c r="G34" s="3073"/>
      <c r="H34" s="3073"/>
      <c r="I34" s="3077"/>
      <c r="J34" s="3073"/>
      <c r="K34" s="3059"/>
      <c r="L34" s="3053"/>
      <c r="M34" s="3053"/>
      <c r="N34" s="3053"/>
      <c r="O34" s="3053"/>
      <c r="P34" s="3053"/>
      <c r="Q34" s="3053"/>
      <c r="R34" s="3053"/>
      <c r="S34" s="3053"/>
      <c r="T34" s="3053"/>
      <c r="U34" s="3053"/>
    </row>
    <row r="35" spans="1:28">
      <c r="A35" s="3338" t="s">
        <v>839</v>
      </c>
      <c r="B35" s="1642"/>
      <c r="C35" s="1689" t="str">
        <f>IF(B35="场地平整","——","具体情况：")</f>
        <v>具体情况：</v>
      </c>
      <c r="D35" s="3340"/>
      <c r="E35" s="3341"/>
      <c r="F35" s="3341"/>
      <c r="G35" s="3341"/>
      <c r="H35" s="3341"/>
      <c r="I35" s="3342"/>
      <c r="J35" s="3073"/>
      <c r="K35" s="3060"/>
      <c r="L35" s="3052"/>
      <c r="M35" s="3052"/>
      <c r="N35" s="3053"/>
      <c r="O35" s="3054"/>
      <c r="P35" s="3053"/>
      <c r="Q35" s="3053"/>
      <c r="R35" s="3053"/>
      <c r="S35" s="3053"/>
      <c r="T35" s="3053"/>
      <c r="U35" s="3053"/>
    </row>
    <row r="36" spans="1:28">
      <c r="A36" s="3334"/>
      <c r="B36" s="3343" t="s">
        <v>2043</v>
      </c>
      <c r="C36" s="3344"/>
      <c r="D36" s="1705"/>
      <c r="E36" s="3345"/>
      <c r="F36" s="3345"/>
      <c r="G36" s="1610" t="str">
        <f>IF(B35="场地未平整","估价结果处理","")</f>
        <v/>
      </c>
      <c r="H36" s="3346"/>
      <c r="I36" s="3346"/>
      <c r="J36" s="3073"/>
      <c r="K36" s="3060"/>
      <c r="L36" s="3052"/>
      <c r="M36" s="3052"/>
      <c r="N36" s="3053"/>
      <c r="O36" s="3054"/>
      <c r="P36" s="3053"/>
      <c r="Q36" s="3053"/>
      <c r="R36" s="3053"/>
      <c r="S36" s="3053"/>
      <c r="T36" s="3053"/>
      <c r="U36" s="3053"/>
    </row>
    <row r="37" spans="1:28" ht="28.5">
      <c r="A37" s="3334"/>
      <c r="B37" s="336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34"/>
      <c r="B38" s="3365"/>
      <c r="C38" s="1595"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35"/>
      <c r="B39" s="3366"/>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47" t="s">
        <v>1974</v>
      </c>
      <c r="T40" s="1651" t="str">
        <f>NUMBERSTRING(7-K40,1)&amp;"通"</f>
        <v>七通</v>
      </c>
      <c r="U40" s="3053"/>
    </row>
    <row r="41" spans="1:28" ht="28.5">
      <c r="A41" s="1589"/>
      <c r="B41" s="3339" t="s">
        <v>1712</v>
      </c>
      <c r="C41" s="3339"/>
      <c r="D41" s="3339"/>
      <c r="E41" s="3339"/>
      <c r="F41" s="1652" t="str">
        <f>C10</f>
        <v>江苏省镇江市</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47"/>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2869</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7" sqref="B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20854.2</v>
      </c>
      <c r="B3" s="22">
        <f>IF(C3="否",G5-AT5,G5)</f>
        <v>72989.7</v>
      </c>
      <c r="C3" s="23" t="s">
        <v>3015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72989.7</v>
      </c>
      <c r="H5" s="27">
        <f t="shared" ref="H5:AT5" si="0">SUM(H13:H641)</f>
        <v>72989.7</v>
      </c>
      <c r="I5" s="27">
        <f t="shared" si="0"/>
        <v>65690.73</v>
      </c>
      <c r="J5" s="27">
        <f t="shared" si="0"/>
        <v>0</v>
      </c>
      <c r="K5" s="27">
        <f t="shared" si="0"/>
        <v>7298.9700000000012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72989.7</v>
      </c>
      <c r="BA5" s="29">
        <f t="shared" si="1"/>
        <v>72989.7</v>
      </c>
      <c r="BB5" s="29">
        <f t="shared" si="1"/>
        <v>65690.73</v>
      </c>
      <c r="BC5" s="29">
        <f t="shared" si="1"/>
        <v>7298.9700000000012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20854.199999999997</v>
      </c>
      <c r="F6" s="27" t="s">
        <v>1</v>
      </c>
      <c r="G6" s="27" t="s">
        <v>2</v>
      </c>
      <c r="H6" s="33">
        <f>SUMIF(I$12:AB$12,"总值",I6:AB6)</f>
        <v>20854.199999999997</v>
      </c>
      <c r="I6" s="27">
        <f t="shared" ref="I6:AB6" si="2">ROUND($A$3*I5/$B$3,2)</f>
        <v>18768.78</v>
      </c>
      <c r="J6" s="27">
        <f t="shared" si="2"/>
        <v>0</v>
      </c>
      <c r="K6" s="27">
        <f t="shared" si="2"/>
        <v>2085.42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20854.2</v>
      </c>
      <c r="AZ6" s="27" t="s">
        <v>3</v>
      </c>
      <c r="BA6" s="27">
        <f>ROUND($AY$6*BA5/$AZ$5,2)</f>
        <v>20854.2</v>
      </c>
      <c r="BB6" s="27">
        <f>ROUND($AY$6*BB5/$AZ$5,2)</f>
        <v>18768.78</v>
      </c>
      <c r="BC6" s="27">
        <f t="shared" ref="BC6:BH6" si="4">ROUND($AY$6*BC5/$AZ$5,2)</f>
        <v>2085.42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3016</v>
      </c>
      <c r="J9" s="51"/>
      <c r="K9" s="2731" t="s">
        <v>3016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3012</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3017</v>
      </c>
      <c r="J11" s="71"/>
      <c r="K11" s="2732" t="s">
        <v>3018</v>
      </c>
      <c r="L11" s="71"/>
      <c r="M11" s="70"/>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v>3.5</v>
      </c>
      <c r="B13" s="2726"/>
      <c r="C13" s="2726"/>
      <c r="D13" s="2727" t="s">
        <v>1669</v>
      </c>
      <c r="E13" s="27">
        <f t="shared" ref="E13:E20" si="6">IF($C$3="是",ROUND($A$3*G13/$B$3,2),ROUND($A$3*(G13-AT13)/$B$3,2))</f>
        <v>20854.2</v>
      </c>
      <c r="F13" s="81"/>
      <c r="G13" s="82">
        <f t="shared" ref="G13:G20" si="7">H13+AC13+AT13</f>
        <v>72989.7</v>
      </c>
      <c r="H13" s="33">
        <f t="shared" ref="H13:H20" si="8">SUMIF(I$12:AB$12,"总值",I13:AB13)</f>
        <v>72989.7</v>
      </c>
      <c r="I13" s="2730">
        <f>A14*0.9</f>
        <v>65690.73</v>
      </c>
      <c r="J13" s="2730"/>
      <c r="K13" s="2730">
        <f>A14-I13</f>
        <v>7298.9700000000012</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3.5</v>
      </c>
      <c r="AW13" s="17">
        <f t="shared" si="10"/>
        <v>0</v>
      </c>
      <c r="AX13" s="17">
        <f t="shared" si="10"/>
        <v>0</v>
      </c>
      <c r="AY13" s="983">
        <f t="shared" ref="AY13:AY20" si="11">ROUND($AY$6*AZ13/$AZ$5,2)</f>
        <v>20854.2</v>
      </c>
      <c r="AZ13" s="27">
        <f t="shared" ref="AZ13:AZ20" si="12">BA13+BL13</f>
        <v>72989.7</v>
      </c>
      <c r="BA13" s="27">
        <f t="shared" ref="BA13:BA20" si="13">SUM(BB13:BK13)</f>
        <v>72989.7</v>
      </c>
      <c r="BB13" s="27">
        <f t="shared" ref="BB13:BB20" si="14">IF($D13="是",I13-J13,0)</f>
        <v>65690.73</v>
      </c>
      <c r="BC13" s="27">
        <f t="shared" ref="BC13:BC20" si="15">IF($D13="是",K13-L13,0)</f>
        <v>7298.9700000000012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f>A3*A13</f>
        <v>72989.7</v>
      </c>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72989.7</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281"/>
      <c r="B20" s="3281"/>
      <c r="C20" s="3281"/>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281"/>
      <c r="B21" s="3282"/>
      <c r="C21" s="328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3281"/>
      <c r="B22" s="3282"/>
      <c r="C22" s="328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3281"/>
      <c r="B23" s="3282"/>
      <c r="C23" s="328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3281"/>
      <c r="B24" s="3282"/>
      <c r="C24" s="328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3281"/>
      <c r="B25" s="3282"/>
      <c r="C25" s="328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5" t="s">
        <v>0</v>
      </c>
      <c r="B1" s="3375" t="s">
        <v>4</v>
      </c>
      <c r="C1" s="3375" t="s">
        <v>5</v>
      </c>
      <c r="D1" s="3376" t="s">
        <v>40</v>
      </c>
      <c r="E1" s="3376" t="s">
        <v>41</v>
      </c>
      <c r="F1" s="3376"/>
      <c r="G1" s="3376"/>
      <c r="H1" s="3376"/>
      <c r="I1" s="3376"/>
      <c r="J1" s="3376"/>
      <c r="K1" s="3376"/>
      <c r="L1" s="3376"/>
      <c r="M1" s="3376"/>
    </row>
    <row r="2" spans="1:13" ht="27" customHeight="1">
      <c r="A2" s="3375"/>
      <c r="B2" s="3375"/>
      <c r="C2" s="3375"/>
      <c r="D2" s="3376"/>
      <c r="E2" s="3376" t="s">
        <v>24</v>
      </c>
      <c r="F2" s="3376" t="s">
        <v>25</v>
      </c>
      <c r="G2" s="3376"/>
      <c r="H2" s="3376"/>
      <c r="I2" s="3376"/>
      <c r="J2" s="3376" t="s">
        <v>26</v>
      </c>
      <c r="K2" s="3376"/>
      <c r="L2" s="3376"/>
      <c r="M2" s="3376"/>
    </row>
    <row r="3" spans="1:13" ht="28.5">
      <c r="A3" s="3375"/>
      <c r="B3" s="3375"/>
      <c r="C3" s="3375"/>
      <c r="D3" s="3376"/>
      <c r="E3" s="33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6" t="s">
        <v>42</v>
      </c>
      <c r="B9" s="3376"/>
      <c r="C9" s="33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H37" sqref="H3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6" t="s">
        <v>203</v>
      </c>
      <c r="B2" s="3386"/>
      <c r="C2" s="3386"/>
      <c r="D2" s="1888" t="s">
        <v>204</v>
      </c>
      <c r="E2" s="106" t="s">
        <v>205</v>
      </c>
      <c r="F2" s="3082"/>
      <c r="G2" s="1180"/>
      <c r="H2" s="1181"/>
      <c r="I2" s="1182" t="s">
        <v>849</v>
      </c>
      <c r="J2" s="3082"/>
      <c r="K2" s="3082"/>
      <c r="L2" s="3082"/>
      <c r="M2" s="3082"/>
      <c r="N2" s="3082"/>
      <c r="O2" s="3082"/>
      <c r="P2" s="3082"/>
    </row>
    <row r="3" spans="1:16" ht="15.75" thickBot="1">
      <c r="A3" s="3387" t="s">
        <v>206</v>
      </c>
      <c r="B3" s="3387"/>
      <c r="C3" s="3387"/>
      <c r="D3" s="107">
        <f>'数据-基础表'!AY6</f>
        <v>20854.2</v>
      </c>
      <c r="E3" s="107">
        <f>'数据-基础表'!AZ5</f>
        <v>72989.7</v>
      </c>
      <c r="F3" s="3082"/>
      <c r="G3" s="278" t="s">
        <v>850</v>
      </c>
      <c r="H3" s="273" t="s">
        <v>851</v>
      </c>
      <c r="I3" s="1889">
        <f>ROUND('数据-基础表'!B3/'数据-基础表'!A3,2)</f>
        <v>3.5</v>
      </c>
      <c r="J3" s="3082"/>
      <c r="K3" s="3082"/>
      <c r="L3" s="3082"/>
      <c r="M3" s="3082"/>
      <c r="N3" s="3082"/>
      <c r="O3" s="3082"/>
      <c r="P3" s="3082"/>
    </row>
    <row r="4" spans="1:16" ht="15">
      <c r="A4" s="3388"/>
      <c r="B4" s="3389"/>
      <c r="C4" s="3390"/>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1" t="s">
        <v>230</v>
      </c>
      <c r="C5" s="3391"/>
      <c r="D5" s="111">
        <f>ROUND($D$3*E5/$E$3,2)</f>
        <v>18768.78</v>
      </c>
      <c r="E5" s="112">
        <f>SUMIF('数据-基础表'!$11:$11,"住宅",'数据-基础表'!$5:$5)</f>
        <v>65690.73</v>
      </c>
      <c r="F5" s="3082"/>
      <c r="G5" s="278" t="s">
        <v>853</v>
      </c>
      <c r="H5" s="273" t="s">
        <v>851</v>
      </c>
      <c r="I5" s="1889">
        <f>ROUND(E31/D31,2)</f>
        <v>3.5</v>
      </c>
      <c r="J5" s="3082"/>
      <c r="K5" s="3082"/>
      <c r="L5" s="3082"/>
      <c r="M5" s="3082"/>
      <c r="N5" s="3082"/>
      <c r="O5" s="3082"/>
      <c r="P5" s="3082"/>
    </row>
    <row r="6" spans="1:16" ht="15" thickBot="1">
      <c r="A6" s="113"/>
      <c r="B6" s="3391" t="s">
        <v>208</v>
      </c>
      <c r="C6" s="3391"/>
      <c r="D6" s="111">
        <f>ROUND($D$3*E6/$E$3,2)</f>
        <v>2085.42</v>
      </c>
      <c r="E6" s="112">
        <f>E3-E5</f>
        <v>7298.9700000000012</v>
      </c>
      <c r="F6" s="3082"/>
      <c r="G6" s="1183"/>
      <c r="H6" s="273" t="s">
        <v>852</v>
      </c>
      <c r="I6" s="1889">
        <f>ROUND(F31/D31,2)</f>
        <v>3.5</v>
      </c>
      <c r="J6" s="3082"/>
      <c r="K6" s="3082"/>
      <c r="L6" s="3082"/>
      <c r="M6" s="3082"/>
      <c r="N6" s="3082"/>
      <c r="O6" s="3082"/>
      <c r="P6" s="3082"/>
    </row>
    <row r="7" spans="1:16" ht="15">
      <c r="A7" s="3383"/>
      <c r="B7" s="3384"/>
      <c r="C7" s="3385"/>
      <c r="D7" s="108" t="s">
        <v>204</v>
      </c>
      <c r="E7" s="114" t="s">
        <v>231</v>
      </c>
      <c r="F7" s="3082"/>
      <c r="G7" s="1138" t="s">
        <v>1636</v>
      </c>
      <c r="H7" s="1139"/>
      <c r="I7" s="1759"/>
      <c r="J7" s="3082"/>
      <c r="K7" s="3082"/>
      <c r="L7" s="3082"/>
      <c r="M7" s="3082"/>
      <c r="N7" s="3082"/>
      <c r="O7" s="3082"/>
      <c r="P7" s="3082"/>
    </row>
    <row r="8" spans="1:16">
      <c r="A8" s="110" t="s">
        <v>209</v>
      </c>
      <c r="B8" s="115" t="s">
        <v>210</v>
      </c>
      <c r="C8" s="111" t="s">
        <v>211</v>
      </c>
      <c r="D8" s="111">
        <f t="shared" ref="D8:D15" si="0">ROUND($D$3*E8/$E$3,2)</f>
        <v>20854.2</v>
      </c>
      <c r="E8" s="116">
        <f>SUMIF('数据-基础表'!BB10:BK10,"地上",'数据-基础表'!BB5:BK5)</f>
        <v>72989.7</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20854.2</v>
      </c>
      <c r="E16" s="120">
        <f>SUM(E8:E15)</f>
        <v>72989.7</v>
      </c>
      <c r="F16" s="3082"/>
      <c r="G16" s="3083"/>
      <c r="H16" s="955" t="s">
        <v>219</v>
      </c>
      <c r="I16" s="956"/>
      <c r="J16" s="1897"/>
      <c r="K16" s="3377" t="s">
        <v>2547</v>
      </c>
      <c r="L16" s="3378"/>
      <c r="M16" s="3378"/>
      <c r="N16" s="3378"/>
      <c r="O16" s="3378"/>
      <c r="P16" s="3379"/>
    </row>
    <row r="17" spans="1:19" ht="15">
      <c r="A17" s="121" t="s">
        <v>216</v>
      </c>
      <c r="B17" s="122" t="s">
        <v>217</v>
      </c>
      <c r="C17" s="2177" t="s">
        <v>2301</v>
      </c>
      <c r="D17" s="108" t="s">
        <v>204</v>
      </c>
      <c r="E17" s="124" t="s">
        <v>205</v>
      </c>
      <c r="F17" s="125"/>
      <c r="G17" s="1318"/>
      <c r="H17" s="957" t="s">
        <v>218</v>
      </c>
      <c r="I17" s="958" t="s">
        <v>2300</v>
      </c>
      <c r="J17" s="1897"/>
      <c r="K17" s="3380" t="s">
        <v>2548</v>
      </c>
      <c r="L17" s="3381"/>
      <c r="M17" s="3382"/>
      <c r="N17" s="3380" t="s">
        <v>2549</v>
      </c>
      <c r="O17" s="3381"/>
      <c r="P17" s="3382"/>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7" t="s">
        <v>3019</v>
      </c>
      <c r="D19" s="111">
        <f t="shared" ref="D19:D26" si="1">ROUND($D$3*E19/$E$3,2)</f>
        <v>18768.78</v>
      </c>
      <c r="E19" s="134">
        <f t="shared" ref="E19:E26" si="2">SUM(F19:G19)</f>
        <v>65690.73</v>
      </c>
      <c r="F19" s="3084">
        <f>'数据-基础表'!I13</f>
        <v>65690.73</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18768.78</v>
      </c>
      <c r="S19" s="2180">
        <f t="shared" si="5"/>
        <v>65690.73</v>
      </c>
    </row>
    <row r="20" spans="1:19">
      <c r="A20" s="137"/>
      <c r="B20" s="115" t="s">
        <v>226</v>
      </c>
      <c r="C20" s="2737" t="s">
        <v>3020</v>
      </c>
      <c r="D20" s="111">
        <f t="shared" si="1"/>
        <v>2085.42</v>
      </c>
      <c r="E20" s="134">
        <f t="shared" si="2"/>
        <v>7298.9700000000012</v>
      </c>
      <c r="F20" s="3084">
        <f>'数据-基础表'!K13</f>
        <v>7298.9700000000012</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2085.42</v>
      </c>
      <c r="S20" s="2180">
        <f t="shared" si="5"/>
        <v>7298.9700000000012</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20854.199999999997</v>
      </c>
      <c r="E27" s="141">
        <f>IF(SUM(E19:E26)='数据-基础表'!BA5,SUM(E19:E26),IF(F27="地上面积有误","面积有误","地下面积有误"))</f>
        <v>72989.7</v>
      </c>
      <c r="F27" s="134">
        <f>IF(SUM(F19:F26)=E8,SUM(F19:F26),"地上面积有误")</f>
        <v>72989.7</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20854.199999999997</v>
      </c>
      <c r="S27" s="273">
        <f>IF(SUM(S19:S26)=$E$3,SUM(S19:S26),SUM(S19:S26)&amp;"误差"&amp;ROUND(SUM(S19:S26)-E3,2))</f>
        <v>72989.7</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20854.199999999997</v>
      </c>
      <c r="E31" s="1322">
        <f>E27+E30</f>
        <v>72989.7</v>
      </c>
      <c r="F31" s="1323">
        <f>F27+F30</f>
        <v>72989.7</v>
      </c>
      <c r="G31" s="1324">
        <f>G27+G30</f>
        <v>0</v>
      </c>
      <c r="H31" s="3082"/>
      <c r="I31" s="3082"/>
      <c r="J31" s="3082"/>
      <c r="K31" s="3082"/>
      <c r="L31" s="3082"/>
      <c r="M31" s="3082"/>
      <c r="N31" s="3082"/>
      <c r="O31" s="3082"/>
      <c r="P31" s="3082"/>
    </row>
    <row r="32" spans="1:19">
      <c r="A32" s="1897"/>
      <c r="B32" s="2221" t="s">
        <v>2309</v>
      </c>
      <c r="C32" s="2488"/>
      <c r="D32" s="1183"/>
      <c r="E32" s="1183">
        <f>SUMIF(C19:C26,"*住宅*",E19:E26)</f>
        <v>65690.73</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G32" sqref="AG32"/>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67038</v>
      </c>
      <c r="F6" s="172">
        <f>SUMIF(项目基本情况!D$15:I$15,C6,项目基本情况!D$19:I$19)</f>
        <v>62.41</v>
      </c>
      <c r="G6" s="173">
        <f>IF(ISERROR(ROUND(POWER(1+H6,D6-F6)*(POWER(1+H6,F6)-1)/(POWER(1+H6,D6)-1),3)),0,ROUND(POWER(1+H6,D6-F6)*(POWER(1+H6,F6)-1)/(POWER(1+H6,D6)-1),3))</f>
        <v>0.98099999999999998</v>
      </c>
      <c r="H6" s="2738">
        <v>4.4999999999999998E-2</v>
      </c>
      <c r="I6" s="2738">
        <v>0.05</v>
      </c>
      <c r="J6" s="174">
        <v>8.5000000000000006E-2</v>
      </c>
      <c r="K6" s="177">
        <f>SUMIF('数据-汇总表'!C$19:C$33,'数据-取费表'!A6,'数据-汇总表'!E$19:E$33)</f>
        <v>65690.73</v>
      </c>
      <c r="L6" s="2739">
        <v>2600</v>
      </c>
      <c r="M6" s="175">
        <f t="shared" ref="M6:M14" si="0">ROUND(K6*L6/10000,0)</f>
        <v>17080</v>
      </c>
      <c r="N6" s="2740">
        <v>0</v>
      </c>
      <c r="O6" s="175">
        <f>IF($N$5="成新度","——",ROUND(M6*N6,0))</f>
        <v>0</v>
      </c>
      <c r="P6" s="176">
        <f>IF($N$5="成新度","——",M6-O6)</f>
        <v>17080</v>
      </c>
      <c r="Q6" s="2741">
        <v>0.15</v>
      </c>
      <c r="R6" s="177">
        <f>SUMIF('数据-汇总表'!C$19:C$33,A6,'数据-汇总表'!R$19:R$33)</f>
        <v>18768.78</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0.93600000000000005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3012</v>
      </c>
      <c r="D7" s="2187">
        <f>SUMIF(项目基本情况!D$15:I$15,C7,项目基本情况!D$18:I$18)</f>
        <v>40</v>
      </c>
      <c r="E7" s="2188">
        <f>IF(B7="","",SUMIF(项目基本情况!D$15:I$15,C7,项目基本情况!D$17:I$17))</f>
        <v>56081</v>
      </c>
      <c r="F7" s="172">
        <f>SUMIF(项目基本情况!D$15:I$15,C7,项目基本情况!D$19:I$19)</f>
        <v>32.39</v>
      </c>
      <c r="G7" s="173">
        <f t="shared" ref="G7:G11" si="2">IF(ISERROR(ROUND(POWER(1+H7,D7-F7)*(POWER(1+H7,F7)-1)/(POWER(1+H7,D7)-1),3)),0,ROUND(POWER(1+H7,D7-F7)*(POWER(1+H7,F7)-1)/(POWER(1+H7,D7)-1),3))</f>
        <v>0.92600000000000005</v>
      </c>
      <c r="H7" s="2738">
        <v>0.05</v>
      </c>
      <c r="I7" s="2738">
        <v>5.5E-2</v>
      </c>
      <c r="J7" s="174">
        <v>8.5000000000000006E-2</v>
      </c>
      <c r="K7" s="177">
        <f>SUMIF('数据-汇总表'!C$19:C$33,'数据-取费表'!A7,'数据-汇总表'!E$19:E$33)</f>
        <v>7298.9700000000012</v>
      </c>
      <c r="L7" s="2739">
        <v>2600</v>
      </c>
      <c r="M7" s="175">
        <f t="shared" si="0"/>
        <v>1898</v>
      </c>
      <c r="N7" s="2740">
        <v>0</v>
      </c>
      <c r="O7" s="175">
        <f t="shared" ref="O7:O14" si="3">IF($N$5="成新度","——",ROUND(M7*N7,0))</f>
        <v>0</v>
      </c>
      <c r="P7" s="176">
        <f t="shared" ref="P7:P14" si="4">IF($N$5="成新度","——",M7-O7)</f>
        <v>1898</v>
      </c>
      <c r="Q7" s="2741">
        <v>0.15</v>
      </c>
      <c r="R7" s="177">
        <f>SUMIF('数据-汇总表'!C$19:C$33,A7,'数据-汇总表'!R$19:R$33)</f>
        <v>2085.42</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v>
      </c>
      <c r="X7" s="2200"/>
      <c r="Y7" s="180">
        <v>1</v>
      </c>
      <c r="Z7" s="181"/>
      <c r="AA7" s="174"/>
      <c r="AB7" s="174"/>
      <c r="AC7" s="2203"/>
      <c r="AD7" s="182"/>
      <c r="AE7" s="959">
        <f t="shared" ref="AE7:AE13" ca="1" si="6">IF(AN7="",0,SUMIF(INDIRECT("'"&amp;AN7&amp;"'"&amp;"!E:E"),$AE$5,INDIRECT("'"&amp;AN7&amp;"'"&amp;"!F:F")))</f>
        <v>30.39</v>
      </c>
      <c r="AF7" s="139"/>
      <c r="AG7" s="1195">
        <f t="shared" ref="AG7:AG13" si="7">IF(AF7="",0,AE7-AF7)</f>
        <v>0</v>
      </c>
      <c r="AH7" s="139"/>
      <c r="AI7" s="185">
        <v>365</v>
      </c>
      <c r="AJ7" s="186"/>
      <c r="AK7" s="187">
        <v>0.02</v>
      </c>
      <c r="AL7" s="188">
        <v>1.5E-3</v>
      </c>
      <c r="AM7" s="2244">
        <v>1.4999999999999999E-2</v>
      </c>
      <c r="AN7" s="2246" t="s">
        <v>3021</v>
      </c>
      <c r="AO7" s="3092"/>
      <c r="AP7" s="1186">
        <f t="shared" ref="AP7:AP13" si="8">ROUND(1-1/(1+H7)^F7,3)</f>
        <v>0.79400000000000004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0.97599999999999998</v>
      </c>
      <c r="H16" s="201">
        <f>ROUND(SUMPRODUCT(H6:H13,K6:K13)/SUMPRODUCT((H6:H13&gt;0)*(K6:K13)),3)</f>
        <v>4.5999999999999999E-2</v>
      </c>
      <c r="I16" s="202"/>
      <c r="J16" s="202"/>
      <c r="K16" s="203">
        <f>SUM(K6:K15)</f>
        <v>72989.7</v>
      </c>
      <c r="L16" s="204">
        <f>ROUND(M16*10000/SUM(K6:K14),0)</f>
        <v>2600</v>
      </c>
      <c r="M16" s="204">
        <f>SUM(M6:M14)</f>
        <v>18978</v>
      </c>
      <c r="N16" s="205">
        <f>ROUND(SUMPRODUCT(M6:M14,N6:N14)/M16,3)</f>
        <v>0</v>
      </c>
      <c r="O16" s="204">
        <f>SUM(O6:O14)</f>
        <v>0</v>
      </c>
      <c r="P16" s="204">
        <f>SUM(P6:P14)</f>
        <v>18978</v>
      </c>
      <c r="Q16" s="206">
        <f>ROUND(SUMPRODUCT(Q6:Q13,K6:K13)/SUMPRODUCT((Q6:Q13&gt;0)*(K6:K13)),2)</f>
        <v>0.15</v>
      </c>
      <c r="R16" s="2190">
        <f>SUM(R6:R13)</f>
        <v>20854.199999999997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0.92200000000000004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v>0.2</v>
      </c>
      <c r="L18" s="3091">
        <f>K16*K18</f>
        <v>14597.94</v>
      </c>
      <c r="M18" s="3089">
        <v>2200</v>
      </c>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2985</v>
      </c>
      <c r="D19" s="3093"/>
      <c r="E19" s="3092"/>
      <c r="F19" s="3092"/>
      <c r="G19" s="3092"/>
      <c r="H19" s="3092"/>
      <c r="I19" s="3092"/>
      <c r="J19" s="3092"/>
      <c r="K19" s="3091"/>
      <c r="L19" s="3283">
        <f>K16</f>
        <v>72989.7</v>
      </c>
      <c r="M19" s="3089">
        <v>2200</v>
      </c>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f>(L18*M18+L19*M19)/K16</f>
        <v>2640</v>
      </c>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v>105</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200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2975</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3002</v>
      </c>
      <c r="B40" s="2333">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1317</v>
      </c>
      <c r="C53" s="3100" t="s">
        <v>2870</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2871</v>
      </c>
      <c r="B54" s="184">
        <v>8</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2872</v>
      </c>
      <c r="B55" s="184">
        <v>5.5</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2873</v>
      </c>
      <c r="B56" s="184">
        <v>3.5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2874</v>
      </c>
      <c r="B57" s="184">
        <v>3</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2875</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2876</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2877</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2878</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2879</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2880</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2" t="s">
        <v>1654</v>
      </c>
      <c r="B1" s="3393"/>
      <c r="C1" s="3393"/>
      <c r="D1" s="3393"/>
      <c r="E1" s="3393"/>
      <c r="F1" s="3393"/>
      <c r="G1" s="339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2887</v>
      </c>
      <c r="D3" s="3127"/>
      <c r="E3" s="3128" t="s">
        <v>1657</v>
      </c>
      <c r="F3" s="3129" t="s">
        <v>1645</v>
      </c>
      <c r="G3" s="3130" t="s">
        <v>2886</v>
      </c>
      <c r="H3" s="3123"/>
      <c r="I3" s="3123"/>
      <c r="J3" s="3123"/>
      <c r="K3" s="3123"/>
      <c r="L3" s="3123"/>
      <c r="M3" s="3123"/>
      <c r="N3" s="3123"/>
      <c r="O3" s="3123"/>
      <c r="P3" s="3123"/>
      <c r="Q3" s="3123"/>
      <c r="R3" s="3123"/>
    </row>
    <row r="4" spans="1:18" ht="40.5">
      <c r="A4" s="3128"/>
      <c r="B4" s="3131" t="s">
        <v>1658</v>
      </c>
      <c r="C4" s="3132" t="s">
        <v>2888</v>
      </c>
      <c r="D4" s="3127"/>
      <c r="E4" s="3133"/>
      <c r="F4" s="3134" t="s">
        <v>1659</v>
      </c>
      <c r="G4" s="3135" t="s">
        <v>2883</v>
      </c>
      <c r="H4" s="3123"/>
      <c r="I4" s="3123"/>
      <c r="J4" s="3123"/>
      <c r="K4" s="3123"/>
      <c r="L4" s="3123"/>
      <c r="M4" s="3123"/>
      <c r="N4" s="3123"/>
      <c r="O4" s="3123"/>
      <c r="P4" s="3123"/>
      <c r="Q4" s="3123"/>
      <c r="R4" s="3123"/>
    </row>
    <row r="5" spans="1:18" ht="41.25">
      <c r="A5" s="3128"/>
      <c r="B5" s="3131" t="s">
        <v>1660</v>
      </c>
      <c r="C5" s="3132" t="s">
        <v>2889</v>
      </c>
      <c r="D5" s="3127"/>
      <c r="E5" s="3133"/>
      <c r="F5" s="3131" t="s">
        <v>2527</v>
      </c>
      <c r="G5" s="3135" t="s">
        <v>2884</v>
      </c>
      <c r="H5" s="3123"/>
      <c r="I5" s="3123"/>
      <c r="J5" s="3123"/>
      <c r="K5" s="3123"/>
      <c r="L5" s="3123"/>
      <c r="M5" s="3123"/>
      <c r="N5" s="3123"/>
      <c r="O5" s="3123"/>
      <c r="P5" s="3123"/>
      <c r="Q5" s="3123"/>
      <c r="R5" s="3123"/>
    </row>
    <row r="6" spans="1:18" ht="40.5">
      <c r="A6" s="3128"/>
      <c r="B6" s="3131" t="s">
        <v>1646</v>
      </c>
      <c r="C6" s="3135" t="s">
        <v>2883</v>
      </c>
      <c r="D6" s="3127"/>
      <c r="E6" s="3133"/>
      <c r="F6" s="3131" t="s">
        <v>2528</v>
      </c>
      <c r="G6" s="3135" t="s">
        <v>2881</v>
      </c>
      <c r="H6" s="3123"/>
      <c r="I6" s="3123"/>
      <c r="J6" s="3123"/>
      <c r="K6" s="3123"/>
      <c r="L6" s="3123"/>
      <c r="M6" s="3123"/>
      <c r="N6" s="3123"/>
      <c r="O6" s="3123"/>
      <c r="P6" s="3123"/>
      <c r="Q6" s="3123"/>
      <c r="R6" s="3123"/>
    </row>
    <row r="7" spans="1:18" ht="27.75" thickBot="1">
      <c r="A7" s="3128"/>
      <c r="B7" s="3131" t="s">
        <v>2527</v>
      </c>
      <c r="C7" s="3135" t="s">
        <v>2884</v>
      </c>
      <c r="D7" s="3136"/>
      <c r="E7" s="3137"/>
      <c r="F7" s="3138" t="s">
        <v>1661</v>
      </c>
      <c r="G7" s="3139" t="s">
        <v>2885</v>
      </c>
      <c r="H7" s="3123"/>
      <c r="I7" s="3123"/>
      <c r="J7" s="3123"/>
      <c r="K7" s="3123"/>
      <c r="L7" s="3123"/>
      <c r="M7" s="3123"/>
      <c r="N7" s="3123"/>
      <c r="O7" s="3123"/>
      <c r="P7" s="3123"/>
      <c r="Q7" s="3123"/>
      <c r="R7" s="3123"/>
    </row>
    <row r="8" spans="1:18">
      <c r="A8" s="3128"/>
      <c r="B8" s="3131" t="s">
        <v>2528</v>
      </c>
      <c r="C8" s="3135" t="s">
        <v>2881</v>
      </c>
      <c r="D8" s="3136"/>
      <c r="E8" s="3136"/>
      <c r="F8" s="3140"/>
      <c r="G8" s="3140"/>
      <c r="H8" s="3123"/>
      <c r="I8" s="3123"/>
      <c r="J8" s="3123"/>
      <c r="K8" s="3123"/>
      <c r="L8" s="3123"/>
      <c r="M8" s="3123"/>
      <c r="N8" s="3123"/>
      <c r="O8" s="3123"/>
      <c r="P8" s="3123"/>
      <c r="Q8" s="3123"/>
      <c r="R8" s="3123"/>
    </row>
    <row r="9" spans="1:18" ht="27">
      <c r="A9" s="3128"/>
      <c r="B9" s="3131" t="s">
        <v>1647</v>
      </c>
      <c r="C9" s="3132" t="s">
        <v>2882</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14" sqref="D14:D16"/>
    </sheetView>
  </sheetViews>
  <sheetFormatPr defaultColWidth="14.625" defaultRowHeight="13.5"/>
  <cols>
    <col min="1" max="1" width="24.375" style="3186" customWidth="1"/>
    <col min="2" max="16384" width="14.625" style="3186"/>
  </cols>
  <sheetData>
    <row r="1" spans="1:10" ht="16.5">
      <c r="A1" s="3185" t="s">
        <v>2823</v>
      </c>
      <c r="B1" s="3185">
        <f>SUM(B14:B23)</f>
        <v>236744.55</v>
      </c>
      <c r="C1" s="3194"/>
      <c r="D1" s="3194"/>
      <c r="E1" s="3194"/>
      <c r="F1" s="3194"/>
      <c r="G1" s="3195"/>
      <c r="H1" s="3195"/>
      <c r="I1" s="3195"/>
      <c r="J1" s="3195"/>
    </row>
    <row r="2" spans="1:10" ht="16.5">
      <c r="A2" s="3185" t="s">
        <v>2824</v>
      </c>
      <c r="B2" s="3185">
        <f>SUM(C14:C23)</f>
        <v>67641.3</v>
      </c>
      <c r="C2" s="3194"/>
      <c r="D2" s="3194"/>
      <c r="E2" s="3194"/>
      <c r="F2" s="3194"/>
      <c r="G2" s="3195"/>
      <c r="H2" s="3195"/>
      <c r="I2" s="3195"/>
      <c r="J2" s="3195"/>
    </row>
    <row r="3" spans="1:10" ht="16.5">
      <c r="A3" s="3185" t="s">
        <v>2825</v>
      </c>
      <c r="B3" s="3187">
        <f>项目基本情况!D3</f>
        <v>44257</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35745</v>
      </c>
      <c r="C5" s="3185">
        <f ca="1">ROUND(B5*10000/$B$1,0)</f>
        <v>1510</v>
      </c>
      <c r="D5" s="3185">
        <f ca="1">ROUND(B5*10000/$B$2,0)</f>
        <v>5284</v>
      </c>
      <c r="E5" s="3194"/>
      <c r="F5" s="3194"/>
      <c r="G5" s="3195"/>
      <c r="H5" s="3195"/>
      <c r="I5" s="3195"/>
      <c r="J5" s="3195"/>
    </row>
    <row r="6" spans="1:10" ht="16.5">
      <c r="A6" s="3185" t="s">
        <v>2831</v>
      </c>
      <c r="B6" s="3185">
        <f ca="1">SUM(G14:G23)</f>
        <v>35745</v>
      </c>
      <c r="C6" s="3185">
        <f t="shared" ref="C6:C8" ca="1" si="0">ROUND(B6*10000/$B$1,0)</f>
        <v>1510</v>
      </c>
      <c r="D6" s="3185">
        <f t="shared" ref="D6:D8" ca="1" si="1">ROUND(B6*10000/$B$2,0)</f>
        <v>5284</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72989.7</v>
      </c>
      <c r="C14" s="3191">
        <f>结果表!K38</f>
        <v>20854.2</v>
      </c>
      <c r="D14" s="3191">
        <f ca="1">结果表!C42</f>
        <v>13042</v>
      </c>
      <c r="E14" s="3191">
        <f ca="1">ROUND(D14*10000/B14,0)</f>
        <v>1787</v>
      </c>
      <c r="F14" s="3191">
        <f ca="1">ROUND(D14*10000/C14,0)</f>
        <v>6254</v>
      </c>
      <c r="G14" s="3191">
        <f ca="1">结果表!C44</f>
        <v>13042</v>
      </c>
      <c r="H14" s="3191" t="str">
        <f>结果表!C45</f>
        <v>——</v>
      </c>
      <c r="I14" s="3191" t="str">
        <f>结果表!C46</f>
        <v>——</v>
      </c>
      <c r="J14" s="3195"/>
    </row>
    <row r="15" spans="1:10" ht="16.5">
      <c r="A15" s="3190" t="s">
        <v>2840</v>
      </c>
      <c r="B15" s="3192">
        <f>[1]系统读取表!$B$14</f>
        <v>93354.45</v>
      </c>
      <c r="C15" s="3192">
        <f>[1]系统读取表!$C$14</f>
        <v>26672.7</v>
      </c>
      <c r="D15" s="3192">
        <f ca="1">[1]系统读取表!$D$14</f>
        <v>12065</v>
      </c>
      <c r="E15" s="3191">
        <f t="shared" ref="E15:E23" ca="1" si="2">ROUND(D15*10000/B15,0)</f>
        <v>1292</v>
      </c>
      <c r="F15" s="3191">
        <f t="shared" ref="F15:F23" ca="1" si="3">ROUND(D15*10000/C15,0)</f>
        <v>4523</v>
      </c>
      <c r="G15" s="2757">
        <f ca="1">D15</f>
        <v>12065</v>
      </c>
      <c r="H15" s="2757"/>
      <c r="I15" s="3192"/>
      <c r="J15" s="3195"/>
    </row>
    <row r="16" spans="1:10" ht="16.5">
      <c r="A16" s="3190" t="s">
        <v>2841</v>
      </c>
      <c r="B16" s="3192">
        <f>[2]系统读取表!$B$14</f>
        <v>70400.400000000009</v>
      </c>
      <c r="C16" s="3192">
        <f>[2]系统读取表!$C$14</f>
        <v>20114.400000000001</v>
      </c>
      <c r="D16" s="3192">
        <f ca="1">[2]系统读取表!$D$14</f>
        <v>10638</v>
      </c>
      <c r="E16" s="3191">
        <f t="shared" ca="1" si="2"/>
        <v>1511</v>
      </c>
      <c r="F16" s="3191">
        <f t="shared" ca="1" si="3"/>
        <v>5289</v>
      </c>
      <c r="G16" s="2757">
        <f ca="1">D16</f>
        <v>10638</v>
      </c>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H29" sqref="H2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8" t="str">
        <f>项目基本情况!K2</f>
        <v>江苏省镇江市扬中市油坊镇出让国有建设用地使用权</v>
      </c>
      <c r="B2" s="3439"/>
      <c r="C2" s="3440"/>
      <c r="D2" s="3440"/>
      <c r="E2" s="3440"/>
      <c r="F2" s="3440"/>
      <c r="G2" s="3439"/>
      <c r="H2" s="3439"/>
      <c r="I2" s="3441"/>
      <c r="J2" s="1912"/>
      <c r="K2" s="1911"/>
      <c r="L2" s="1911"/>
      <c r="M2" s="1911"/>
      <c r="N2" s="1911"/>
      <c r="O2" s="1911"/>
      <c r="P2" s="1911"/>
      <c r="Q2" s="1911"/>
      <c r="R2" s="1911"/>
      <c r="S2" s="1911"/>
      <c r="T2" s="1911"/>
      <c r="U2" s="1911"/>
      <c r="V2" s="1911"/>
    </row>
    <row r="3" spans="1:22" ht="14.25">
      <c r="A3" s="3431" t="s">
        <v>298</v>
      </c>
      <c r="B3" s="3432"/>
      <c r="C3" s="3432"/>
      <c r="D3" s="3432"/>
      <c r="E3" s="3432"/>
      <c r="F3" s="3432"/>
      <c r="G3" s="3432"/>
      <c r="H3" s="3432"/>
      <c r="I3" s="3432"/>
      <c r="J3" s="1912"/>
      <c r="K3" s="1911"/>
      <c r="L3" s="1911"/>
      <c r="M3" s="1911"/>
      <c r="N3" s="1911"/>
      <c r="O3" s="1911"/>
      <c r="P3" s="1911"/>
      <c r="Q3" s="1911"/>
      <c r="R3" s="1911"/>
      <c r="S3" s="1911"/>
      <c r="T3" s="1911"/>
      <c r="U3" s="1911"/>
      <c r="V3" s="1911"/>
    </row>
    <row r="4" spans="1:22" ht="14.25">
      <c r="A4" s="256" t="s">
        <v>299</v>
      </c>
      <c r="B4" s="257" t="s">
        <v>300</v>
      </c>
      <c r="C4" s="258" t="s">
        <v>3027</v>
      </c>
      <c r="D4" s="258" t="s">
        <v>3028</v>
      </c>
      <c r="E4" s="3397" t="s">
        <v>301</v>
      </c>
      <c r="F4" s="3398"/>
      <c r="G4" s="3398"/>
      <c r="H4" s="3398"/>
      <c r="I4" s="3433"/>
      <c r="J4" s="1912"/>
      <c r="K4" s="1911"/>
      <c r="L4" s="3196"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11"/>
      <c r="O4" s="1911"/>
      <c r="P4" s="1911"/>
      <c r="Q4" s="1911"/>
      <c r="R4" s="1911"/>
      <c r="S4" s="1911"/>
      <c r="T4" s="1911"/>
      <c r="U4" s="1911"/>
      <c r="V4" s="1911"/>
    </row>
    <row r="5" spans="1:22" ht="14.25">
      <c r="A5" s="3396" t="s">
        <v>302</v>
      </c>
      <c r="B5" s="3425">
        <v>25</v>
      </c>
      <c r="C5" s="3423"/>
      <c r="D5" s="3427"/>
      <c r="E5" s="259" t="s">
        <v>303</v>
      </c>
      <c r="F5" s="260"/>
      <c r="G5" s="260"/>
      <c r="H5" s="260"/>
      <c r="I5" s="261"/>
      <c r="J5" s="1912"/>
      <c r="K5" s="1911"/>
      <c r="L5" s="1911"/>
      <c r="M5" s="1911"/>
      <c r="N5" s="1911"/>
      <c r="O5" s="1911"/>
      <c r="P5" s="1911"/>
      <c r="Q5" s="1911"/>
      <c r="R5" s="1911"/>
      <c r="S5" s="1911"/>
      <c r="T5" s="1911"/>
      <c r="U5" s="1911"/>
      <c r="V5" s="1911"/>
    </row>
    <row r="6" spans="1:22" ht="14.25">
      <c r="A6" s="3396"/>
      <c r="B6" s="3425"/>
      <c r="C6" s="3426"/>
      <c r="D6" s="3427"/>
      <c r="E6" s="259" t="s">
        <v>304</v>
      </c>
      <c r="F6" s="260"/>
      <c r="G6" s="260"/>
      <c r="H6" s="260"/>
      <c r="I6" s="261"/>
      <c r="J6" s="1912"/>
      <c r="K6" s="1911"/>
      <c r="L6" s="1911"/>
      <c r="M6" s="1911"/>
      <c r="N6" s="1911"/>
      <c r="O6" s="1911"/>
      <c r="P6" s="1911"/>
      <c r="Q6" s="1911"/>
      <c r="R6" s="1911"/>
      <c r="S6" s="1911"/>
      <c r="T6" s="1911"/>
      <c r="U6" s="1911"/>
      <c r="V6" s="1911"/>
    </row>
    <row r="7" spans="1:22" ht="14.25">
      <c r="A7" s="3396"/>
      <c r="B7" s="3425"/>
      <c r="C7" s="3424"/>
      <c r="D7" s="3427"/>
      <c r="E7" s="259" t="s">
        <v>305</v>
      </c>
      <c r="F7" s="260"/>
      <c r="G7" s="260"/>
      <c r="H7" s="260"/>
      <c r="I7" s="261"/>
      <c r="J7" s="1912"/>
      <c r="K7" s="1911"/>
      <c r="L7" s="1911"/>
      <c r="M7" s="1911"/>
      <c r="N7" s="1911"/>
      <c r="O7" s="1911"/>
      <c r="P7" s="1911"/>
      <c r="Q7" s="1911"/>
      <c r="R7" s="1911"/>
      <c r="S7" s="1911"/>
      <c r="T7" s="1911"/>
      <c r="U7" s="1911"/>
      <c r="V7" s="1911"/>
    </row>
    <row r="8" spans="1:22" ht="14.25">
      <c r="A8" s="3396" t="s">
        <v>306</v>
      </c>
      <c r="B8" s="3425">
        <v>15</v>
      </c>
      <c r="C8" s="3423"/>
      <c r="D8" s="3427"/>
      <c r="E8" s="259" t="s">
        <v>307</v>
      </c>
      <c r="F8" s="260"/>
      <c r="G8" s="260"/>
      <c r="H8" s="260"/>
      <c r="I8" s="261"/>
      <c r="J8" s="1912"/>
      <c r="K8" s="1911"/>
      <c r="L8" s="1911"/>
      <c r="M8" s="1911"/>
      <c r="N8" s="1911"/>
      <c r="O8" s="1911"/>
      <c r="P8" s="1911"/>
      <c r="Q8" s="1911"/>
      <c r="R8" s="1911"/>
      <c r="S8" s="1911"/>
      <c r="T8" s="1911"/>
      <c r="U8" s="1911"/>
      <c r="V8" s="1911"/>
    </row>
    <row r="9" spans="1:22" ht="14.25">
      <c r="A9" s="3396"/>
      <c r="B9" s="3425"/>
      <c r="C9" s="3424"/>
      <c r="D9" s="3427"/>
      <c r="E9" s="259" t="s">
        <v>308</v>
      </c>
      <c r="F9" s="260"/>
      <c r="G9" s="260"/>
      <c r="H9" s="260"/>
      <c r="I9" s="261"/>
      <c r="J9" s="1912"/>
      <c r="K9" s="1911"/>
      <c r="L9" s="1911"/>
      <c r="M9" s="1911"/>
      <c r="N9" s="1911"/>
      <c r="O9" s="1911"/>
      <c r="P9" s="1911"/>
      <c r="Q9" s="1911"/>
      <c r="R9" s="1911"/>
      <c r="S9" s="1911"/>
      <c r="T9" s="1911"/>
      <c r="U9" s="1911"/>
      <c r="V9" s="1911"/>
    </row>
    <row r="10" spans="1:22" ht="14.25">
      <c r="A10" s="3396" t="s">
        <v>309</v>
      </c>
      <c r="B10" s="3425">
        <v>15</v>
      </c>
      <c r="C10" s="3423"/>
      <c r="D10" s="3427"/>
      <c r="E10" s="259" t="s">
        <v>310</v>
      </c>
      <c r="F10" s="260"/>
      <c r="G10" s="260"/>
      <c r="H10" s="260"/>
      <c r="I10" s="261"/>
      <c r="J10" s="1912"/>
      <c r="K10" s="1911"/>
      <c r="L10" s="1911"/>
      <c r="M10" s="1911"/>
      <c r="N10" s="1911"/>
      <c r="O10" s="1911"/>
      <c r="P10" s="1911"/>
      <c r="Q10" s="1911"/>
      <c r="R10" s="1911"/>
      <c r="S10" s="1911"/>
      <c r="T10" s="1911"/>
      <c r="U10" s="1911"/>
      <c r="V10" s="1911"/>
    </row>
    <row r="11" spans="1:22" ht="14.25">
      <c r="A11" s="3396"/>
      <c r="B11" s="3425"/>
      <c r="C11" s="3424"/>
      <c r="D11" s="3427"/>
      <c r="E11" s="259" t="s">
        <v>311</v>
      </c>
      <c r="F11" s="260"/>
      <c r="G11" s="260"/>
      <c r="H11" s="260"/>
      <c r="I11" s="261"/>
      <c r="J11" s="1912"/>
      <c r="K11" s="1911"/>
      <c r="L11" s="1911"/>
      <c r="M11" s="1911"/>
      <c r="N11" s="1911"/>
      <c r="O11" s="1911"/>
      <c r="P11" s="1911"/>
      <c r="Q11" s="1911"/>
      <c r="R11" s="1911"/>
      <c r="S11" s="1911"/>
      <c r="T11" s="1911"/>
      <c r="U11" s="1911"/>
      <c r="V11" s="1911"/>
    </row>
    <row r="12" spans="1:22" ht="14.25">
      <c r="A12" s="3396" t="s">
        <v>312</v>
      </c>
      <c r="B12" s="3425">
        <v>15</v>
      </c>
      <c r="C12" s="3423"/>
      <c r="D12" s="3427"/>
      <c r="E12" s="259" t="s">
        <v>313</v>
      </c>
      <c r="F12" s="260"/>
      <c r="G12" s="260"/>
      <c r="H12" s="260"/>
      <c r="I12" s="261"/>
      <c r="J12" s="1912"/>
      <c r="K12" s="1911"/>
      <c r="L12" s="1911"/>
      <c r="M12" s="1911"/>
      <c r="N12" s="1911"/>
      <c r="O12" s="1911"/>
      <c r="P12" s="1911"/>
      <c r="Q12" s="1911"/>
      <c r="R12" s="1911"/>
      <c r="S12" s="1911"/>
      <c r="T12" s="1911"/>
      <c r="U12" s="1911"/>
      <c r="V12" s="1911"/>
    </row>
    <row r="13" spans="1:22" ht="14.25">
      <c r="A13" s="3396"/>
      <c r="B13" s="3425"/>
      <c r="C13" s="3424"/>
      <c r="D13" s="3427"/>
      <c r="E13" s="259" t="s">
        <v>314</v>
      </c>
      <c r="F13" s="260"/>
      <c r="G13" s="260"/>
      <c r="H13" s="260"/>
      <c r="I13" s="261"/>
      <c r="J13" s="1912"/>
      <c r="K13" s="1911"/>
      <c r="L13" s="1911"/>
      <c r="M13" s="1911"/>
      <c r="N13" s="1911"/>
      <c r="O13" s="1911"/>
      <c r="P13" s="1911"/>
      <c r="Q13" s="1911"/>
      <c r="R13" s="1911"/>
      <c r="S13" s="1911"/>
      <c r="T13" s="1911"/>
      <c r="U13" s="1911"/>
      <c r="V13" s="1911"/>
    </row>
    <row r="14" spans="1:22" ht="14.25">
      <c r="A14" s="3396" t="s">
        <v>315</v>
      </c>
      <c r="B14" s="3425">
        <v>30</v>
      </c>
      <c r="C14" s="3423">
        <v>5</v>
      </c>
      <c r="D14" s="3427">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96"/>
      <c r="B15" s="3425"/>
      <c r="C15" s="3426"/>
      <c r="D15" s="3427"/>
      <c r="E15" s="259" t="s">
        <v>317</v>
      </c>
      <c r="F15" s="260"/>
      <c r="G15" s="260"/>
      <c r="H15" s="260"/>
      <c r="I15" s="261"/>
      <c r="J15" s="1912"/>
      <c r="K15" s="1911"/>
      <c r="L15" s="1911"/>
      <c r="M15" s="1911"/>
      <c r="N15" s="1911"/>
      <c r="O15" s="1911"/>
      <c r="P15" s="1911"/>
      <c r="Q15" s="1911"/>
      <c r="R15" s="1911"/>
      <c r="S15" s="1911"/>
      <c r="T15" s="1911"/>
      <c r="U15" s="1911"/>
      <c r="V15" s="1911"/>
    </row>
    <row r="16" spans="1:22" ht="14.25">
      <c r="A16" s="3396"/>
      <c r="B16" s="3425"/>
      <c r="C16" s="3424"/>
      <c r="D16" s="342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28" t="s">
        <v>2962</v>
      </c>
      <c r="F18" s="3429"/>
      <c r="G18" s="3429"/>
      <c r="H18" s="3429"/>
      <c r="I18" s="342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13245</v>
      </c>
      <c r="D19" s="269">
        <f ca="1">SUMIF(INDIRECT("'"&amp;D4&amp;"'"&amp;"!A:A"),结果表!B19,INDIRECT("'"&amp;D4&amp;"'"&amp;"!B:B"))</f>
        <v>12839</v>
      </c>
      <c r="E19" s="266" t="s">
        <v>323</v>
      </c>
      <c r="F19" s="267" t="s">
        <v>322</v>
      </c>
      <c r="G19" s="270">
        <f ca="1">ROUND(C19*$C$18+D19*$D$18,0)</f>
        <v>13042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1815</v>
      </c>
      <c r="D20" s="275">
        <f ca="1">SUMIF(INDIRECT("'"&amp;D4&amp;"'"&amp;"!A:A"),结果表!B20,INDIRECT("'"&amp;D4&amp;"'"&amp;"!B:B"))</f>
        <v>1759</v>
      </c>
      <c r="E20" s="272"/>
      <c r="F20" s="273" t="s">
        <v>325</v>
      </c>
      <c r="G20" s="276">
        <f ca="1">ROUND(C20*$C$18+D20*$D$18,0)</f>
        <v>1787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6351</v>
      </c>
      <c r="D21" s="149">
        <f ca="1">SUMIF(INDIRECT("'"&amp;D4&amp;"'"&amp;"!A:A"),结果表!B21,INDIRECT("'"&amp;D4&amp;"'"&amp;"!B:B"))</f>
        <v>6157</v>
      </c>
      <c r="E21" s="272"/>
      <c r="F21" s="278" t="s">
        <v>327</v>
      </c>
      <c r="G21" s="280">
        <f ca="1">ROUND(C21*$C$18+D21*$D$18,0)</f>
        <v>6254</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3.1622400498481085E-2</v>
      </c>
      <c r="E22" s="282"/>
      <c r="F22" s="283"/>
      <c r="G22" s="284">
        <f ca="1">ROUND(G19/('数据-汇总表'!D3/666.67),0)</f>
        <v>417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03"/>
      <c r="B25" s="1274" t="s">
        <v>331</v>
      </c>
      <c r="C25" s="288">
        <f>IF(B30=0,0,C30)</f>
        <v>0</v>
      </c>
      <c r="D25" s="289"/>
      <c r="E25" s="309"/>
      <c r="F25" s="309"/>
      <c r="G25" s="309"/>
      <c r="H25" s="309"/>
      <c r="I25" s="309"/>
      <c r="J25" s="1911"/>
      <c r="K25" s="1208" t="str">
        <f ca="1">项目基本情况!B16&amp;"国有建设用地使用权价格："&amp;O38&amp;"万元"</f>
        <v>出让国有建设用地使用权价格：13042万元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大写金额：人民币壹亿叁仟零肆拾贰万元整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单位面积地价：6254元/平方米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楼面地价：1787元/平方米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抵押价格：13042万元</v>
      </c>
      <c r="L29" s="1205"/>
      <c r="M29" s="1205"/>
      <c r="N29" s="1205"/>
      <c r="O29" s="1204"/>
      <c r="P29" s="1911"/>
      <c r="V29" s="1911"/>
    </row>
    <row r="30" spans="1:26" ht="18.75" thickBot="1">
      <c r="A30" s="2800" t="s">
        <v>336</v>
      </c>
      <c r="B30" s="307"/>
      <c r="C30" s="307"/>
      <c r="D30" s="308"/>
      <c r="E30" s="3003" t="s">
        <v>2963</v>
      </c>
      <c r="F30" s="309"/>
      <c r="G30" s="309"/>
      <c r="H30" s="309"/>
      <c r="I30" s="309"/>
      <c r="J30" s="1911"/>
      <c r="K30" s="1211" t="str">
        <f ca="1">IF(K29="——","——","大写金额：人民币"&amp;NUMBERSTRING(INT(O39*10000),2)&amp;"元整")</f>
        <v>大写金额：人民币壹亿叁仟零肆拾贰万元整</v>
      </c>
      <c r="L30" s="1205"/>
      <c r="M30" s="1205"/>
      <c r="N30" s="1205"/>
      <c r="O30" s="1204"/>
      <c r="P30" s="1911"/>
      <c r="V30" s="1911"/>
    </row>
    <row r="31" spans="1:26" ht="24" customHeight="1" thickBot="1">
      <c r="A31" s="3430" t="s">
        <v>2964</v>
      </c>
      <c r="B31" s="3430"/>
      <c r="C31" s="3430"/>
      <c r="D31" s="3430"/>
      <c r="E31" s="3430"/>
      <c r="F31" s="3430"/>
      <c r="G31" s="3430"/>
      <c r="H31" s="3430"/>
      <c r="I31" s="3430"/>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13042</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1787</v>
      </c>
      <c r="D33" s="1333" t="s">
        <v>1682</v>
      </c>
      <c r="E33" s="3402"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6254</v>
      </c>
      <c r="D34" s="1335" t="s">
        <v>1682</v>
      </c>
      <c r="E34" s="3446"/>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417</v>
      </c>
      <c r="D35" s="1338" t="s">
        <v>1684</v>
      </c>
      <c r="E35" s="3447"/>
      <c r="F35" s="299" t="s">
        <v>342</v>
      </c>
      <c r="G35" s="969"/>
      <c r="H35" s="968" t="s">
        <v>343</v>
      </c>
      <c r="I35" s="309"/>
      <c r="J35" s="1911"/>
      <c r="K35" s="3420" t="s">
        <v>350</v>
      </c>
      <c r="L35" s="3420" t="s">
        <v>351</v>
      </c>
      <c r="M35" s="1217" t="s">
        <v>352</v>
      </c>
      <c r="N35" s="3420" t="s">
        <v>353</v>
      </c>
      <c r="O35" s="3420" t="s">
        <v>354</v>
      </c>
      <c r="P35" s="1911"/>
      <c r="V35" s="1911"/>
    </row>
    <row r="36" spans="1:26" ht="16.5" customHeight="1">
      <c r="A36" s="301" t="s">
        <v>344</v>
      </c>
      <c r="B36" s="302" t="s">
        <v>333</v>
      </c>
      <c r="C36" s="303" t="s">
        <v>345</v>
      </c>
      <c r="D36" s="303" t="s">
        <v>346</v>
      </c>
      <c r="E36" s="304" t="s">
        <v>347</v>
      </c>
      <c r="F36" s="309"/>
      <c r="G36" s="309"/>
      <c r="H36" s="309"/>
      <c r="I36" s="309"/>
      <c r="J36" s="1913"/>
      <c r="K36" s="3421"/>
      <c r="L36" s="3421"/>
      <c r="M36" s="1219" t="s">
        <v>355</v>
      </c>
      <c r="N36" s="3421"/>
      <c r="O36" s="3421"/>
      <c r="P36" s="1911"/>
      <c r="V36" s="1911"/>
    </row>
    <row r="37" spans="1:26" ht="16.5" customHeight="1" thickBot="1">
      <c r="A37" s="1213" t="s">
        <v>348</v>
      </c>
      <c r="B37" s="305"/>
      <c r="C37" s="292"/>
      <c r="D37" s="292"/>
      <c r="E37" s="293"/>
      <c r="F37" s="309"/>
      <c r="G37" s="309"/>
      <c r="H37" s="309"/>
      <c r="I37" s="309"/>
      <c r="J37" s="1913"/>
      <c r="K37" s="3422"/>
      <c r="L37" s="3422"/>
      <c r="M37" s="1220"/>
      <c r="N37" s="3422"/>
      <c r="O37" s="3422"/>
      <c r="P37" s="1911"/>
      <c r="V37" s="1911"/>
    </row>
    <row r="38" spans="1:26" ht="16.5" customHeight="1" thickBot="1">
      <c r="A38" s="1213" t="s">
        <v>349</v>
      </c>
      <c r="B38" s="305"/>
      <c r="C38" s="292"/>
      <c r="D38" s="292"/>
      <c r="E38" s="293"/>
      <c r="F38" s="309"/>
      <c r="G38" s="309"/>
      <c r="H38" s="309"/>
      <c r="I38" s="309"/>
      <c r="J38" s="1913"/>
      <c r="K38" s="1221">
        <f>'数据-汇总表'!D3</f>
        <v>20854.2</v>
      </c>
      <c r="L38" s="1222">
        <f>'数据-汇总表'!E3</f>
        <v>72989.7</v>
      </c>
      <c r="M38" s="1222">
        <f ca="1">C34</f>
        <v>6254</v>
      </c>
      <c r="N38" s="1222">
        <f ca="1">C33</f>
        <v>1787</v>
      </c>
      <c r="O38" s="1223">
        <f ca="1">C32</f>
        <v>13042</v>
      </c>
      <c r="P38" s="1911"/>
      <c r="V38" s="1911"/>
    </row>
    <row r="39" spans="1:26" ht="16.5" customHeight="1" thickBot="1">
      <c r="A39" s="1218"/>
      <c r="B39" s="306"/>
      <c r="C39" s="307"/>
      <c r="D39" s="307"/>
      <c r="E39" s="308"/>
      <c r="F39" s="309"/>
      <c r="G39" s="309"/>
      <c r="H39" s="309"/>
      <c r="I39" s="309"/>
      <c r="J39" s="1913"/>
      <c r="K39" s="3460" t="str">
        <f>MID(A44,3,LEN(A44)-2)</f>
        <v>抵押价格</v>
      </c>
      <c r="L39" s="3461"/>
      <c r="M39" s="3461"/>
      <c r="N39" s="3462"/>
      <c r="O39" s="1340">
        <f ca="1">C44</f>
        <v>13042</v>
      </c>
      <c r="P39" s="1911"/>
      <c r="V39" s="1911"/>
    </row>
    <row r="40" spans="1:26" ht="19.5" thickBot="1">
      <c r="A40" s="104" t="s">
        <v>864</v>
      </c>
      <c r="B40" s="309"/>
      <c r="C40" s="309"/>
      <c r="D40" s="309"/>
      <c r="E40" s="309"/>
      <c r="F40" s="309"/>
      <c r="G40" s="309"/>
      <c r="H40" s="309"/>
      <c r="I40" s="309"/>
      <c r="J40" s="1913"/>
      <c r="K40" s="3460" t="str">
        <f t="shared" ref="K40:K41" si="0">MID(A45,3,LEN(A45)-2)</f>
        <v/>
      </c>
      <c r="L40" s="3461"/>
      <c r="M40" s="3461"/>
      <c r="N40" s="3462"/>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0" t="str">
        <f t="shared" si="0"/>
        <v/>
      </c>
      <c r="L41" s="3461"/>
      <c r="M41" s="3461"/>
      <c r="N41" s="3462"/>
      <c r="O41" s="1340" t="str">
        <f>C46</f>
        <v>——</v>
      </c>
      <c r="P41" s="1911"/>
      <c r="V41" s="1911"/>
    </row>
    <row r="42" spans="1:26" ht="29.25">
      <c r="A42" s="3404" t="s">
        <v>2056</v>
      </c>
      <c r="B42" s="3405"/>
      <c r="C42" s="262">
        <f ca="1">C32</f>
        <v>13042</v>
      </c>
      <c r="D42" s="315">
        <f ca="1">C33</f>
        <v>1787</v>
      </c>
      <c r="E42" s="315">
        <f ca="1">C34</f>
        <v>6254</v>
      </c>
      <c r="F42" s="316">
        <f ca="1">C35</f>
        <v>417</v>
      </c>
      <c r="G42" s="309"/>
      <c r="H42" s="309"/>
      <c r="I42" s="317"/>
      <c r="J42" s="1913"/>
      <c r="K42" s="1224" t="s">
        <v>361</v>
      </c>
      <c r="L42" s="1930" t="s">
        <v>362</v>
      </c>
      <c r="M42" s="1225" t="s">
        <v>363</v>
      </c>
      <c r="N42" s="1931" t="s">
        <v>364</v>
      </c>
      <c r="O42" s="1932" t="s">
        <v>365</v>
      </c>
      <c r="P42" s="1911"/>
      <c r="V42" s="1911"/>
    </row>
    <row r="43" spans="1:26" ht="30">
      <c r="A43" s="3415" t="s">
        <v>2710</v>
      </c>
      <c r="B43" s="3416"/>
      <c r="C43" s="262">
        <f>IF(H33="正常操作",G33+G34+G35,G34+G35)</f>
        <v>0</v>
      </c>
      <c r="D43" s="315" t="s">
        <v>43</v>
      </c>
      <c r="E43" s="315" t="s">
        <v>44</v>
      </c>
      <c r="F43" s="316" t="s">
        <v>44</v>
      </c>
      <c r="G43" s="2583" t="s">
        <v>943</v>
      </c>
      <c r="H43" s="309"/>
      <c r="I43" s="317"/>
      <c r="J43" s="1913"/>
      <c r="K43" s="1226" t="str">
        <f>C4</f>
        <v>剩余法-待开发</v>
      </c>
      <c r="L43" s="1227">
        <f ca="1">IF(L42="估价结果/万元",C19,C20)</f>
        <v>13245</v>
      </c>
      <c r="M43" s="1228">
        <f>C18</f>
        <v>0.5</v>
      </c>
      <c r="N43" s="1229">
        <f ca="1">IF(N42="测算结果/万元",G19,G20)</f>
        <v>13042</v>
      </c>
      <c r="O43" s="1230">
        <f ca="1">IF(O42="最终结果/万元",C32,C33)</f>
        <v>13042</v>
      </c>
      <c r="P43" s="1911"/>
      <c r="V43" s="1911"/>
    </row>
    <row r="44" spans="1:26" ht="30.75" thickBot="1">
      <c r="A44" s="3404" t="str">
        <f>IF(OR(项目基本情况!E8="抵押价格",项目基本情况!E8="已注销及未注销"),"3.抵押价格","——")</f>
        <v>3.抵押价格</v>
      </c>
      <c r="B44" s="3405"/>
      <c r="C44" s="262">
        <f ca="1">IF(A44="——","——",C42-C43)</f>
        <v>13042</v>
      </c>
      <c r="D44" s="315">
        <f ca="1">ROUND(C44*10000/'数据-汇总表'!E3,0)</f>
        <v>1787</v>
      </c>
      <c r="E44" s="315">
        <f ca="1">ROUND(C44*10000/'数据-汇总表'!D3,0)</f>
        <v>6254</v>
      </c>
      <c r="F44" s="316">
        <f ca="1">ROUND(C44/('数据-汇总表'!D3/666.67),0)</f>
        <v>417</v>
      </c>
      <c r="G44" s="309"/>
      <c r="H44" s="309"/>
      <c r="I44" s="317"/>
      <c r="J44" s="1913"/>
      <c r="K44" s="1231" t="str">
        <f>D4</f>
        <v>比较法-住宅、综合</v>
      </c>
      <c r="L44" s="1232">
        <f ca="1">IF(L42="估价结果/万元",D19,D20)</f>
        <v>12839</v>
      </c>
      <c r="M44" s="1233">
        <f>D18</f>
        <v>0.5</v>
      </c>
      <c r="N44" s="1234"/>
      <c r="O44" s="1235"/>
      <c r="P44" s="1911"/>
      <c r="V44" s="1911"/>
    </row>
    <row r="45" spans="1:26" ht="15">
      <c r="A45" s="3410" t="str">
        <f>IF(项目基本情况!E8="已注销及未注销","4.抵押担保权已注销时的抵押价格",IF(项目基本情况!E8="已注销","3.抵押担保权已注销时的抵押价格","——"))</f>
        <v>——</v>
      </c>
      <c r="B45" s="341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06" t="str">
        <f>IF(项目基本情况!E9="抵押净值",IF(A45="——","4.抵押净值","5.抵押净值"),"——")</f>
        <v>——</v>
      </c>
      <c r="B46" s="340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54" t="s">
        <v>374</v>
      </c>
      <c r="B63" s="3455"/>
      <c r="C63" s="3456"/>
      <c r="D63" s="339">
        <f ca="1">ROUND(C42*F63,0)</f>
        <v>13042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12" t="s">
        <v>378</v>
      </c>
      <c r="B64" s="3413"/>
      <c r="C64" s="3413"/>
      <c r="D64" s="3413"/>
      <c r="E64" s="3413"/>
      <c r="F64" s="3413"/>
      <c r="G64" s="341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08" t="s">
        <v>386</v>
      </c>
      <c r="B66" s="3409"/>
      <c r="C66" s="3409"/>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69" t="s">
        <v>385</v>
      </c>
      <c r="M66" s="3470"/>
      <c r="N66" s="2312"/>
      <c r="O66" s="2313"/>
      <c r="P66" s="2314"/>
      <c r="Q66" s="1911"/>
      <c r="R66" s="1911"/>
      <c r="S66" s="1911"/>
      <c r="T66" s="1911"/>
      <c r="U66" s="1911"/>
      <c r="V66" s="1911"/>
    </row>
    <row r="67" spans="1:22" ht="25.5" customHeight="1">
      <c r="A67" s="350" t="s">
        <v>389</v>
      </c>
      <c r="B67" s="3399" t="s">
        <v>390</v>
      </c>
      <c r="C67" s="3399"/>
      <c r="D67" s="351">
        <v>0</v>
      </c>
      <c r="E67" s="41" t="s">
        <v>391</v>
      </c>
      <c r="F67" s="62" t="s">
        <v>21</v>
      </c>
      <c r="G67" s="3457"/>
      <c r="H67" s="3006" t="s">
        <v>2965</v>
      </c>
      <c r="I67" s="3008"/>
      <c r="J67" s="1918"/>
      <c r="K67" s="1890">
        <v>2</v>
      </c>
      <c r="L67" s="3463" t="s">
        <v>388</v>
      </c>
      <c r="M67" s="3463"/>
      <c r="N67" s="1278">
        <f>'数据-取费表'!B2</f>
        <v>44257</v>
      </c>
      <c r="O67" s="1278"/>
      <c r="P67" s="1278"/>
      <c r="Q67" s="1911"/>
      <c r="R67" s="1911"/>
      <c r="S67" s="1911"/>
      <c r="T67" s="1911"/>
      <c r="U67" s="1911"/>
      <c r="V67" s="1911"/>
    </row>
    <row r="68" spans="1:22" ht="25.5" customHeight="1">
      <c r="A68" s="352"/>
      <c r="B68" s="3399" t="s">
        <v>393</v>
      </c>
      <c r="C68" s="3399"/>
      <c r="D68" s="353"/>
      <c r="E68" s="77"/>
      <c r="F68" s="354"/>
      <c r="G68" s="3458"/>
      <c r="H68" s="3007" t="s">
        <v>2966</v>
      </c>
      <c r="I68" s="3008"/>
      <c r="J68" s="1918"/>
      <c r="K68" s="1890">
        <v>3</v>
      </c>
      <c r="L68" s="3463" t="s">
        <v>392</v>
      </c>
      <c r="M68" s="3463"/>
      <c r="N68" s="1246">
        <f ca="1">C42</f>
        <v>13042</v>
      </c>
      <c r="O68" s="1246"/>
      <c r="P68" s="1246"/>
      <c r="Q68" s="1911"/>
      <c r="R68" s="1911"/>
      <c r="S68" s="1911"/>
      <c r="T68" s="1911"/>
      <c r="U68" s="1911"/>
      <c r="V68" s="1911"/>
    </row>
    <row r="69" spans="1:22" ht="23.45" customHeight="1">
      <c r="A69" s="355"/>
      <c r="B69" s="3399" t="s">
        <v>394</v>
      </c>
      <c r="C69" s="3399"/>
      <c r="D69" s="356"/>
      <c r="E69" s="73"/>
      <c r="F69" s="354"/>
      <c r="G69" s="3459"/>
      <c r="H69" s="3007" t="s">
        <v>2967</v>
      </c>
      <c r="I69" s="3008"/>
      <c r="J69" s="1918"/>
      <c r="K69" s="1247">
        <v>4</v>
      </c>
      <c r="L69" s="3473" t="s">
        <v>2862</v>
      </c>
      <c r="M69" s="3474"/>
      <c r="N69" s="1248">
        <f ca="1">C44</f>
        <v>13042</v>
      </c>
      <c r="O69" s="1248"/>
      <c r="P69" s="1248"/>
      <c r="Q69" s="1911"/>
      <c r="R69" s="1911"/>
      <c r="S69" s="1911"/>
      <c r="T69" s="1911"/>
      <c r="U69" s="1911"/>
      <c r="V69" s="1911"/>
    </row>
    <row r="70" spans="1:22" ht="24" customHeight="1">
      <c r="A70" s="357" t="s">
        <v>395</v>
      </c>
      <c r="B70" s="3399" t="s">
        <v>396</v>
      </c>
      <c r="C70" s="3399"/>
      <c r="D70" s="356">
        <f ca="1">ROUND(D63*'数据-取费表'!B41/(1+'数据-取费表'!C42),0)</f>
        <v>696</v>
      </c>
      <c r="E70" s="17" t="s">
        <v>397</v>
      </c>
      <c r="F70" s="358">
        <f>'数据-取费表'!B41</f>
        <v>5.6000000000000001E-2</v>
      </c>
      <c r="G70" s="359"/>
      <c r="H70" s="309"/>
      <c r="I70" s="1245"/>
      <c r="J70" s="1918"/>
      <c r="K70" s="2765"/>
      <c r="L70" s="2766"/>
      <c r="M70" s="2766"/>
      <c r="N70" s="2767" t="s">
        <v>2866</v>
      </c>
      <c r="O70" s="2766"/>
      <c r="P70" s="2768"/>
      <c r="Q70" s="1911"/>
      <c r="R70" s="1911"/>
      <c r="S70" s="1911"/>
      <c r="T70" s="1911"/>
      <c r="U70" s="1911"/>
      <c r="V70" s="1911"/>
    </row>
    <row r="71" spans="1:22" ht="12" customHeight="1">
      <c r="A71" s="357" t="s">
        <v>403</v>
      </c>
      <c r="B71" s="3400" t="s">
        <v>2996</v>
      </c>
      <c r="C71" s="3401"/>
      <c r="D71" s="356">
        <f ca="1">ROUND(D63*'数据-取费表'!B41/(1+'数据-取费表'!C42),0)</f>
        <v>696</v>
      </c>
      <c r="E71" s="17" t="s">
        <v>397</v>
      </c>
      <c r="F71" s="358">
        <f>'数据-取费表'!B41</f>
        <v>5.6000000000000001E-2</v>
      </c>
      <c r="G71" s="359"/>
      <c r="H71" s="309"/>
      <c r="I71" s="1245"/>
      <c r="J71" s="1918"/>
      <c r="K71" s="2764" t="s">
        <v>398</v>
      </c>
      <c r="L71" s="3475" t="s">
        <v>399</v>
      </c>
      <c r="M71" s="3475"/>
      <c r="N71" s="2764" t="s">
        <v>400</v>
      </c>
      <c r="O71" s="2764" t="s">
        <v>401</v>
      </c>
      <c r="P71" s="2764" t="s">
        <v>402</v>
      </c>
      <c r="Q71" s="1911"/>
      <c r="R71" s="1911"/>
      <c r="S71" s="1911"/>
      <c r="T71" s="1911"/>
      <c r="U71" s="1911"/>
      <c r="V71" s="1911"/>
    </row>
    <row r="72" spans="1:22" ht="12" customHeight="1">
      <c r="A72" s="357" t="s">
        <v>405</v>
      </c>
      <c r="B72" s="3400" t="s">
        <v>2997</v>
      </c>
      <c r="C72" s="3401"/>
      <c r="D72" s="356">
        <f ca="1">C86</f>
        <v>696</v>
      </c>
      <c r="E72" s="73" t="s">
        <v>406</v>
      </c>
      <c r="F72" s="358">
        <f>'数据-取费表'!B41</f>
        <v>5.6000000000000001E-2</v>
      </c>
      <c r="G72" s="359"/>
      <c r="H72" s="1251"/>
      <c r="I72" s="1245"/>
      <c r="J72" s="1918"/>
      <c r="K72" s="1890">
        <v>1</v>
      </c>
      <c r="L72" s="3450" t="s">
        <v>404</v>
      </c>
      <c r="M72" s="3450"/>
      <c r="N72" s="1249" t="b">
        <f>D66</f>
        <v>0</v>
      </c>
      <c r="O72" s="1773" t="str">
        <f>E66</f>
        <v>销售额×税（费）率</v>
      </c>
      <c r="P72" s="1250">
        <f>F66</f>
        <v>5.6000000000000001E-2</v>
      </c>
      <c r="Q72" s="1911"/>
      <c r="R72" s="1911"/>
      <c r="S72" s="1911"/>
      <c r="T72" s="1911"/>
      <c r="U72" s="1911"/>
      <c r="V72" s="1911"/>
    </row>
    <row r="73" spans="1:22" ht="24" customHeight="1">
      <c r="A73" s="3445" t="s">
        <v>408</v>
      </c>
      <c r="B73" s="3409"/>
      <c r="C73" s="3409"/>
      <c r="D73" s="360">
        <f ca="1">IF(H73="个人住宅",0,ROUND(D63*I73,0))</f>
        <v>7</v>
      </c>
      <c r="E73" s="17" t="s">
        <v>409</v>
      </c>
      <c r="F73" s="358" t="str">
        <f>IF(H73="正常",I73,"免征")</f>
        <v>免征</v>
      </c>
      <c r="G73" s="359"/>
      <c r="H73" s="189"/>
      <c r="I73" s="358">
        <f>'数据-取费表'!B49</f>
        <v>5.0000000000000001E-4</v>
      </c>
      <c r="J73" s="1918"/>
      <c r="K73" s="1890">
        <v>2</v>
      </c>
      <c r="L73" s="3450" t="s">
        <v>407</v>
      </c>
      <c r="M73" s="3450"/>
      <c r="N73" s="1249">
        <f t="shared" ref="N73:P74" ca="1" si="1">D73</f>
        <v>7</v>
      </c>
      <c r="O73" s="1773" t="str">
        <f t="shared" si="1"/>
        <v>销售额×税（费）率</v>
      </c>
      <c r="P73" s="1250" t="str">
        <f t="shared" si="1"/>
        <v>免征</v>
      </c>
      <c r="Q73" s="1911"/>
      <c r="R73" s="1911"/>
      <c r="S73" s="1911"/>
      <c r="T73" s="1911"/>
      <c r="U73" s="1911"/>
      <c r="V73" s="1911"/>
    </row>
    <row r="74" spans="1:22" ht="24.75">
      <c r="A74" s="3445" t="s">
        <v>411</v>
      </c>
      <c r="B74" s="3409"/>
      <c r="C74" s="3409"/>
      <c r="D74" s="360">
        <f ca="1">IF(H74="个人住宅",D75,D76)</f>
        <v>7381</v>
      </c>
      <c r="E74" s="17" t="s">
        <v>412</v>
      </c>
      <c r="F74" s="358" t="str">
        <f>IF(H74="正常",F76,"免征")</f>
        <v>免征</v>
      </c>
      <c r="G74" s="970" t="s">
        <v>413</v>
      </c>
      <c r="H74" s="361"/>
      <c r="I74" s="42"/>
      <c r="J74" s="1918"/>
      <c r="K74" s="1890">
        <v>3</v>
      </c>
      <c r="L74" s="3450" t="s">
        <v>410</v>
      </c>
      <c r="M74" s="3450"/>
      <c r="N74" s="1249">
        <f t="shared" ca="1" si="1"/>
        <v>7381</v>
      </c>
      <c r="O74" s="1773" t="str">
        <f t="shared" si="1"/>
        <v>增值额×税（费）率</v>
      </c>
      <c r="P74" s="1252" t="str">
        <f t="shared" si="1"/>
        <v>免征</v>
      </c>
      <c r="Q74" s="1911"/>
      <c r="R74" s="1911"/>
      <c r="S74" s="1911"/>
      <c r="T74" s="1911"/>
      <c r="U74" s="1911"/>
      <c r="V74" s="1911"/>
    </row>
    <row r="75" spans="1:22" ht="12.75">
      <c r="A75" s="357" t="s">
        <v>414</v>
      </c>
      <c r="B75" s="3397" t="s">
        <v>415</v>
      </c>
      <c r="C75" s="3433"/>
      <c r="D75" s="362">
        <v>0</v>
      </c>
      <c r="E75" s="41" t="s">
        <v>416</v>
      </c>
      <c r="F75" s="363"/>
      <c r="G75" s="359"/>
      <c r="H75" s="42"/>
      <c r="I75" s="42"/>
      <c r="J75" s="1918"/>
      <c r="K75" s="2758">
        <f>IF(H77="非个人房产","",4)</f>
        <v>4</v>
      </c>
      <c r="L75" s="3450" t="str">
        <f>IF(H77="非个人房产","——","个人所得税")</f>
        <v>个人所得税</v>
      </c>
      <c r="M75" s="3450"/>
      <c r="N75" s="1253">
        <f>D77</f>
        <v>0</v>
      </c>
      <c r="O75" s="1786" t="str">
        <f>E77</f>
        <v>差额计税</v>
      </c>
      <c r="P75" s="1254">
        <f>F77</f>
        <v>0.01</v>
      </c>
      <c r="Q75" s="1911"/>
      <c r="R75" s="1911"/>
      <c r="S75" s="1911"/>
      <c r="T75" s="1911"/>
      <c r="U75" s="1911"/>
      <c r="V75" s="1911"/>
    </row>
    <row r="76" spans="1:22" ht="24.75">
      <c r="A76" s="357" t="s">
        <v>395</v>
      </c>
      <c r="B76" s="3397" t="s">
        <v>418</v>
      </c>
      <c r="C76" s="3398"/>
      <c r="D76" s="360">
        <f ca="1">IF(H76="转让取得",C99,C115)</f>
        <v>7381</v>
      </c>
      <c r="E76" s="17" t="s">
        <v>419</v>
      </c>
      <c r="F76" s="53" t="s">
        <v>21</v>
      </c>
      <c r="G76" s="359"/>
      <c r="H76" s="361"/>
      <c r="I76" s="42"/>
      <c r="J76" s="1918"/>
      <c r="K76" s="2758" t="str">
        <f>IF(项目基本情况!K6="上海银行",IF(K75="",4,K75+1),"")</f>
        <v/>
      </c>
      <c r="L76" s="3465" t="str">
        <f>IF(项目基本情况!K6="上海银行","其他处置费用","")</f>
        <v/>
      </c>
      <c r="M76" s="3466"/>
      <c r="N76" s="1249" t="str">
        <f>IF(项目基本情况!K6="上海银行",N89,"")</f>
        <v/>
      </c>
      <c r="O76" s="3467" t="str">
        <f>IF(项目基本情况!K6="上海银行","包含处置中涉及的律师、诉讼、拍卖、评估等费用","")</f>
        <v/>
      </c>
      <c r="P76" s="3468"/>
      <c r="Q76" s="1911"/>
      <c r="R76" s="1911"/>
      <c r="S76" s="1911"/>
      <c r="T76" s="1911"/>
      <c r="U76" s="1911"/>
      <c r="V76" s="1911"/>
    </row>
    <row r="77" spans="1:22" ht="24.75" thickBot="1">
      <c r="A77" s="3452" t="s">
        <v>421</v>
      </c>
      <c r="B77" s="3453"/>
      <c r="C77" s="345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2968</v>
      </c>
      <c r="J77" s="1918"/>
      <c r="K77" s="3451">
        <f>IF(AND(K75="",K76=""),4,IF(项目基本情况!K6="上海银行",K76+1,K75+1))</f>
        <v>5</v>
      </c>
      <c r="L77" s="3450" t="s">
        <v>2863</v>
      </c>
      <c r="M77" s="2763" t="s">
        <v>417</v>
      </c>
      <c r="N77" s="1255"/>
      <c r="O77" s="1256">
        <f ca="1">SUMIF(N72:N76,"&lt;9e307")</f>
        <v>7388</v>
      </c>
      <c r="P77" s="1257"/>
      <c r="Q77" s="2761">
        <f ca="1">O77/N69</f>
        <v>0.5664775341205337</v>
      </c>
      <c r="R77" s="1911"/>
      <c r="S77" s="1911"/>
      <c r="T77" s="1911"/>
      <c r="U77" s="1911"/>
      <c r="V77" s="1911"/>
    </row>
    <row r="78" spans="1:22" ht="12" customHeight="1">
      <c r="A78" s="1258"/>
      <c r="B78" s="309"/>
      <c r="C78" s="309"/>
      <c r="D78" s="309"/>
      <c r="E78" s="42"/>
      <c r="F78" s="42"/>
      <c r="G78" s="42"/>
      <c r="H78" s="990"/>
      <c r="I78" s="309"/>
      <c r="J78" s="1918"/>
      <c r="K78" s="3451"/>
      <c r="L78" s="3450"/>
      <c r="M78" s="2763" t="s">
        <v>420</v>
      </c>
      <c r="N78" s="1255"/>
      <c r="O78" s="1256" t="str">
        <f ca="1">NUMBERSTRING(INT(O77*10000),2)&amp;"元整"</f>
        <v>柒仟叁佰捌拾捌万元整</v>
      </c>
      <c r="P78" s="1257"/>
      <c r="Q78" s="1911"/>
      <c r="R78" s="1911"/>
      <c r="S78" s="1911"/>
      <c r="T78" s="1911"/>
      <c r="U78" s="1911"/>
      <c r="V78" s="1911"/>
    </row>
    <row r="79" spans="1:22" ht="13.5" thickBot="1">
      <c r="A79" s="3417" t="s">
        <v>422</v>
      </c>
      <c r="B79" s="3417"/>
      <c r="C79" s="3417"/>
      <c r="D79" s="3417"/>
      <c r="E79" s="3417"/>
      <c r="F79" s="42"/>
      <c r="G79" s="42"/>
      <c r="H79" s="990"/>
      <c r="I79" s="309"/>
      <c r="J79" s="1918"/>
      <c r="K79" s="3471">
        <f>K77+1</f>
        <v>6</v>
      </c>
      <c r="L79" s="3450" t="s">
        <v>2864</v>
      </c>
      <c r="M79" s="2763" t="s">
        <v>417</v>
      </c>
      <c r="N79" s="1255"/>
      <c r="O79" s="1256">
        <f ca="1">N69-O77</f>
        <v>5654</v>
      </c>
      <c r="P79" s="1257"/>
      <c r="Q79" s="1911"/>
      <c r="R79" s="1911"/>
      <c r="S79" s="1911"/>
      <c r="T79" s="1911"/>
      <c r="U79" s="1911"/>
      <c r="V79" s="1911"/>
    </row>
    <row r="80" spans="1:22" ht="25.5">
      <c r="A80" s="3418" t="s">
        <v>423</v>
      </c>
      <c r="B80" s="3419"/>
      <c r="C80" s="981"/>
      <c r="D80" s="981" t="s">
        <v>424</v>
      </c>
      <c r="E80" s="364" t="s">
        <v>425</v>
      </c>
      <c r="F80" s="42"/>
      <c r="G80" s="42"/>
      <c r="H80" s="990"/>
      <c r="I80" s="309"/>
      <c r="J80" s="1911"/>
      <c r="K80" s="3472"/>
      <c r="L80" s="3450"/>
      <c r="M80" s="2763" t="s">
        <v>420</v>
      </c>
      <c r="N80" s="1255"/>
      <c r="O80" s="1256" t="str">
        <f ca="1">NUMBERSTRING(INT(O79*10000),2)&amp;"元整"</f>
        <v>伍仟陆佰伍拾肆万元整</v>
      </c>
      <c r="P80" s="1257"/>
      <c r="Q80" s="1911"/>
      <c r="R80" s="1911"/>
      <c r="S80" s="1911"/>
      <c r="T80" s="1911"/>
      <c r="U80" s="1911"/>
      <c r="V80" s="1911"/>
    </row>
    <row r="81" spans="1:26" ht="13.5" thickBot="1">
      <c r="A81" s="375" t="s">
        <v>1814</v>
      </c>
      <c r="B81" s="365" t="s">
        <v>426</v>
      </c>
      <c r="C81" s="366">
        <f ca="1">ROUND((C82+C83)/(1+'数据-取费表'!C42),0)</f>
        <v>12421</v>
      </c>
      <c r="D81" s="367"/>
      <c r="E81" s="368"/>
      <c r="F81" s="42"/>
      <c r="G81" s="42"/>
      <c r="H81" s="990"/>
      <c r="I81" s="309"/>
      <c r="J81" s="1911"/>
      <c r="K81" s="2758">
        <f>K79+1</f>
        <v>7</v>
      </c>
      <c r="L81" s="3448" t="s">
        <v>2865</v>
      </c>
      <c r="M81" s="3449"/>
      <c r="N81" s="1259"/>
      <c r="O81" s="1260">
        <f ca="1">ROUND(O79*10000/'数据-汇总表'!E3,0)</f>
        <v>775</v>
      </c>
      <c r="P81" s="1261"/>
      <c r="Q81" s="1911"/>
      <c r="R81" s="1911"/>
      <c r="S81" s="1911"/>
      <c r="T81" s="1911"/>
      <c r="U81" s="1911"/>
      <c r="V81" s="1911"/>
    </row>
    <row r="82" spans="1:26" ht="13.5" thickTop="1">
      <c r="A82" s="369" t="s">
        <v>1815</v>
      </c>
      <c r="B82" s="370" t="s">
        <v>427</v>
      </c>
      <c r="C82" s="371">
        <f ca="1">D63</f>
        <v>13042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64" t="s">
        <v>2853</v>
      </c>
      <c r="L83" s="2769" t="s">
        <v>2854</v>
      </c>
      <c r="M83" s="2759">
        <f ca="1">IF(N69&gt;10000,N69*0.5%,IF(AND(N69&gt;1000,N69&lt;=10000),N69*1%,IF(AND(N69&gt;100,N69&lt;=1000),N69*3%,IF(AND(N69&gt;10,N69&lt;=100),N69*5%,N69*8%))))</f>
        <v>65.210000000000008</v>
      </c>
      <c r="N83" s="53">
        <f ca="1">ROUND(M83,1)</f>
        <v>65.2</v>
      </c>
      <c r="O83" s="2762"/>
      <c r="P83" s="1911"/>
      <c r="Q83" s="1911"/>
      <c r="R83" s="1911"/>
      <c r="S83" s="1911"/>
      <c r="T83" s="1911"/>
      <c r="U83" s="1911"/>
      <c r="V83" s="1911"/>
    </row>
    <row r="84" spans="1:26" ht="12.75">
      <c r="A84" s="375" t="s">
        <v>1817</v>
      </c>
      <c r="B84" s="376" t="s">
        <v>429</v>
      </c>
      <c r="C84" s="377"/>
      <c r="D84" s="378" t="s">
        <v>19</v>
      </c>
      <c r="E84" s="2787" t="s">
        <v>2906</v>
      </c>
      <c r="F84" s="42"/>
      <c r="G84" s="42"/>
      <c r="H84" s="990"/>
      <c r="I84" s="309"/>
      <c r="J84" s="1911"/>
      <c r="K84" s="3464"/>
      <c r="L84" s="2769" t="s">
        <v>2855</v>
      </c>
      <c r="M84" s="2759">
        <f ca="1">IF(N69&gt;2000,N69*0.5%,IF(AND(N69&gt;1000,N69&lt;=2000),N69*0.6%,IF(AND(N69&gt;500,N69&lt;=1000),N69*0.7%,IF(AND(N69&gt;200,N69&lt;=500),N69*0.8%,IF(AND(N69&gt;100,N69&lt;=200),N69*0.9%,IF(AND(N69&gt;50,N69&lt;=100),N69*1%,IF(AND(N69&gt;20,N69&lt;=50),N69*1.5%,IF(AND(N69&gt;10,N69&lt;=20),N69*2%,IF(AND(N69&gt;1,N69&lt;=10),N69*2.5%)))))))))</f>
        <v>65.210000000000008</v>
      </c>
      <c r="N84" s="53">
        <f t="shared" ref="N84:N85" ca="1" si="2">ROUND(M84,1)</f>
        <v>65.2</v>
      </c>
      <c r="O84" s="1911" t="s">
        <v>2856</v>
      </c>
      <c r="P84" s="1911"/>
      <c r="Q84" s="1911"/>
      <c r="R84" s="1911"/>
      <c r="S84" s="1911"/>
      <c r="T84" s="1911"/>
      <c r="U84" s="1911"/>
      <c r="V84" s="1911"/>
    </row>
    <row r="85" spans="1:26" ht="12.75">
      <c r="A85" s="375" t="s">
        <v>1818</v>
      </c>
      <c r="B85" s="376" t="s">
        <v>430</v>
      </c>
      <c r="C85" s="379">
        <f ca="1">C81-C84</f>
        <v>12421</v>
      </c>
      <c r="D85" s="372" t="s">
        <v>19</v>
      </c>
      <c r="E85" s="373"/>
      <c r="F85" s="42"/>
      <c r="G85" s="42"/>
      <c r="H85" s="990"/>
      <c r="I85" s="309"/>
      <c r="J85" s="1911"/>
      <c r="K85" s="3464"/>
      <c r="L85" s="2769" t="s">
        <v>2857</v>
      </c>
      <c r="M85" s="2759">
        <f ca="1">IF(N69&gt;1000,N69*0.1%,IF(AND(N69&gt;500,N69&lt;=1000),N69*0.5%,IF(AND(N69&gt;50,N69&lt;=500),N69*1%,IF(AND(N69&gt;1,N69&lt;=50),N69*1.5%))))</f>
        <v>13.042</v>
      </c>
      <c r="N85" s="53">
        <f t="shared" ca="1" si="2"/>
        <v>13</v>
      </c>
      <c r="O85" s="1911" t="s">
        <v>2856</v>
      </c>
      <c r="P85" s="1911"/>
      <c r="Q85" s="1911"/>
      <c r="R85" s="1911"/>
      <c r="S85" s="1911"/>
      <c r="T85" s="1911"/>
      <c r="U85" s="1911"/>
      <c r="V85" s="1911"/>
    </row>
    <row r="86" spans="1:26" ht="13.5" thickBot="1">
      <c r="A86" s="380" t="s">
        <v>1819</v>
      </c>
      <c r="B86" s="381" t="s">
        <v>431</v>
      </c>
      <c r="C86" s="382">
        <f ca="1">IF(C85&lt;=0,0,ROUND(C85*D86,0))</f>
        <v>696</v>
      </c>
      <c r="D86" s="383">
        <f>'数据-取费表'!B41</f>
        <v>5.6000000000000001E-2</v>
      </c>
      <c r="E86" s="384"/>
      <c r="F86" s="42"/>
      <c r="G86" s="42"/>
      <c r="H86" s="990"/>
      <c r="I86" s="309"/>
      <c r="J86" s="1911"/>
      <c r="K86" s="3464"/>
      <c r="L86" s="2769" t="s">
        <v>2858</v>
      </c>
      <c r="M86" s="2759">
        <f ca="1">N69*0.5%</f>
        <v>65.210000000000008</v>
      </c>
      <c r="N86" s="53">
        <f ca="1">IF(M86&gt;0.5,0.5,ROUND(M86,0))</f>
        <v>0.5</v>
      </c>
      <c r="O86" s="1911" t="s">
        <v>2859</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64"/>
      <c r="L87" s="2769" t="s">
        <v>2860</v>
      </c>
      <c r="M87" s="2759">
        <f ca="1">IF(N69&gt;=10000,(8.25+(N69-10000)*0.01%),IF(AND(N69&gt;=8000,N69&lt;10000),(7.85+(N69-8000)*0.02%),IF(AND(N69&gt;=5000,N69&lt;8000),(6.65+(N69-5000)*0.04%),IF(AND(N69&gt;=2000,N69&lt;5000),(4.25+(PN69-2000)*0.08%),IF(AND(N69&gt;=1000,N69&lt;2000),(2.75+(N69-1000)*0.15%),IF(AND(N69&gt;=100,N69&lt;1000),(0.5+(N69-100)*0.25%),IF(AND(N69&gt;0,N69&lt;100),N69*0.5%)))))))</f>
        <v>8.5541999999999998</v>
      </c>
      <c r="N87" s="53">
        <f ca="1">ROUND(M87*0.9,1)</f>
        <v>7.7</v>
      </c>
      <c r="O87" s="2762"/>
      <c r="P87" s="1911"/>
      <c r="Q87" s="1911"/>
      <c r="R87" s="1911"/>
      <c r="S87" s="1911"/>
      <c r="T87" s="1911"/>
      <c r="U87" s="1911"/>
      <c r="V87" s="1911"/>
      <c r="W87" s="290"/>
      <c r="X87" s="290"/>
      <c r="Y87" s="290"/>
      <c r="Z87" s="290"/>
    </row>
    <row r="88" spans="1:26" s="1267" customFormat="1" ht="15" thickBot="1">
      <c r="A88" s="3443" t="s">
        <v>432</v>
      </c>
      <c r="B88" s="3444"/>
      <c r="C88" s="3444"/>
      <c r="D88" s="3444"/>
      <c r="E88" s="3444"/>
      <c r="F88" s="3444"/>
      <c r="G88" s="3444"/>
      <c r="H88" s="3444"/>
      <c r="I88" s="1268"/>
      <c r="J88" s="1919"/>
      <c r="K88" s="3464"/>
      <c r="L88" s="2769" t="s">
        <v>2861</v>
      </c>
      <c r="M88" s="2759">
        <f ca="1">IF(N69&gt;10000,N69*0.5%,IF(AND(N69&gt;5000,N69&lt;=10000),N69*1%,IF(AND(N69&gt;1000,N69&lt;=5000),N69*2%,IF(AND(N69&gt;200,N69&lt;=1000),N69*3%,N69*5%))))</f>
        <v>65.210000000000008</v>
      </c>
      <c r="N88" s="53">
        <f ca="1">ROUND(M88,1)</f>
        <v>65.2</v>
      </c>
      <c r="O88" s="2762"/>
      <c r="P88" s="1916"/>
      <c r="Q88" s="1916"/>
      <c r="R88" s="1916"/>
      <c r="S88" s="1916"/>
      <c r="T88" s="1916"/>
      <c r="U88" s="1916"/>
      <c r="V88" s="1916"/>
      <c r="W88" s="1920"/>
      <c r="X88" s="1920"/>
      <c r="Y88" s="1920"/>
      <c r="Z88" s="1920"/>
    </row>
    <row r="89" spans="1:26" s="1267" customFormat="1" ht="14.25">
      <c r="A89" s="3418" t="s">
        <v>423</v>
      </c>
      <c r="B89" s="3419"/>
      <c r="C89" s="981"/>
      <c r="D89" s="981" t="s">
        <v>424</v>
      </c>
      <c r="E89" s="385" t="s">
        <v>433</v>
      </c>
      <c r="F89" s="386"/>
      <c r="G89" s="386"/>
      <c r="H89" s="387"/>
      <c r="I89" s="1269"/>
      <c r="J89" s="1921"/>
      <c r="K89" s="3464"/>
      <c r="L89" s="2769" t="s">
        <v>27</v>
      </c>
      <c r="M89" s="2760"/>
      <c r="N89" s="53">
        <f ca="1">ROUND(SUM(N83:N88),0)</f>
        <v>217</v>
      </c>
      <c r="O89" s="2770">
        <f ca="1">N89/N69</f>
        <v>1.6638552369268516E-2</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12421</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75</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00" t="s">
        <v>441</v>
      </c>
      <c r="F94" s="3399"/>
      <c r="G94" s="3399"/>
      <c r="H94" s="3442"/>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75</v>
      </c>
      <c r="D96" s="400">
        <f>'数据-取费表'!B43</f>
        <v>6.000000000000001E-3</v>
      </c>
      <c r="E96" s="3434" t="s">
        <v>2413</v>
      </c>
      <c r="F96" s="3435"/>
      <c r="G96" s="3435"/>
      <c r="H96" s="343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12346</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164.61333333333334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7381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3" t="s">
        <v>448</v>
      </c>
      <c r="B101" s="3444"/>
      <c r="C101" s="3444"/>
      <c r="D101" s="3444"/>
      <c r="E101" s="3444"/>
      <c r="F101" s="3444"/>
      <c r="G101" s="3444"/>
      <c r="H101" s="3444"/>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18" t="s">
        <v>423</v>
      </c>
      <c r="B102" s="341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12421</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75</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394" t="s">
        <v>2960</v>
      </c>
      <c r="H108" s="339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7" t="s">
        <v>456</v>
      </c>
      <c r="F109" s="3435"/>
      <c r="G109" s="343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5">
        <v>0</v>
      </c>
      <c r="E110" s="3437" t="s">
        <v>458</v>
      </c>
      <c r="F110" s="3435"/>
      <c r="G110" s="3435"/>
      <c r="H110" s="343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75</v>
      </c>
      <c r="D111" s="400">
        <f>'数据-取费表'!B43</f>
        <v>6.000000000000001E-3</v>
      </c>
      <c r="E111" s="3434" t="s">
        <v>2413</v>
      </c>
      <c r="F111" s="3435"/>
      <c r="G111" s="3435"/>
      <c r="H111" s="343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7" t="s">
        <v>2436</v>
      </c>
      <c r="F112" s="3435"/>
      <c r="G112" s="3435"/>
      <c r="H112" s="343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12346</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164.61333333333334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7381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M41" sqref="M41"/>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12839</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1675</v>
      </c>
      <c r="B3" s="504">
        <f>ROUND(B2*10000/'数据-汇总表'!E3,0)</f>
        <v>1759</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6157</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410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5" t="s">
        <v>516</v>
      </c>
      <c r="D6" s="3486"/>
      <c r="E6" s="3485" t="s">
        <v>517</v>
      </c>
      <c r="F6" s="3486"/>
      <c r="G6" s="3485" t="s">
        <v>518</v>
      </c>
      <c r="H6" s="3486"/>
      <c r="I6" s="3485" t="s">
        <v>519</v>
      </c>
      <c r="J6" s="3486"/>
      <c r="K6" s="508" t="s">
        <v>520</v>
      </c>
      <c r="L6" s="2015"/>
      <c r="M6" s="2014"/>
      <c r="N6" s="2014"/>
      <c r="O6" s="2016"/>
      <c r="P6" s="3487" t="s">
        <v>521</v>
      </c>
      <c r="Q6" s="3488"/>
      <c r="R6" s="3493" t="s">
        <v>517</v>
      </c>
      <c r="S6" s="3494"/>
      <c r="T6" s="3493" t="s">
        <v>518</v>
      </c>
      <c r="U6" s="3494"/>
      <c r="V6" s="3480" t="s">
        <v>519</v>
      </c>
      <c r="W6" s="3480"/>
      <c r="X6" s="1501"/>
      <c r="Y6" s="3493" t="s">
        <v>521</v>
      </c>
      <c r="Z6" s="3494"/>
      <c r="AA6" s="3482" t="s">
        <v>517</v>
      </c>
      <c r="AB6" s="3483" t="s">
        <v>518</v>
      </c>
      <c r="AC6" s="3482" t="s">
        <v>519</v>
      </c>
    </row>
    <row r="7" spans="1:30" ht="20.25">
      <c r="A7" s="509"/>
      <c r="B7" s="510"/>
      <c r="C7" s="3503" t="s">
        <v>3190</v>
      </c>
      <c r="D7" s="3502"/>
      <c r="E7" s="3501" t="str">
        <f>土地案例!A28</f>
        <v>规划道路东侧、迎宾大道南侧、联盟南路西侧、规划区间路北侧</v>
      </c>
      <c r="F7" s="3502"/>
      <c r="G7" s="3501" t="str">
        <f>土地案例!A33</f>
        <v>新坝镇大全路南侧、浮玉花园北侧</v>
      </c>
      <c r="H7" s="3502"/>
      <c r="I7" s="3501" t="str">
        <f>土地案例!A36</f>
        <v>开发区兴宏路南侧</v>
      </c>
      <c r="J7" s="3502"/>
      <c r="K7" s="508"/>
      <c r="L7" s="2015"/>
      <c r="M7" s="2014"/>
      <c r="N7" s="2014"/>
      <c r="O7" s="2016"/>
      <c r="P7" s="3489"/>
      <c r="Q7" s="3490"/>
      <c r="R7" s="3495"/>
      <c r="S7" s="3496"/>
      <c r="T7" s="3495"/>
      <c r="U7" s="3496"/>
      <c r="V7" s="3480"/>
      <c r="W7" s="3480"/>
      <c r="X7" s="1501"/>
      <c r="Y7" s="3495"/>
      <c r="Z7" s="3496"/>
      <c r="AA7" s="3483"/>
      <c r="AB7" s="3483"/>
      <c r="AC7" s="3483"/>
    </row>
    <row r="8" spans="1:30" ht="21" thickBot="1">
      <c r="A8" s="509"/>
      <c r="B8" s="510"/>
      <c r="C8" s="3504" t="s">
        <v>2899</v>
      </c>
      <c r="D8" s="3505"/>
      <c r="E8" s="3504" t="s">
        <v>2899</v>
      </c>
      <c r="F8" s="3505"/>
      <c r="G8" s="3499" t="s">
        <v>2899</v>
      </c>
      <c r="H8" s="3500"/>
      <c r="I8" s="3499" t="s">
        <v>2899</v>
      </c>
      <c r="J8" s="3500"/>
      <c r="K8" s="508" t="s">
        <v>522</v>
      </c>
      <c r="L8" s="2015"/>
      <c r="M8" s="2014"/>
      <c r="N8" s="2014"/>
      <c r="O8" s="2016"/>
      <c r="P8" s="3491"/>
      <c r="Q8" s="3492"/>
      <c r="R8" s="3495"/>
      <c r="S8" s="3496"/>
      <c r="T8" s="3497"/>
      <c r="U8" s="3498"/>
      <c r="V8" s="3480"/>
      <c r="W8" s="3480"/>
      <c r="X8" s="1501"/>
      <c r="Y8" s="3497"/>
      <c r="Z8" s="3498"/>
      <c r="AA8" s="3484"/>
      <c r="AB8" s="3484"/>
      <c r="AC8" s="3484"/>
    </row>
    <row r="9" spans="1:30" s="1202" customFormat="1" ht="21" thickBot="1">
      <c r="A9" s="2629"/>
      <c r="B9" s="2636" t="s">
        <v>523</v>
      </c>
      <c r="C9" s="2628">
        <f>'数据-取费表'!B2</f>
        <v>44257</v>
      </c>
      <c r="D9" s="514">
        <v>100</v>
      </c>
      <c r="E9" s="515" t="str">
        <f>土地案例!J28</f>
        <v>2019-05-23</v>
      </c>
      <c r="F9" s="516">
        <f>SUMIF(72:72,YEAR(E9)&amp;"-"&amp;INT((MONTH(E9)+2)/3),73:73)</f>
        <v>96.5</v>
      </c>
      <c r="G9" s="517" t="str">
        <f>土地案例!J33</f>
        <v>2019-04-22</v>
      </c>
      <c r="H9" s="514">
        <f>SUMIF(72:72,YEAR(G9)&amp;"-"&amp;INT((MONTH(G9)+2)/3),73:73)</f>
        <v>96.5</v>
      </c>
      <c r="I9" s="517" t="str">
        <f>土地案例!J36</f>
        <v>2018-12-26</v>
      </c>
      <c r="J9" s="514">
        <f>SUMIF(72:72,YEAR(I9)&amp;"-"&amp;INT((MONTH(I9)+2)/3),73:73)</f>
        <v>95.5</v>
      </c>
      <c r="K9" s="518"/>
      <c r="L9" s="2017"/>
      <c r="M9" s="2014"/>
      <c r="N9" s="2014"/>
      <c r="O9" s="2018"/>
      <c r="P9" s="3511" t="s">
        <v>524</v>
      </c>
      <c r="Q9" s="3513"/>
      <c r="R9" s="1502" t="s">
        <v>8</v>
      </c>
      <c r="S9" s="1503">
        <f t="shared" ref="S9:S17" si="0">F9</f>
        <v>96.5</v>
      </c>
      <c r="T9" s="1502" t="s">
        <v>8</v>
      </c>
      <c r="U9" s="1503">
        <f t="shared" ref="U9:U17" si="1">H9</f>
        <v>96.5</v>
      </c>
      <c r="V9" s="1502" t="s">
        <v>8</v>
      </c>
      <c r="W9" s="1503">
        <f t="shared" ref="W9:W17" si="2">J9</f>
        <v>95.5</v>
      </c>
      <c r="X9" s="1504"/>
      <c r="Y9" s="3511" t="s">
        <v>524</v>
      </c>
      <c r="Z9" s="3512"/>
      <c r="AA9" s="1505">
        <f>D9/F9</f>
        <v>1.0362694300518134</v>
      </c>
      <c r="AB9" s="1505">
        <f>D9/H9</f>
        <v>1.0362694300518134</v>
      </c>
      <c r="AC9" s="1505">
        <f>D9/J9</f>
        <v>1.0471204188481675</v>
      </c>
    </row>
    <row r="10" spans="1:30" s="1202" customFormat="1" ht="21" thickBot="1">
      <c r="A10" s="2630"/>
      <c r="B10" s="2637" t="s">
        <v>525</v>
      </c>
      <c r="C10" s="845" t="s">
        <v>526</v>
      </c>
      <c r="D10" s="514">
        <v>100</v>
      </c>
      <c r="E10" s="519" t="s">
        <v>3191</v>
      </c>
      <c r="F10" s="516">
        <f>SUMIF(75:75,E10,76:76)-SUMIF(75:75,C10,76:76)+100</f>
        <v>100</v>
      </c>
      <c r="G10" s="519" t="s">
        <v>3191</v>
      </c>
      <c r="H10" s="514">
        <f>SUMIF(75:75,G10,76:76)-SUMIF(75:75,C10,76:76)+100</f>
        <v>100</v>
      </c>
      <c r="I10" s="519" t="s">
        <v>3191</v>
      </c>
      <c r="J10" s="514">
        <f>SUMIF(75:75,I10,76:76)-SUMIF(75:75,C10,76:76)+100</f>
        <v>100</v>
      </c>
      <c r="K10" s="518"/>
      <c r="L10" s="2017"/>
      <c r="M10" s="2014"/>
      <c r="N10" s="2014"/>
      <c r="O10" s="2018"/>
      <c r="P10" s="3511" t="s">
        <v>527</v>
      </c>
      <c r="Q10" s="3512"/>
      <c r="R10" s="1502" t="s">
        <v>8</v>
      </c>
      <c r="S10" s="1503">
        <f t="shared" si="0"/>
        <v>100</v>
      </c>
      <c r="T10" s="1502" t="s">
        <v>8</v>
      </c>
      <c r="U10" s="1503">
        <f t="shared" si="1"/>
        <v>100</v>
      </c>
      <c r="V10" s="1502" t="s">
        <v>8</v>
      </c>
      <c r="W10" s="1503">
        <f t="shared" si="2"/>
        <v>100</v>
      </c>
      <c r="X10" s="1504"/>
      <c r="Y10" s="3511" t="s">
        <v>527</v>
      </c>
      <c r="Z10" s="3512"/>
      <c r="AA10" s="1505">
        <f t="shared" ref="AA10:AA47" si="3">D10/F10</f>
        <v>1</v>
      </c>
      <c r="AB10" s="1505">
        <f t="shared" ref="AB10:AB47" si="4">D10/H10</f>
        <v>1</v>
      </c>
      <c r="AC10" s="1505">
        <f t="shared" ref="AC10:AC47" si="5">D10/J10</f>
        <v>1</v>
      </c>
    </row>
    <row r="11" spans="1:30" s="1202" customFormat="1" ht="20.25">
      <c r="A11" s="2631"/>
      <c r="B11" s="2638" t="s">
        <v>2736</v>
      </c>
      <c r="C11" s="2625" t="s">
        <v>914</v>
      </c>
      <c r="D11" s="252">
        <v>100</v>
      </c>
      <c r="E11" s="2625" t="s">
        <v>914</v>
      </c>
      <c r="F11" s="252">
        <f>SUMIF(77:77,E11,78:78)-SUMIF(77:77,C11,78:78)+100</f>
        <v>100</v>
      </c>
      <c r="G11" s="2625" t="s">
        <v>914</v>
      </c>
      <c r="H11" s="252">
        <f>SUMIF(77:77,G11,78:78)-SUMIF(77:77,C11,78:78)+100</f>
        <v>100</v>
      </c>
      <c r="I11" s="2625" t="s">
        <v>914</v>
      </c>
      <c r="J11" s="252">
        <f>SUMIF(77:77,I11,78:78)-SUMIF(77:77,C11,78:78)+100</f>
        <v>100</v>
      </c>
      <c r="K11" s="518"/>
      <c r="L11" s="2017"/>
      <c r="M11" s="2014"/>
      <c r="N11" s="2014"/>
      <c r="O11" s="2019"/>
      <c r="P11" s="3479" t="s">
        <v>529</v>
      </c>
      <c r="Q11" s="1133" t="str">
        <f t="shared" ref="Q11:Q17" si="6">B11</f>
        <v>用途</v>
      </c>
      <c r="R11" s="1502" t="s">
        <v>8</v>
      </c>
      <c r="S11" s="1503">
        <f t="shared" si="0"/>
        <v>100</v>
      </c>
      <c r="T11" s="1502" t="s">
        <v>8</v>
      </c>
      <c r="U11" s="1503">
        <f t="shared" si="1"/>
        <v>100</v>
      </c>
      <c r="V11" s="1502" t="s">
        <v>8</v>
      </c>
      <c r="W11" s="1503">
        <f t="shared" si="2"/>
        <v>100</v>
      </c>
      <c r="X11" s="1504"/>
      <c r="Y11" s="3425" t="s">
        <v>530</v>
      </c>
      <c r="Z11" s="1132" t="str">
        <f t="shared" ref="Z11:Z17" si="7">Q11</f>
        <v>用途</v>
      </c>
      <c r="AA11" s="1505">
        <f t="shared" si="3"/>
        <v>1</v>
      </c>
      <c r="AB11" s="1505">
        <f t="shared" si="4"/>
        <v>1</v>
      </c>
      <c r="AC11" s="1505">
        <f t="shared" si="5"/>
        <v>1</v>
      </c>
    </row>
    <row r="12" spans="1:30" s="1291" customFormat="1" ht="27">
      <c r="A12" s="2632"/>
      <c r="B12" s="2637" t="s">
        <v>2737</v>
      </c>
      <c r="C12" s="898" t="s">
        <v>3197</v>
      </c>
      <c r="D12" s="253">
        <v>100</v>
      </c>
      <c r="E12" s="898" t="s">
        <v>3197</v>
      </c>
      <c r="F12" s="253">
        <f>ROUND(100/'数据-取费表'!G16,0)</f>
        <v>102</v>
      </c>
      <c r="G12" s="898" t="s">
        <v>3197</v>
      </c>
      <c r="H12" s="253">
        <f>ROUND(100/'数据-取费表'!G16,0)</f>
        <v>102</v>
      </c>
      <c r="I12" s="898" t="s">
        <v>3197</v>
      </c>
      <c r="J12" s="253">
        <f>ROUND(100/'数据-取费表'!G16,0)</f>
        <v>102</v>
      </c>
      <c r="K12" s="525"/>
      <c r="L12" s="2020"/>
      <c r="M12" s="2014"/>
      <c r="N12" s="2014"/>
      <c r="O12" s="2021"/>
      <c r="P12" s="3479"/>
      <c r="Q12" s="1133" t="str">
        <f t="shared" si="6"/>
        <v>土地使用年限（年）</v>
      </c>
      <c r="R12" s="1502" t="s">
        <v>8</v>
      </c>
      <c r="S12" s="1503">
        <f t="shared" si="0"/>
        <v>102</v>
      </c>
      <c r="T12" s="1502" t="s">
        <v>8</v>
      </c>
      <c r="U12" s="1503">
        <f t="shared" si="1"/>
        <v>102</v>
      </c>
      <c r="V12" s="1502" t="s">
        <v>8</v>
      </c>
      <c r="W12" s="1503">
        <f t="shared" si="2"/>
        <v>102</v>
      </c>
      <c r="X12" s="1504"/>
      <c r="Y12" s="3425"/>
      <c r="Z12" s="1132" t="str">
        <f t="shared" si="7"/>
        <v>土地使用年限（年）</v>
      </c>
      <c r="AA12" s="1505">
        <f t="shared" si="3"/>
        <v>0.98039215686274506</v>
      </c>
      <c r="AB12" s="1505">
        <f t="shared" si="4"/>
        <v>0.98039215686274506</v>
      </c>
      <c r="AC12" s="1505">
        <f t="shared" si="5"/>
        <v>0.98039215686274506</v>
      </c>
    </row>
    <row r="13" spans="1:30" ht="20.25">
      <c r="A13" s="2633"/>
      <c r="B13" s="2637" t="s">
        <v>2738</v>
      </c>
      <c r="C13" s="528">
        <f>'数据-汇总表'!I3</f>
        <v>3.5</v>
      </c>
      <c r="D13" s="253">
        <v>100</v>
      </c>
      <c r="E13" s="527">
        <v>2.8</v>
      </c>
      <c r="F13" s="253">
        <f>LOOKUP(E13,82:82,83:83)-LOOKUP(C13,82:82,83:83)+100</f>
        <v>102</v>
      </c>
      <c r="G13" s="528">
        <v>1.4</v>
      </c>
      <c r="H13" s="253">
        <f>LOOKUP(G13,82:82,83:83)-LOOKUP(C13,82:82,83:83)+100</f>
        <v>104</v>
      </c>
      <c r="I13" s="527">
        <v>1.59</v>
      </c>
      <c r="J13" s="253">
        <f>LOOKUP(I13,82:82,83:83)-LOOKUP(C13,82:82,83:83)+100</f>
        <v>104</v>
      </c>
      <c r="K13" s="529">
        <v>2</v>
      </c>
      <c r="L13" s="2022"/>
      <c r="M13" s="2014"/>
      <c r="N13" s="2014"/>
      <c r="O13" s="2023"/>
      <c r="P13" s="3479"/>
      <c r="Q13" s="1133" t="str">
        <f t="shared" si="6"/>
        <v>容积率</v>
      </c>
      <c r="R13" s="1502" t="s">
        <v>8</v>
      </c>
      <c r="S13" s="1503">
        <f t="shared" si="0"/>
        <v>102</v>
      </c>
      <c r="T13" s="1502" t="s">
        <v>8</v>
      </c>
      <c r="U13" s="1503">
        <f t="shared" si="1"/>
        <v>104</v>
      </c>
      <c r="V13" s="1502" t="s">
        <v>8</v>
      </c>
      <c r="W13" s="1503">
        <f t="shared" si="2"/>
        <v>104</v>
      </c>
      <c r="X13" s="1504"/>
      <c r="Y13" s="3425"/>
      <c r="Z13" s="1132" t="str">
        <f t="shared" si="7"/>
        <v>容积率</v>
      </c>
      <c r="AA13" s="1505">
        <f t="shared" si="3"/>
        <v>0.98039215686274506</v>
      </c>
      <c r="AB13" s="1505">
        <f t="shared" si="4"/>
        <v>0.96153846153846156</v>
      </c>
      <c r="AC13" s="1505">
        <f t="shared" si="5"/>
        <v>0.96153846153846156</v>
      </c>
    </row>
    <row r="14" spans="1:30" s="1202" customFormat="1" ht="21" thickBot="1">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79"/>
      <c r="Q14" s="1133" t="str">
        <f t="shared" si="6"/>
        <v>配建</v>
      </c>
      <c r="R14" s="1502" t="s">
        <v>8</v>
      </c>
      <c r="S14" s="1503">
        <f t="shared" si="0"/>
        <v>100</v>
      </c>
      <c r="T14" s="1502" t="s">
        <v>8</v>
      </c>
      <c r="U14" s="1503">
        <f t="shared" si="1"/>
        <v>100</v>
      </c>
      <c r="V14" s="1502" t="s">
        <v>8</v>
      </c>
      <c r="W14" s="1503">
        <f t="shared" si="2"/>
        <v>100</v>
      </c>
      <c r="X14" s="1504"/>
      <c r="Y14" s="3425"/>
      <c r="Z14" s="1132" t="str">
        <f t="shared" si="7"/>
        <v>配建</v>
      </c>
      <c r="AA14" s="1505">
        <f>D14/F14</f>
        <v>1</v>
      </c>
      <c r="AB14" s="1505">
        <f>D14/H14</f>
        <v>1</v>
      </c>
      <c r="AC14" s="1505">
        <f>D14/J14</f>
        <v>1</v>
      </c>
    </row>
    <row r="15" spans="1:30" ht="20.25" hidden="1">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9"/>
      <c r="Q15" s="1133">
        <f t="shared" si="6"/>
        <v>111</v>
      </c>
      <c r="R15" s="1502" t="s">
        <v>8</v>
      </c>
      <c r="S15" s="1503">
        <f t="shared" si="0"/>
        <v>100</v>
      </c>
      <c r="T15" s="1502" t="s">
        <v>8</v>
      </c>
      <c r="U15" s="1503">
        <f t="shared" si="1"/>
        <v>100</v>
      </c>
      <c r="V15" s="1502" t="s">
        <v>8</v>
      </c>
      <c r="W15" s="1503">
        <f t="shared" si="2"/>
        <v>100</v>
      </c>
      <c r="X15" s="1504"/>
      <c r="Y15" s="3425"/>
      <c r="Z15" s="1132">
        <f t="shared" si="7"/>
        <v>111</v>
      </c>
      <c r="AA15" s="1505">
        <f>D15/F15</f>
        <v>1</v>
      </c>
      <c r="AB15" s="1505">
        <f>D15/H15</f>
        <v>1</v>
      </c>
      <c r="AC15" s="1505">
        <f>D15/J15</f>
        <v>1</v>
      </c>
    </row>
    <row r="16" spans="1:30" ht="21" hidden="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9"/>
      <c r="Q16" s="1133">
        <f t="shared" si="6"/>
        <v>111</v>
      </c>
      <c r="R16" s="1502" t="s">
        <v>8</v>
      </c>
      <c r="S16" s="1503">
        <f t="shared" si="0"/>
        <v>100</v>
      </c>
      <c r="T16" s="1502" t="s">
        <v>8</v>
      </c>
      <c r="U16" s="1503">
        <f t="shared" si="1"/>
        <v>100</v>
      </c>
      <c r="V16" s="1502" t="s">
        <v>8</v>
      </c>
      <c r="W16" s="1503">
        <f t="shared" si="2"/>
        <v>100</v>
      </c>
      <c r="X16" s="1504"/>
      <c r="Y16" s="3425"/>
      <c r="Z16" s="1132">
        <f t="shared" si="7"/>
        <v>111</v>
      </c>
      <c r="AA16" s="1505">
        <f>D16/F16</f>
        <v>1</v>
      </c>
      <c r="AB16" s="1505">
        <f>D16/H16</f>
        <v>1</v>
      </c>
      <c r="AC16" s="1505">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105</v>
      </c>
      <c r="G17" s="544"/>
      <c r="H17" s="543">
        <f>SUMIF(90:90,G18,91:91)-SUMIF(90:90,C18,91:91)+100</f>
        <v>105</v>
      </c>
      <c r="I17" s="546"/>
      <c r="J17" s="543">
        <f>SUMIF(90:90,I18,91:91)-SUMIF(90:90,C18,91:91)+100</f>
        <v>105</v>
      </c>
      <c r="K17" s="529">
        <v>5</v>
      </c>
      <c r="L17" s="2024"/>
      <c r="M17" s="2014"/>
      <c r="N17" s="2014"/>
      <c r="O17" s="2023"/>
      <c r="P17" s="3514" t="s">
        <v>534</v>
      </c>
      <c r="Q17" s="1506" t="str">
        <f t="shared" si="6"/>
        <v>居住社区成熟度</v>
      </c>
      <c r="R17" s="1507" t="s">
        <v>8</v>
      </c>
      <c r="S17" s="1508">
        <f t="shared" si="0"/>
        <v>105</v>
      </c>
      <c r="T17" s="1507" t="s">
        <v>8</v>
      </c>
      <c r="U17" s="1508">
        <f t="shared" si="1"/>
        <v>105</v>
      </c>
      <c r="V17" s="1507" t="s">
        <v>8</v>
      </c>
      <c r="W17" s="1508">
        <f t="shared" si="2"/>
        <v>105</v>
      </c>
      <c r="X17" s="1501"/>
      <c r="Y17" s="3514" t="s">
        <v>534</v>
      </c>
      <c r="Z17" s="1509" t="str">
        <f t="shared" si="7"/>
        <v>居住社区成熟度</v>
      </c>
      <c r="AA17" s="1510">
        <f t="shared" si="3"/>
        <v>0.95238095238095233</v>
      </c>
      <c r="AB17" s="1510">
        <f t="shared" si="4"/>
        <v>0.95238095238095233</v>
      </c>
      <c r="AC17" s="1510">
        <f t="shared" si="5"/>
        <v>0.95238095238095233</v>
      </c>
    </row>
    <row r="18" spans="1:29" ht="20.25">
      <c r="A18" s="526"/>
      <c r="B18" s="547"/>
      <c r="C18" s="548" t="s">
        <v>3192</v>
      </c>
      <c r="D18" s="551"/>
      <c r="E18" s="552" t="s">
        <v>3193</v>
      </c>
      <c r="F18" s="549"/>
      <c r="G18" s="550" t="s">
        <v>3193</v>
      </c>
      <c r="H18" s="553"/>
      <c r="I18" s="552" t="s">
        <v>3193</v>
      </c>
      <c r="J18" s="549"/>
      <c r="K18" s="525"/>
      <c r="L18" s="2024"/>
      <c r="M18" s="2014"/>
      <c r="N18" s="2014"/>
      <c r="O18" s="2023"/>
      <c r="P18" s="3515"/>
      <c r="Q18" s="1506"/>
      <c r="R18" s="1507"/>
      <c r="S18" s="1508"/>
      <c r="T18" s="1507"/>
      <c r="U18" s="1508"/>
      <c r="V18" s="1507"/>
      <c r="W18" s="1508"/>
      <c r="X18" s="1501"/>
      <c r="Y18" s="3515"/>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103</v>
      </c>
      <c r="G19" s="556"/>
      <c r="H19" s="559">
        <f>SUMIF(92:92,G20,93:93)-SUMIF(92:92,C20,93:93)+100</f>
        <v>103</v>
      </c>
      <c r="I19" s="558"/>
      <c r="J19" s="559">
        <f>SUMIF(92:92,I20,93:93)-SUMIF(92:92,C20,93:93)+100</f>
        <v>103</v>
      </c>
      <c r="K19" s="529">
        <v>3</v>
      </c>
      <c r="L19" s="2024"/>
      <c r="M19" s="2014"/>
      <c r="N19" s="2014"/>
      <c r="O19" s="2023"/>
      <c r="P19" s="3515"/>
      <c r="Q19" s="1506" t="str">
        <f>B19</f>
        <v>商业繁华度</v>
      </c>
      <c r="R19" s="1507" t="s">
        <v>8</v>
      </c>
      <c r="S19" s="1508">
        <f>F19</f>
        <v>103</v>
      </c>
      <c r="T19" s="1507" t="s">
        <v>8</v>
      </c>
      <c r="U19" s="1508">
        <f>H19</f>
        <v>103</v>
      </c>
      <c r="V19" s="1507" t="s">
        <v>8</v>
      </c>
      <c r="W19" s="1508">
        <f>J19</f>
        <v>103</v>
      </c>
      <c r="X19" s="1501"/>
      <c r="Y19" s="3515"/>
      <c r="Z19" s="1509" t="str">
        <f>Q19</f>
        <v>商业繁华度</v>
      </c>
      <c r="AA19" s="1510">
        <f t="shared" si="3"/>
        <v>0.970873786407767</v>
      </c>
      <c r="AB19" s="1510">
        <f t="shared" si="4"/>
        <v>0.970873786407767</v>
      </c>
      <c r="AC19" s="1510">
        <f t="shared" si="5"/>
        <v>0.970873786407767</v>
      </c>
    </row>
    <row r="20" spans="1:29" ht="20.25">
      <c r="A20" s="526"/>
      <c r="B20" s="560"/>
      <c r="C20" s="548" t="s">
        <v>3192</v>
      </c>
      <c r="D20" s="557"/>
      <c r="E20" s="552" t="s">
        <v>3193</v>
      </c>
      <c r="F20" s="553"/>
      <c r="G20" s="552" t="s">
        <v>3193</v>
      </c>
      <c r="H20" s="549"/>
      <c r="I20" s="552" t="s">
        <v>3193</v>
      </c>
      <c r="J20" s="549"/>
      <c r="K20" s="525"/>
      <c r="L20" s="2024"/>
      <c r="M20" s="2014"/>
      <c r="N20" s="2014"/>
      <c r="O20" s="2023"/>
      <c r="P20" s="3515"/>
      <c r="Q20" s="1506"/>
      <c r="R20" s="1507"/>
      <c r="S20" s="1508"/>
      <c r="T20" s="1507"/>
      <c r="U20" s="1508"/>
      <c r="V20" s="1507"/>
      <c r="W20" s="1508"/>
      <c r="X20" s="1501"/>
      <c r="Y20" s="3515"/>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5"/>
      <c r="Q21" s="1506" t="str">
        <f>B21</f>
        <v>办公集聚程度</v>
      </c>
      <c r="R21" s="1507" t="s">
        <v>8</v>
      </c>
      <c r="S21" s="1508">
        <f>F21</f>
        <v>100</v>
      </c>
      <c r="T21" s="1507" t="s">
        <v>8</v>
      </c>
      <c r="U21" s="1508">
        <f>H21</f>
        <v>100</v>
      </c>
      <c r="V21" s="1507" t="s">
        <v>8</v>
      </c>
      <c r="W21" s="1508">
        <f>J21</f>
        <v>100</v>
      </c>
      <c r="X21" s="1501"/>
      <c r="Y21" s="3515"/>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15"/>
      <c r="Q22" s="1506"/>
      <c r="R22" s="1507"/>
      <c r="S22" s="1508"/>
      <c r="T22" s="1507"/>
      <c r="U22" s="1508"/>
      <c r="V22" s="1507"/>
      <c r="W22" s="1508"/>
      <c r="X22" s="1501"/>
      <c r="Y22" s="3515"/>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102</v>
      </c>
      <c r="G23" s="556"/>
      <c r="H23" s="553">
        <f>SUMIF(96:96,G24,97:97)-SUMIF(96:96,C24,97:97)+100</f>
        <v>102</v>
      </c>
      <c r="I23" s="558"/>
      <c r="J23" s="553">
        <f>SUMIF(96:96,I24,97:97)-SUMIF(96:96,C24,97:97)+100</f>
        <v>102</v>
      </c>
      <c r="K23" s="529">
        <v>2</v>
      </c>
      <c r="L23" s="2024"/>
      <c r="M23" s="2014"/>
      <c r="N23" s="2014"/>
      <c r="O23" s="2023"/>
      <c r="P23" s="3515"/>
      <c r="Q23" s="1506" t="str">
        <f>B23</f>
        <v>交通便捷度</v>
      </c>
      <c r="R23" s="1507" t="s">
        <v>8</v>
      </c>
      <c r="S23" s="1508">
        <f>F23</f>
        <v>102</v>
      </c>
      <c r="T23" s="1507" t="s">
        <v>8</v>
      </c>
      <c r="U23" s="1508">
        <f>H23</f>
        <v>102</v>
      </c>
      <c r="V23" s="1507" t="s">
        <v>8</v>
      </c>
      <c r="W23" s="1508">
        <f>J23</f>
        <v>102</v>
      </c>
      <c r="X23" s="1501"/>
      <c r="Y23" s="3515"/>
      <c r="Z23" s="1509" t="str">
        <f>Q23</f>
        <v>交通便捷度</v>
      </c>
      <c r="AA23" s="1510">
        <f t="shared" si="3"/>
        <v>0.98039215686274506</v>
      </c>
      <c r="AB23" s="1510">
        <f t="shared" si="4"/>
        <v>0.98039215686274506</v>
      </c>
      <c r="AC23" s="1510">
        <f t="shared" si="5"/>
        <v>0.98039215686274506</v>
      </c>
    </row>
    <row r="24" spans="1:29" ht="20.25">
      <c r="A24" s="526"/>
      <c r="B24" s="572"/>
      <c r="C24" s="548" t="s">
        <v>3192</v>
      </c>
      <c r="D24" s="551"/>
      <c r="E24" s="552" t="s">
        <v>3193</v>
      </c>
      <c r="F24" s="549"/>
      <c r="G24" s="552" t="s">
        <v>3193</v>
      </c>
      <c r="H24" s="549"/>
      <c r="I24" s="552" t="s">
        <v>3193</v>
      </c>
      <c r="J24" s="549"/>
      <c r="K24" s="525"/>
      <c r="L24" s="2024"/>
      <c r="M24" s="2014"/>
      <c r="N24" s="2014"/>
      <c r="O24" s="2023"/>
      <c r="P24" s="3515"/>
      <c r="Q24" s="1506"/>
      <c r="R24" s="1507"/>
      <c r="S24" s="1508"/>
      <c r="T24" s="1507"/>
      <c r="U24" s="1508"/>
      <c r="V24" s="1507"/>
      <c r="W24" s="1508"/>
      <c r="X24" s="1501"/>
      <c r="Y24" s="3515"/>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515"/>
      <c r="Q25" s="1506" t="str">
        <f t="shared" ref="Q25:Q39" si="8">B25</f>
        <v>区域土地利用方向</v>
      </c>
      <c r="R25" s="1507" t="s">
        <v>8</v>
      </c>
      <c r="S25" s="1508">
        <f>F25</f>
        <v>100</v>
      </c>
      <c r="T25" s="1507" t="s">
        <v>8</v>
      </c>
      <c r="U25" s="1508">
        <f>H25</f>
        <v>100</v>
      </c>
      <c r="V25" s="1507" t="s">
        <v>8</v>
      </c>
      <c r="W25" s="1508">
        <f>J25</f>
        <v>100</v>
      </c>
      <c r="X25" s="1501"/>
      <c r="Y25" s="3515"/>
      <c r="Z25" s="1509" t="str">
        <f>Q25</f>
        <v>区域土地利用方向</v>
      </c>
      <c r="AA25" s="1510">
        <f t="shared" si="3"/>
        <v>1</v>
      </c>
      <c r="AB25" s="1510">
        <f t="shared" si="4"/>
        <v>1</v>
      </c>
      <c r="AC25" s="1510">
        <f t="shared" si="5"/>
        <v>1</v>
      </c>
    </row>
    <row r="26" spans="1:29" ht="20.25">
      <c r="A26" s="509"/>
      <c r="B26" s="993"/>
      <c r="C26" s="548" t="s">
        <v>3193</v>
      </c>
      <c r="D26" s="551"/>
      <c r="E26" s="552" t="s">
        <v>3193</v>
      </c>
      <c r="F26" s="549"/>
      <c r="G26" s="552" t="s">
        <v>3193</v>
      </c>
      <c r="H26" s="549"/>
      <c r="I26" s="552" t="s">
        <v>3193</v>
      </c>
      <c r="J26" s="549"/>
      <c r="K26" s="525"/>
      <c r="L26" s="2024"/>
      <c r="M26" s="2014"/>
      <c r="N26" s="2014"/>
      <c r="O26" s="2023"/>
      <c r="P26" s="3515"/>
      <c r="Q26" s="1506"/>
      <c r="R26" s="1507"/>
      <c r="S26" s="1508"/>
      <c r="T26" s="1507"/>
      <c r="U26" s="1508"/>
      <c r="V26" s="1507"/>
      <c r="W26" s="1508"/>
      <c r="X26" s="1501"/>
      <c r="Y26" s="3515"/>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101</v>
      </c>
      <c r="G27" s="556"/>
      <c r="H27" s="553">
        <f>SUMIF(100:100,G28,101:101)-SUMIF(100:100,C28,101:101)+100</f>
        <v>101</v>
      </c>
      <c r="I27" s="558"/>
      <c r="J27" s="553">
        <f>SUMIF(100:100,I28,101:101)-SUMIF(100:100,C28,101:101)+100</f>
        <v>100</v>
      </c>
      <c r="K27" s="529">
        <v>1</v>
      </c>
      <c r="L27" s="2024"/>
      <c r="M27" s="2014"/>
      <c r="N27" s="2014"/>
      <c r="O27" s="2023"/>
      <c r="P27" s="3515"/>
      <c r="Q27" s="1506" t="str">
        <f t="shared" si="8"/>
        <v>自然及人文环境状况</v>
      </c>
      <c r="R27" s="1507" t="s">
        <v>8</v>
      </c>
      <c r="S27" s="1508">
        <f>F27</f>
        <v>101</v>
      </c>
      <c r="T27" s="1507" t="s">
        <v>8</v>
      </c>
      <c r="U27" s="1508">
        <f>H27</f>
        <v>101</v>
      </c>
      <c r="V27" s="1507" t="s">
        <v>8</v>
      </c>
      <c r="W27" s="1508">
        <f>J27</f>
        <v>100</v>
      </c>
      <c r="X27" s="1501"/>
      <c r="Y27" s="3515"/>
      <c r="Z27" s="1509" t="str">
        <f>Q27</f>
        <v>自然及人文环境状况</v>
      </c>
      <c r="AA27" s="1510">
        <f t="shared" si="3"/>
        <v>0.99009900990099009</v>
      </c>
      <c r="AB27" s="1510">
        <f t="shared" si="4"/>
        <v>0.99009900990099009</v>
      </c>
      <c r="AC27" s="1510">
        <f t="shared" si="5"/>
        <v>1</v>
      </c>
    </row>
    <row r="28" spans="1:29" ht="20.25">
      <c r="A28" s="509"/>
      <c r="B28" s="560"/>
      <c r="C28" s="548" t="s">
        <v>3192</v>
      </c>
      <c r="D28" s="551"/>
      <c r="E28" s="552" t="s">
        <v>3193</v>
      </c>
      <c r="F28" s="549"/>
      <c r="G28" s="552" t="s">
        <v>3193</v>
      </c>
      <c r="H28" s="549"/>
      <c r="I28" s="552" t="s">
        <v>3192</v>
      </c>
      <c r="J28" s="549"/>
      <c r="K28" s="525"/>
      <c r="L28" s="2024"/>
      <c r="M28" s="2014"/>
      <c r="N28" s="2014"/>
      <c r="O28" s="2023"/>
      <c r="P28" s="3515"/>
      <c r="Q28" s="1506"/>
      <c r="R28" s="1507"/>
      <c r="S28" s="1508"/>
      <c r="T28" s="1507"/>
      <c r="U28" s="1508"/>
      <c r="V28" s="1507"/>
      <c r="W28" s="1508"/>
      <c r="X28" s="1501"/>
      <c r="Y28" s="3515"/>
      <c r="Z28" s="1509"/>
      <c r="AA28" s="1510">
        <v>1</v>
      </c>
      <c r="AB28" s="1510">
        <v>1</v>
      </c>
      <c r="AC28" s="1510">
        <v>1</v>
      </c>
    </row>
    <row r="29" spans="1:29" s="1202" customFormat="1" ht="42.75">
      <c r="A29" s="571"/>
      <c r="B29" s="2435" t="s">
        <v>2529</v>
      </c>
      <c r="C29" s="567" t="str">
        <f>估价对象房地状况!C21</f>
        <v>估价对象所在区域公共配套设施齐备情况</v>
      </c>
      <c r="D29" s="557">
        <v>100</v>
      </c>
      <c r="E29" s="558"/>
      <c r="F29" s="553">
        <f>SUMIF(102:102,E30,103:103)-SUMIF(102:102,C30,103:103)+100</f>
        <v>101</v>
      </c>
      <c r="G29" s="556"/>
      <c r="H29" s="553">
        <f>SUMIF(102:102,G30,103:103)-SUMIF(102:102,C30,103:103)+100</f>
        <v>101</v>
      </c>
      <c r="I29" s="558"/>
      <c r="J29" s="553">
        <f>SUMIF(102:102,I30,103:103)-SUMIF(102:102,C30,103:103)+100</f>
        <v>101</v>
      </c>
      <c r="K29" s="529">
        <v>1</v>
      </c>
      <c r="L29" s="2017"/>
      <c r="M29" s="2014"/>
      <c r="N29" s="2014"/>
      <c r="O29" s="2019"/>
      <c r="P29" s="3515"/>
      <c r="Q29" s="1133" t="str">
        <f t="shared" si="8"/>
        <v>公共配套设施</v>
      </c>
      <c r="R29" s="1502" t="s">
        <v>8</v>
      </c>
      <c r="S29" s="1503">
        <f>F29</f>
        <v>101</v>
      </c>
      <c r="T29" s="1502" t="s">
        <v>8</v>
      </c>
      <c r="U29" s="1503">
        <f>H29</f>
        <v>101</v>
      </c>
      <c r="V29" s="1502" t="s">
        <v>8</v>
      </c>
      <c r="W29" s="1503">
        <f>J29</f>
        <v>101</v>
      </c>
      <c r="X29" s="1504"/>
      <c r="Y29" s="3515"/>
      <c r="Z29" s="1132" t="str">
        <f>Q29</f>
        <v>公共配套设施</v>
      </c>
      <c r="AA29" s="1510">
        <f>D29/F29</f>
        <v>0.99009900990099009</v>
      </c>
      <c r="AB29" s="1510">
        <f>D29/H29</f>
        <v>0.99009900990099009</v>
      </c>
      <c r="AC29" s="1510">
        <f>D29/J29</f>
        <v>0.99009900990099009</v>
      </c>
    </row>
    <row r="30" spans="1:29" s="1202" customFormat="1" ht="20.25">
      <c r="A30" s="571"/>
      <c r="B30" s="560"/>
      <c r="C30" s="573" t="s">
        <v>3192</v>
      </c>
      <c r="D30" s="551"/>
      <c r="E30" s="552" t="s">
        <v>3193</v>
      </c>
      <c r="F30" s="549"/>
      <c r="G30" s="552" t="s">
        <v>3193</v>
      </c>
      <c r="H30" s="549"/>
      <c r="I30" s="552" t="s">
        <v>3193</v>
      </c>
      <c r="J30" s="549"/>
      <c r="K30" s="525"/>
      <c r="L30" s="2017"/>
      <c r="M30" s="2014"/>
      <c r="N30" s="2014"/>
      <c r="O30" s="2019"/>
      <c r="P30" s="3515"/>
      <c r="Q30" s="1133"/>
      <c r="R30" s="1502"/>
      <c r="S30" s="1503"/>
      <c r="T30" s="1502"/>
      <c r="U30" s="1503"/>
      <c r="V30" s="1502"/>
      <c r="W30" s="1503"/>
      <c r="X30" s="1504"/>
      <c r="Y30" s="3515"/>
      <c r="Z30" s="1132"/>
      <c r="AA30" s="1510">
        <v>1</v>
      </c>
      <c r="AB30" s="1510">
        <v>1</v>
      </c>
      <c r="AC30" s="1510">
        <v>1</v>
      </c>
    </row>
    <row r="31" spans="1:29" s="1202"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7"/>
      <c r="M31" s="2014"/>
      <c r="N31" s="2014"/>
      <c r="O31" s="2019"/>
      <c r="P31" s="3515"/>
      <c r="Q31" s="2428" t="str">
        <f t="shared" ref="Q31" si="9">B31</f>
        <v>基础设施水平</v>
      </c>
      <c r="R31" s="1502" t="s">
        <v>8</v>
      </c>
      <c r="S31" s="1503">
        <f>F31</f>
        <v>100</v>
      </c>
      <c r="T31" s="1502" t="s">
        <v>8</v>
      </c>
      <c r="U31" s="1503">
        <f>H31</f>
        <v>100</v>
      </c>
      <c r="V31" s="1502" t="s">
        <v>8</v>
      </c>
      <c r="W31" s="1503">
        <f>J31</f>
        <v>100</v>
      </c>
      <c r="X31" s="1504"/>
      <c r="Y31" s="3515"/>
      <c r="Z31" s="2427" t="str">
        <f>Q31</f>
        <v>基础设施水平</v>
      </c>
      <c r="AA31" s="1510">
        <f>D31/F31</f>
        <v>1</v>
      </c>
      <c r="AB31" s="1510">
        <f>D31/H31</f>
        <v>1</v>
      </c>
      <c r="AC31" s="1510">
        <f>D31/J31</f>
        <v>1</v>
      </c>
    </row>
    <row r="32" spans="1:29" s="1202" customFormat="1" ht="21" thickBot="1">
      <c r="A32" s="571"/>
      <c r="B32" s="560"/>
      <c r="C32" s="573" t="s">
        <v>3194</v>
      </c>
      <c r="D32" s="551"/>
      <c r="E32" s="2436" t="s">
        <v>3194</v>
      </c>
      <c r="F32" s="549"/>
      <c r="G32" s="2436" t="s">
        <v>3194</v>
      </c>
      <c r="H32" s="549"/>
      <c r="I32" s="2436" t="s">
        <v>3194</v>
      </c>
      <c r="J32" s="549"/>
      <c r="K32" s="525"/>
      <c r="L32" s="2017"/>
      <c r="M32" s="2014"/>
      <c r="N32" s="2014"/>
      <c r="O32" s="2019"/>
      <c r="P32" s="3515"/>
      <c r="Q32" s="2428"/>
      <c r="R32" s="1502"/>
      <c r="S32" s="1503"/>
      <c r="T32" s="1502"/>
      <c r="U32" s="1503"/>
      <c r="V32" s="1502"/>
      <c r="W32" s="1503"/>
      <c r="X32" s="1504"/>
      <c r="Y32" s="3515"/>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15"/>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5"/>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15"/>
      <c r="Q34" s="1506" t="str">
        <f t="shared" si="8"/>
        <v>毗邻道路的类型与等级</v>
      </c>
      <c r="R34" s="1507" t="s">
        <v>8</v>
      </c>
      <c r="S34" s="1508">
        <f t="shared" si="10"/>
        <v>100</v>
      </c>
      <c r="T34" s="1507" t="s">
        <v>8</v>
      </c>
      <c r="U34" s="1508">
        <f t="shared" si="11"/>
        <v>100</v>
      </c>
      <c r="V34" s="1507" t="s">
        <v>8</v>
      </c>
      <c r="W34" s="1508">
        <f t="shared" si="12"/>
        <v>100</v>
      </c>
      <c r="X34" s="1501"/>
      <c r="Y34" s="3515"/>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515"/>
      <c r="Q35" s="1506"/>
      <c r="R35" s="1507"/>
      <c r="S35" s="1508"/>
      <c r="T35" s="1507"/>
      <c r="U35" s="1508"/>
      <c r="V35" s="1507"/>
      <c r="W35" s="1508"/>
      <c r="X35" s="1501"/>
      <c r="Y35" s="3515"/>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5"/>
      <c r="Q36" s="1506" t="str">
        <f t="shared" si="8"/>
        <v>土地级别</v>
      </c>
      <c r="R36" s="1507" t="s">
        <v>8</v>
      </c>
      <c r="S36" s="1508">
        <f t="shared" si="10"/>
        <v>100</v>
      </c>
      <c r="T36" s="1507" t="s">
        <v>8</v>
      </c>
      <c r="U36" s="1508">
        <f t="shared" si="11"/>
        <v>100</v>
      </c>
      <c r="V36" s="1507" t="s">
        <v>8</v>
      </c>
      <c r="W36" s="1508">
        <f t="shared" si="12"/>
        <v>100</v>
      </c>
      <c r="X36" s="1501"/>
      <c r="Y36" s="3515"/>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5"/>
      <c r="Q37" s="1506">
        <f t="shared" si="8"/>
        <v>111</v>
      </c>
      <c r="R37" s="1507" t="s">
        <v>8</v>
      </c>
      <c r="S37" s="1508">
        <f t="shared" si="10"/>
        <v>100</v>
      </c>
      <c r="T37" s="1507" t="s">
        <v>8</v>
      </c>
      <c r="U37" s="1508">
        <f t="shared" si="11"/>
        <v>100</v>
      </c>
      <c r="V37" s="1507" t="s">
        <v>8</v>
      </c>
      <c r="W37" s="1508">
        <f t="shared" si="12"/>
        <v>100</v>
      </c>
      <c r="X37" s="1501"/>
      <c r="Y37" s="3515"/>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6" t="s">
        <v>544</v>
      </c>
      <c r="Q38" s="1506">
        <f t="shared" si="8"/>
        <v>111</v>
      </c>
      <c r="R38" s="1507" t="s">
        <v>8</v>
      </c>
      <c r="S38" s="1508">
        <f t="shared" si="10"/>
        <v>100</v>
      </c>
      <c r="T38" s="1507" t="s">
        <v>8</v>
      </c>
      <c r="U38" s="1508">
        <f t="shared" si="11"/>
        <v>100</v>
      </c>
      <c r="V38" s="1507" t="s">
        <v>8</v>
      </c>
      <c r="W38" s="1508">
        <f t="shared" si="12"/>
        <v>100</v>
      </c>
      <c r="X38" s="1501"/>
      <c r="Y38" s="3517"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7"/>
      <c r="Q39" s="1506">
        <f t="shared" si="8"/>
        <v>111</v>
      </c>
      <c r="R39" s="1511" t="s">
        <v>8</v>
      </c>
      <c r="S39" s="1512">
        <f t="shared" si="10"/>
        <v>100</v>
      </c>
      <c r="T39" s="1511" t="s">
        <v>8</v>
      </c>
      <c r="U39" s="1512">
        <f t="shared" si="11"/>
        <v>100</v>
      </c>
      <c r="V39" s="1511" t="s">
        <v>8</v>
      </c>
      <c r="W39" s="1512">
        <f t="shared" si="12"/>
        <v>100</v>
      </c>
      <c r="X39" s="1513"/>
      <c r="Y39" s="3517"/>
      <c r="Z39" s="1514">
        <f t="shared" si="13"/>
        <v>111</v>
      </c>
      <c r="AA39" s="1510">
        <f t="shared" si="3"/>
        <v>1</v>
      </c>
      <c r="AB39" s="1510">
        <f t="shared" si="4"/>
        <v>1</v>
      </c>
      <c r="AC39" s="1510">
        <f t="shared" si="5"/>
        <v>1</v>
      </c>
    </row>
    <row r="40" spans="1:29" ht="20.25">
      <c r="A40" s="2624" t="s">
        <v>2735</v>
      </c>
      <c r="B40" s="589" t="s">
        <v>546</v>
      </c>
      <c r="C40" s="590">
        <f>'数据-汇总表'!D3</f>
        <v>20854.2</v>
      </c>
      <c r="D40" s="591">
        <v>100</v>
      </c>
      <c r="E40" s="590">
        <f>土地案例!D28</f>
        <v>56956.800000000003</v>
      </c>
      <c r="F40" s="591">
        <f>LOOKUP(E40,119:119,120:120)-LOOKUP(C40,119:119,120:120)+100</f>
        <v>100</v>
      </c>
      <c r="G40" s="590">
        <f>土地案例!D33</f>
        <v>5992.4</v>
      </c>
      <c r="H40" s="591">
        <f>LOOKUP(G40,119:119,120:120)-LOOKUP(C40,119:119,120:120)+100</f>
        <v>98</v>
      </c>
      <c r="I40" s="592">
        <f>土地案例!D36</f>
        <v>2118.7800000000002</v>
      </c>
      <c r="J40" s="591">
        <f>LOOKUP(I40,119:119,120:120)-LOOKUP(C40,119:119,120:120)+100</f>
        <v>98</v>
      </c>
      <c r="K40" s="575"/>
      <c r="L40" s="2024"/>
      <c r="M40" s="2014"/>
      <c r="N40" s="2014"/>
      <c r="O40" s="2023"/>
      <c r="P40" s="3517"/>
      <c r="Q40" s="1506" t="str">
        <f>B40</f>
        <v>宗地面积</v>
      </c>
      <c r="R40" s="1507" t="s">
        <v>8</v>
      </c>
      <c r="S40" s="1508">
        <f t="shared" si="10"/>
        <v>100</v>
      </c>
      <c r="T40" s="1507" t="s">
        <v>8</v>
      </c>
      <c r="U40" s="1508">
        <f t="shared" si="11"/>
        <v>98</v>
      </c>
      <c r="V40" s="1507" t="s">
        <v>8</v>
      </c>
      <c r="W40" s="1508">
        <f t="shared" si="12"/>
        <v>98</v>
      </c>
      <c r="X40" s="1501"/>
      <c r="Y40" s="3517"/>
      <c r="Z40" s="1509" t="str">
        <f t="shared" si="13"/>
        <v>宗地面积</v>
      </c>
      <c r="AA40" s="1510">
        <f t="shared" si="3"/>
        <v>1</v>
      </c>
      <c r="AB40" s="1510">
        <f t="shared" si="4"/>
        <v>1.0204081632653061</v>
      </c>
      <c r="AC40" s="1510">
        <f t="shared" si="5"/>
        <v>1.0204081632653061</v>
      </c>
    </row>
    <row r="41" spans="1:29" ht="20.25">
      <c r="A41" s="588"/>
      <c r="B41" s="521" t="s">
        <v>547</v>
      </c>
      <c r="C41" s="593" t="s">
        <v>3198</v>
      </c>
      <c r="D41" s="534">
        <v>100</v>
      </c>
      <c r="E41" s="593" t="s">
        <v>3198</v>
      </c>
      <c r="F41" s="534">
        <f>SUMIF(121:121,E41,122:122)-SUMIF(121:121,C41,122:122)+100</f>
        <v>100</v>
      </c>
      <c r="G41" s="593" t="s">
        <v>3198</v>
      </c>
      <c r="H41" s="534">
        <f>SUMIF(121:121,G41,122:122)-SUMIF(121:121,C41,122:122)+100</f>
        <v>100</v>
      </c>
      <c r="I41" s="593" t="s">
        <v>3198</v>
      </c>
      <c r="J41" s="534">
        <f>SUMIF(121:121,I41,122:122)-SUMIF(121:121,C41,122:122)+100</f>
        <v>100</v>
      </c>
      <c r="K41" s="578">
        <v>2</v>
      </c>
      <c r="L41" s="2024"/>
      <c r="M41" s="2014"/>
      <c r="N41" s="2014"/>
      <c r="O41" s="2023"/>
      <c r="P41" s="3517"/>
      <c r="Q41" s="1506" t="str">
        <f t="shared" ref="Q41:Q47" si="14">B41</f>
        <v>宗地形状</v>
      </c>
      <c r="R41" s="1507" t="s">
        <v>8</v>
      </c>
      <c r="S41" s="1508">
        <f t="shared" si="10"/>
        <v>100</v>
      </c>
      <c r="T41" s="1507" t="s">
        <v>8</v>
      </c>
      <c r="U41" s="1508">
        <f t="shared" si="11"/>
        <v>100</v>
      </c>
      <c r="V41" s="1507" t="s">
        <v>8</v>
      </c>
      <c r="W41" s="1508">
        <f t="shared" si="12"/>
        <v>100</v>
      </c>
      <c r="X41" s="1501"/>
      <c r="Y41" s="3517"/>
      <c r="Z41" s="1509" t="str">
        <f t="shared" si="13"/>
        <v>宗地形状</v>
      </c>
      <c r="AA41" s="1510">
        <f t="shared" si="3"/>
        <v>1</v>
      </c>
      <c r="AB41" s="1510">
        <f t="shared" si="4"/>
        <v>1</v>
      </c>
      <c r="AC41" s="1510">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7"/>
      <c r="Q42" s="1506" t="str">
        <f t="shared" si="14"/>
        <v>临街宽度及深度</v>
      </c>
      <c r="R42" s="1507" t="s">
        <v>8</v>
      </c>
      <c r="S42" s="1508">
        <f t="shared" si="10"/>
        <v>100</v>
      </c>
      <c r="T42" s="1507" t="s">
        <v>8</v>
      </c>
      <c r="U42" s="1508">
        <f t="shared" si="11"/>
        <v>100</v>
      </c>
      <c r="V42" s="1507" t="s">
        <v>8</v>
      </c>
      <c r="W42" s="1508">
        <f t="shared" si="12"/>
        <v>100</v>
      </c>
      <c r="X42" s="1501"/>
      <c r="Y42" s="3517"/>
      <c r="Z42" s="1509" t="str">
        <f t="shared" si="13"/>
        <v>临街宽度及深度</v>
      </c>
      <c r="AA42" s="1510">
        <f t="shared" si="3"/>
        <v>1</v>
      </c>
      <c r="AB42" s="1510">
        <f t="shared" si="4"/>
        <v>1</v>
      </c>
      <c r="AC42" s="1510">
        <f t="shared" si="5"/>
        <v>1</v>
      </c>
    </row>
    <row r="43" spans="1:29" s="1202" customFormat="1" ht="20.25">
      <c r="A43" s="594"/>
      <c r="B43" s="1809" t="s">
        <v>2409</v>
      </c>
      <c r="C43" s="595" t="s">
        <v>3193</v>
      </c>
      <c r="D43" s="253">
        <v>100</v>
      </c>
      <c r="E43" s="595" t="s">
        <v>3193</v>
      </c>
      <c r="F43" s="534">
        <f>SUMIF(125:125,E43,126:126)-SUMIF(125:125,C43,126:126)+100</f>
        <v>100</v>
      </c>
      <c r="G43" s="595" t="s">
        <v>3193</v>
      </c>
      <c r="H43" s="534">
        <f>SUMIF(125:125,G43,126:126)-SUMIF(125:125,C43,126:126)+100</f>
        <v>100</v>
      </c>
      <c r="I43" s="595" t="s">
        <v>3193</v>
      </c>
      <c r="J43" s="534">
        <f>SUMIF(125:125,I43,126:126)-SUMIF(125:125,C43,126:126)+100</f>
        <v>100</v>
      </c>
      <c r="K43" s="578">
        <v>2</v>
      </c>
      <c r="L43" s="2017"/>
      <c r="M43" s="2014"/>
      <c r="N43" s="2014"/>
      <c r="O43" s="2019"/>
      <c r="P43" s="3517"/>
      <c r="Q43" s="1506" t="str">
        <f t="shared" si="14"/>
        <v>宗地开发程度</v>
      </c>
      <c r="R43" s="1502" t="s">
        <v>8</v>
      </c>
      <c r="S43" s="1503">
        <f t="shared" si="10"/>
        <v>100</v>
      </c>
      <c r="T43" s="1502" t="s">
        <v>8</v>
      </c>
      <c r="U43" s="1503">
        <f t="shared" si="11"/>
        <v>100</v>
      </c>
      <c r="V43" s="1502" t="s">
        <v>8</v>
      </c>
      <c r="W43" s="1503">
        <f t="shared" si="12"/>
        <v>100</v>
      </c>
      <c r="X43" s="1504"/>
      <c r="Y43" s="3517"/>
      <c r="Z43" s="1132" t="str">
        <f t="shared" si="13"/>
        <v>宗地开发程度</v>
      </c>
      <c r="AA43" s="1505">
        <f t="shared" si="3"/>
        <v>1</v>
      </c>
      <c r="AB43" s="1505">
        <f t="shared" si="4"/>
        <v>1</v>
      </c>
      <c r="AC43" s="1505">
        <f t="shared" si="5"/>
        <v>1</v>
      </c>
    </row>
    <row r="44" spans="1:29" ht="20.25">
      <c r="A44" s="588"/>
      <c r="B44" s="521" t="s">
        <v>549</v>
      </c>
      <c r="C44" s="593" t="s">
        <v>3193</v>
      </c>
      <c r="D44" s="534">
        <v>100</v>
      </c>
      <c r="E44" s="593" t="s">
        <v>3193</v>
      </c>
      <c r="F44" s="534">
        <f>SUMIF(127:127,E44,128:128)-SUMIF(127:127,C44,128:128)+100</f>
        <v>100</v>
      </c>
      <c r="G44" s="593" t="s">
        <v>3193</v>
      </c>
      <c r="H44" s="534">
        <f>SUMIF(127:127,G44,128:128)-SUMIF(127:127,C44,128:128)+100</f>
        <v>100</v>
      </c>
      <c r="I44" s="593" t="s">
        <v>3193</v>
      </c>
      <c r="J44" s="534">
        <f>SUMIF(127:127,I44,128:128)-SUMIF(127:127,C44,128:128)+100</f>
        <v>100</v>
      </c>
      <c r="K44" s="578">
        <v>2</v>
      </c>
      <c r="L44" s="2024"/>
      <c r="M44" s="2014"/>
      <c r="N44" s="2014"/>
      <c r="O44" s="2023"/>
      <c r="P44" s="3517" t="s">
        <v>544</v>
      </c>
      <c r="Q44" s="1506" t="str">
        <f t="shared" si="14"/>
        <v>工程地质条件</v>
      </c>
      <c r="R44" s="1507" t="s">
        <v>8</v>
      </c>
      <c r="S44" s="1508">
        <f t="shared" si="10"/>
        <v>100</v>
      </c>
      <c r="T44" s="1507" t="s">
        <v>8</v>
      </c>
      <c r="U44" s="1508">
        <f t="shared" si="11"/>
        <v>100</v>
      </c>
      <c r="V44" s="1507" t="s">
        <v>8</v>
      </c>
      <c r="W44" s="1508">
        <f t="shared" si="12"/>
        <v>100</v>
      </c>
      <c r="X44" s="1501"/>
      <c r="Y44" s="3517"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7"/>
      <c r="Q45" s="1506">
        <f t="shared" si="14"/>
        <v>111</v>
      </c>
      <c r="R45" s="1507" t="s">
        <v>8</v>
      </c>
      <c r="S45" s="1508">
        <f t="shared" si="10"/>
        <v>100</v>
      </c>
      <c r="T45" s="1507" t="s">
        <v>8</v>
      </c>
      <c r="U45" s="1508">
        <f t="shared" si="11"/>
        <v>100</v>
      </c>
      <c r="V45" s="1507" t="s">
        <v>8</v>
      </c>
      <c r="W45" s="1508">
        <f t="shared" si="12"/>
        <v>100</v>
      </c>
      <c r="X45" s="1501"/>
      <c r="Y45" s="3517"/>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7"/>
      <c r="Q46" s="1506">
        <f t="shared" si="14"/>
        <v>111</v>
      </c>
      <c r="R46" s="1507" t="s">
        <v>8</v>
      </c>
      <c r="S46" s="1508">
        <f t="shared" si="10"/>
        <v>100</v>
      </c>
      <c r="T46" s="1507" t="s">
        <v>8</v>
      </c>
      <c r="U46" s="1508">
        <f t="shared" si="11"/>
        <v>100</v>
      </c>
      <c r="V46" s="1507" t="s">
        <v>8</v>
      </c>
      <c r="W46" s="1508">
        <f t="shared" si="12"/>
        <v>100</v>
      </c>
      <c r="X46" s="1501"/>
      <c r="Y46" s="3517"/>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7"/>
      <c r="Q47" s="1506">
        <f t="shared" si="14"/>
        <v>111</v>
      </c>
      <c r="R47" s="1511" t="s">
        <v>8</v>
      </c>
      <c r="S47" s="1512">
        <f t="shared" si="10"/>
        <v>100</v>
      </c>
      <c r="T47" s="1511" t="s">
        <v>8</v>
      </c>
      <c r="U47" s="1512">
        <f t="shared" si="11"/>
        <v>100</v>
      </c>
      <c r="V47" s="1511" t="s">
        <v>8</v>
      </c>
      <c r="W47" s="1512">
        <f t="shared" si="12"/>
        <v>100</v>
      </c>
      <c r="X47" s="1513"/>
      <c r="Y47" s="3517"/>
      <c r="Z47" s="1514">
        <f t="shared" si="13"/>
        <v>111</v>
      </c>
      <c r="AA47" s="1510">
        <f t="shared" si="3"/>
        <v>1</v>
      </c>
      <c r="AB47" s="1510">
        <f t="shared" si="4"/>
        <v>1</v>
      </c>
      <c r="AC47" s="1510">
        <f t="shared" si="5"/>
        <v>1</v>
      </c>
    </row>
    <row r="48" spans="1:29" ht="20.25">
      <c r="A48" s="601" t="s">
        <v>550</v>
      </c>
      <c r="B48" s="602" t="s">
        <v>3195</v>
      </c>
      <c r="C48" s="603" t="s">
        <v>1</v>
      </c>
      <c r="D48" s="604"/>
      <c r="E48" s="605">
        <f>ROUND(土地案例!M28,0)</f>
        <v>2143</v>
      </c>
      <c r="F48" s="606"/>
      <c r="G48" s="607">
        <f>ROUND(土地案例!M33,0)</f>
        <v>2024</v>
      </c>
      <c r="H48" s="608"/>
      <c r="I48" s="605">
        <f>ROUND(土地案例!M36,0)</f>
        <v>1757</v>
      </c>
      <c r="J48" s="608"/>
      <c r="K48" s="1293"/>
      <c r="L48" s="2026"/>
      <c r="M48" s="2014"/>
      <c r="N48" s="2014"/>
      <c r="O48" s="2027"/>
      <c r="P48" s="3479" t="str">
        <f>A48</f>
        <v>成交单价</v>
      </c>
      <c r="Q48" s="3479"/>
      <c r="R48" s="3480">
        <f>E48</f>
        <v>2143</v>
      </c>
      <c r="S48" s="3480"/>
      <c r="T48" s="3480">
        <f>G48</f>
        <v>2024</v>
      </c>
      <c r="U48" s="3480"/>
      <c r="V48" s="3480">
        <f>I48</f>
        <v>1757</v>
      </c>
      <c r="W48" s="3480"/>
      <c r="X48" s="1496"/>
      <c r="Y48" s="1515"/>
      <c r="Z48" s="1496"/>
      <c r="AA48" s="1496"/>
      <c r="AB48" s="1496"/>
      <c r="AC48" s="1496"/>
    </row>
    <row r="49" spans="1:29" ht="21" thickBot="1">
      <c r="A49" s="609" t="s">
        <v>2673</v>
      </c>
      <c r="B49" s="610"/>
      <c r="C49" s="611">
        <f>R50</f>
        <v>1759</v>
      </c>
      <c r="D49" s="3014" t="s">
        <v>2969</v>
      </c>
      <c r="E49" s="611">
        <f>R49</f>
        <v>1897</v>
      </c>
      <c r="F49" s="3015"/>
      <c r="G49" s="612">
        <f>T49</f>
        <v>1793</v>
      </c>
      <c r="H49" s="3015"/>
      <c r="I49" s="611">
        <f>V49</f>
        <v>1588</v>
      </c>
      <c r="J49" s="3015"/>
      <c r="K49" s="3016">
        <f>F49+H49+J49</f>
        <v>0</v>
      </c>
      <c r="L49" s="2026"/>
      <c r="M49" s="2014"/>
      <c r="N49" s="2014"/>
      <c r="O49" s="2027"/>
      <c r="P49" s="3479" t="str">
        <f>A49</f>
        <v>比较价格（元/平方米）</v>
      </c>
      <c r="Q49" s="3479"/>
      <c r="R49" s="3481">
        <f>ROUND(PRODUCT(R48,AA9:AA47),0)</f>
        <v>1897</v>
      </c>
      <c r="S49" s="3481"/>
      <c r="T49" s="3481">
        <f>ROUND(PRODUCT(T48,AB9:AB47),0)</f>
        <v>1793</v>
      </c>
      <c r="U49" s="3481"/>
      <c r="V49" s="3481">
        <f>ROUND(PRODUCT(V48,AC9:AC47),0)</f>
        <v>1588</v>
      </c>
      <c r="W49" s="3481"/>
      <c r="X49" s="1496"/>
      <c r="Y49" s="1496"/>
      <c r="Z49" s="1496"/>
      <c r="AA49" s="1496"/>
      <c r="AB49" s="1496"/>
      <c r="AC49" s="1496"/>
    </row>
    <row r="50" spans="1:29" ht="21" thickBot="1">
      <c r="A50" s="613" t="s">
        <v>2901</v>
      </c>
      <c r="B50" s="614"/>
      <c r="C50" s="615">
        <f>R50</f>
        <v>1759</v>
      </c>
      <c r="D50" s="615"/>
      <c r="E50" s="615"/>
      <c r="F50" s="615"/>
      <c r="G50" s="615"/>
      <c r="H50" s="615"/>
      <c r="I50" s="615"/>
      <c r="J50" s="615"/>
      <c r="K50" s="1294"/>
      <c r="L50" s="2026"/>
      <c r="M50" s="2014"/>
      <c r="N50" s="2014"/>
      <c r="O50" s="2027"/>
      <c r="P50" s="3476" t="str">
        <f>A50</f>
        <v>估价对象XX用房的比较价格（楼面单价，元/平方米）</v>
      </c>
      <c r="Q50" s="3477"/>
      <c r="R50" s="3478">
        <f>ROUND(IF(D49="简单平均",AVERAGE(R49:W49),R49*F49+T49*H49+V49*J49),0)</f>
        <v>1759</v>
      </c>
      <c r="S50" s="3478"/>
      <c r="T50" s="3478"/>
      <c r="U50" s="3478"/>
      <c r="V50" s="3478"/>
      <c r="W50" s="3478"/>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0.12967843964153936</v>
      </c>
      <c r="F53" s="619" t="str">
        <f>IF(OR(E53&gt;=0.3,E53&lt;=-0.3),"超过30%","")</f>
        <v/>
      </c>
      <c r="G53" s="618">
        <f>IF(G48&lt;G49,G49/G48-1,G48/G49-1)</f>
        <v>0.12883435582822078</v>
      </c>
      <c r="H53" s="619" t="str">
        <f>IF(OR(G53&gt;=0.3,G53&lt;=-0.3),"超过30%","")</f>
        <v/>
      </c>
      <c r="I53" s="618">
        <f>IF(I48&lt;I49,I49/I48-1,I48/I49-1)</f>
        <v>0.10642317380352639</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5.8003346346904738E-2</v>
      </c>
      <c r="F54" s="619" t="str">
        <f>IF(OR(E54&gt;=0.2,E54&lt;=-0.2),"超过20%","")</f>
        <v/>
      </c>
      <c r="G54" s="618">
        <f>IF(G49&lt;I49,I49/G49-1,G49/I49-1)</f>
        <v>0.12909319899244331</v>
      </c>
      <c r="H54" s="619" t="str">
        <f>IF(OR(G54&gt;=0.2,G54&lt;=-0.2),"超过20%","")</f>
        <v/>
      </c>
      <c r="I54" s="618">
        <f>IF(I49&lt;E49,E49/I49-1,I49/E49-1)</f>
        <v>0.19458438287153657</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5.8794466403162104E-2</v>
      </c>
      <c r="F55" s="619" t="str">
        <f>IF(OR(E55&gt;=0.3,E55&lt;=-0.3),"超过30%","")</f>
        <v/>
      </c>
      <c r="G55" s="618">
        <f>IF(G48&lt;I48,I48/G48-1,G48/I48-1)</f>
        <v>0.15196357427433127</v>
      </c>
      <c r="H55" s="619" t="str">
        <f>IF(OR(G55&gt;=0.3,G55&lt;=-0.3),"超过30%","")</f>
        <v/>
      </c>
      <c r="I55" s="618">
        <f>IF(I48&lt;E48,E48/I48-1,I48/E48-1)</f>
        <v>0.21969265793966986</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06" t="s">
        <v>2269</v>
      </c>
      <c r="H57" s="3507"/>
      <c r="I57" s="1493" t="s">
        <v>1713</v>
      </c>
      <c r="J57" s="1493" t="str">
        <f>项目基本情况!F41</f>
        <v>江苏省镇江市</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1759</v>
      </c>
      <c r="C58" s="627">
        <v>1</v>
      </c>
      <c r="D58" s="2108">
        <v>1</v>
      </c>
      <c r="E58" s="627">
        <f>'数据-汇总表'!E8+'数据-汇总表'!E9</f>
        <v>72989.7</v>
      </c>
      <c r="F58" s="628">
        <f t="shared" ref="F58:F67" si="15">ROUND(B58*E58/10000,0)</f>
        <v>12839</v>
      </c>
      <c r="G58" s="3508"/>
      <c r="H58" s="3509"/>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0" t="s">
        <v>2270</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0"/>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0"/>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0"/>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72989.7</v>
      </c>
      <c r="F68" s="636">
        <f>IF(B48="楼面地价",SUM(F58:F67),ROUND(C50*E68/10000,0))</f>
        <v>12839</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北京市平均增长率1.68%</v>
      </c>
      <c r="C73" s="882">
        <v>100</v>
      </c>
      <c r="D73" s="722">
        <f>C73-0.5</f>
        <v>99.5</v>
      </c>
      <c r="E73" s="722">
        <f t="shared" ref="E73:L73" si="20">D73-0.5</f>
        <v>99</v>
      </c>
      <c r="F73" s="722">
        <f t="shared" si="20"/>
        <v>98.5</v>
      </c>
      <c r="G73" s="722">
        <f t="shared" si="20"/>
        <v>98</v>
      </c>
      <c r="H73" s="722">
        <f t="shared" si="20"/>
        <v>97.5</v>
      </c>
      <c r="I73" s="722">
        <f t="shared" si="20"/>
        <v>97</v>
      </c>
      <c r="J73" s="722">
        <f t="shared" si="20"/>
        <v>96.5</v>
      </c>
      <c r="K73" s="722">
        <f t="shared" si="20"/>
        <v>96</v>
      </c>
      <c r="L73" s="722">
        <f t="shared" si="20"/>
        <v>95.5</v>
      </c>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93" t="s">
        <v>3196</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95</v>
      </c>
      <c r="E91" s="671">
        <f>D91-$K17</f>
        <v>90</v>
      </c>
      <c r="F91" s="671">
        <f>E91-$K17</f>
        <v>85</v>
      </c>
      <c r="G91" s="671">
        <f>F91-$K17</f>
        <v>80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99</v>
      </c>
      <c r="E101" s="671">
        <f>D101-$K27</f>
        <v>98</v>
      </c>
      <c r="F101" s="671">
        <f>E101-$K27</f>
        <v>97</v>
      </c>
      <c r="G101" s="671">
        <f>F101-$K27</f>
        <v>96</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0(含)-20000</v>
      </c>
      <c r="D118" s="696" t="str">
        <f t="shared" si="26"/>
        <v>20000(含)-60000</v>
      </c>
      <c r="E118" s="696" t="str">
        <f t="shared" si="26"/>
        <v>60000(含)-100000</v>
      </c>
      <c r="F118" s="696" t="str">
        <f t="shared" si="26"/>
        <v>100000(含)-</v>
      </c>
      <c r="G118" s="696" t="str">
        <f t="shared" si="26"/>
        <v>(含)-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60000</v>
      </c>
      <c r="F119" s="722">
        <v>100000</v>
      </c>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98</v>
      </c>
      <c r="D120" s="718">
        <v>100</v>
      </c>
      <c r="E120" s="718">
        <v>98</v>
      </c>
      <c r="F120" s="718">
        <v>96</v>
      </c>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3199</v>
      </c>
      <c r="D121" s="3294" t="s">
        <v>3200</v>
      </c>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3201</v>
      </c>
      <c r="D125" s="1326" t="s">
        <v>3202</v>
      </c>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9">D126-$K43</f>
        <v>96</v>
      </c>
      <c r="F126" s="671">
        <f t="shared" si="29"/>
        <v>94</v>
      </c>
      <c r="G126" s="671">
        <f t="shared" si="29"/>
        <v>92</v>
      </c>
      <c r="H126" s="671">
        <f t="shared" si="29"/>
        <v>90</v>
      </c>
      <c r="I126" s="671">
        <f t="shared" si="29"/>
        <v>88</v>
      </c>
      <c r="J126" s="671">
        <f t="shared" si="29"/>
        <v>86</v>
      </c>
      <c r="K126" s="671">
        <f t="shared" si="29"/>
        <v>84</v>
      </c>
      <c r="L126" s="671">
        <f t="shared" si="29"/>
        <v>82</v>
      </c>
      <c r="M126" s="672">
        <f t="shared" si="29"/>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1326" t="s">
        <v>3201</v>
      </c>
      <c r="D127" s="1326" t="s">
        <v>3202</v>
      </c>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98</v>
      </c>
      <c r="E128" s="671">
        <f t="shared" si="30"/>
        <v>96</v>
      </c>
      <c r="F128" s="671">
        <f t="shared" si="30"/>
        <v>94</v>
      </c>
      <c r="G128" s="671">
        <f t="shared" si="30"/>
        <v>92</v>
      </c>
      <c r="H128" s="671">
        <f t="shared" si="30"/>
        <v>90</v>
      </c>
      <c r="I128" s="671">
        <f t="shared" si="30"/>
        <v>88</v>
      </c>
      <c r="J128" s="671">
        <f t="shared" si="30"/>
        <v>86</v>
      </c>
      <c r="K128" s="671">
        <f t="shared" si="30"/>
        <v>84</v>
      </c>
      <c r="L128" s="671">
        <f t="shared" si="30"/>
        <v>82</v>
      </c>
      <c r="M128" s="672">
        <f t="shared" si="30"/>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80" zoomScaleNormal="80" zoomScaleSheetLayoutView="80" workbookViewId="0">
      <selection activeCell="D8" sqref="D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13245</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1815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6351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423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50157.21</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914</v>
      </c>
      <c r="D7" s="430" t="s">
        <v>3012</v>
      </c>
      <c r="E7" s="430"/>
      <c r="F7" s="430"/>
      <c r="G7" s="430"/>
      <c r="H7" s="430"/>
      <c r="I7" s="430"/>
      <c r="J7" s="430"/>
      <c r="K7" s="431"/>
      <c r="AA7" s="1994"/>
      <c r="AB7" s="1994"/>
      <c r="AC7" s="1994"/>
      <c r="AD7" s="1994"/>
      <c r="AE7" s="1994"/>
    </row>
    <row r="8" spans="1:31" s="1997" customFormat="1" ht="13.5" customHeight="1">
      <c r="A8" s="793" t="s">
        <v>1836</v>
      </c>
      <c r="B8" s="259" t="s">
        <v>466</v>
      </c>
      <c r="C8" s="2551">
        <f>ROUND('不动产比较法-住宅'!C48,0)</f>
        <v>6945</v>
      </c>
      <c r="D8" s="2551">
        <f ca="1">不动产收益法!B3</f>
        <v>6213</v>
      </c>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65690.73</v>
      </c>
      <c r="D9" s="435">
        <f>SUMIF('数据-汇总表'!$C19:$C33,'剩余法-待开发'!D7,'数据-汇总表'!$E19:$E33)</f>
        <v>7298.9700000000012</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ROUND(C8*C9/10000,2)</f>
        <v>45622.21</v>
      </c>
      <c r="D10" s="2742">
        <f ca="1">不动产收益法!B2</f>
        <v>4535</v>
      </c>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18978</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569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854</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1460</v>
      </c>
      <c r="D16" s="2561">
        <f ca="1">IF(B1="",'数据-汇总表'!E3,INDIRECT("'数据-取费表'!K"&amp;$K$1)+INDIRECT("'数据-取费表'!S"&amp;$K$1))</f>
        <v>72989.7</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285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22146</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1460</v>
      </c>
      <c r="D19" s="2571">
        <f ca="1">D16</f>
        <v>72989.7</v>
      </c>
      <c r="E19" s="2525">
        <f>'数据-取费表'!B32</f>
        <v>200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767</v>
      </c>
      <c r="D20" s="2571"/>
      <c r="E20" s="2525"/>
      <c r="F20" s="2572"/>
      <c r="G20" s="2776" t="s">
        <v>3026</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690</v>
      </c>
      <c r="D21" s="2561">
        <f ca="1">IF(B1="",'数据-汇总表'!E5,IF(INDIRECT("'数据-取费表'!c"&amp;$K$1)="住宅",INDIRECT("'数据-取费表'!k"&amp;$K$1),0))</f>
        <v>65690.73</v>
      </c>
      <c r="E21" s="53">
        <f>'数据-取费表'!B27</f>
        <v>105</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77</v>
      </c>
      <c r="D22" s="2561">
        <f ca="1">IF(B1="",'数据-汇总表'!E6,IF(INDIRECT("'数据-取费表'!c"&amp;$K$1)="住宅",INDIRECT("'数据-取费表'!s"&amp;$K$1),INDIRECT("'数据-取费表'!k"&amp;$K$1)+INDIRECT("'数据-取费表'!s"&amp;$K$1)))</f>
        <v>7298.9700000000012</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487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 ca="1">ROUND(C6*F24,0)</f>
        <v>1003</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996</v>
      </c>
      <c r="D26" s="461">
        <f ca="1">C27</f>
        <v>8.0799999999999997E-2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8.0799999999999997E-2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996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2675</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1854</v>
      </c>
      <c r="B30" s="2579" t="s">
        <v>494</v>
      </c>
      <c r="C30" s="2574">
        <f ca="1">C31</f>
        <v>29534</v>
      </c>
      <c r="D30" s="471">
        <f ca="1">C32</f>
        <v>0.10979999999999999</v>
      </c>
      <c r="E30" s="463" t="s">
        <v>489</v>
      </c>
      <c r="F30" s="465"/>
      <c r="G30" s="2537" t="s">
        <v>2934</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29534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0.10979999999999999</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3879</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0.15440000000000001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1848</v>
      </c>
      <c r="B35" s="2746" t="s">
        <v>2818</v>
      </c>
      <c r="C35" s="1556">
        <f ca="1">ROUND((C18+C19+C20+C23+C24)*F33,0)</f>
        <v>3879</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13245</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3" t="str">
        <f>项目基本情况!B1</f>
        <v>江苏省镇江市扬中市油坊镇出让国有建设用地使用权抵押价格预评估</v>
      </c>
      <c r="C37" s="3303"/>
      <c r="D37" s="3303"/>
      <c r="E37" s="3303"/>
      <c r="F37" s="3303"/>
      <c r="G37" s="3303"/>
      <c r="H37" s="3303"/>
      <c r="I37" s="3303"/>
    </row>
    <row r="38" spans="1:9">
      <c r="A38" s="1584"/>
      <c r="B38" s="1584"/>
    </row>
    <row r="39" spans="1:9">
      <c r="A39" s="1582" t="s">
        <v>1892</v>
      </c>
      <c r="B39" s="1582" t="s">
        <v>2035</v>
      </c>
    </row>
    <row r="40" spans="1:9">
      <c r="A40" s="1582"/>
      <c r="B40" s="1582" t="str">
        <f>项目基本情况!B5</f>
        <v>扬中绿洲新城实业集团有限公司</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1839</v>
      </c>
      <c r="B13" s="443" t="s">
        <v>473</v>
      </c>
      <c r="C13" s="444">
        <f ca="1">IF(B1="",'数据-取费表'!M16,INDIRECT("'数据-取费表'!M"&amp;$K$1)+INDIRECT("'数据-取费表'!t"&amp;$K$1))</f>
        <v>18978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569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854</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1460</v>
      </c>
      <c r="D16" s="445">
        <f ca="1">IF(B1="",'数据-汇总表'!E3,INDIRECT("'数据-取费表'!K"&amp;$K$1)+INDIRECT("'数据-取费表'!S"&amp;$K$1))</f>
        <v>72989.7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285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22146</v>
      </c>
      <c r="D18" s="455"/>
      <c r="E18" s="456"/>
      <c r="F18" s="456"/>
      <c r="G18" s="1280"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1845</v>
      </c>
      <c r="B19" s="453" t="s">
        <v>487</v>
      </c>
      <c r="C19" s="454">
        <f ca="1">ROUND(C18*F19,0)</f>
        <v>443</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1849</v>
      </c>
      <c r="B21" s="455" t="s">
        <v>488</v>
      </c>
      <c r="C21" s="464">
        <f ca="1">C22</f>
        <v>870</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1" t="s">
        <v>1839</v>
      </c>
      <c r="B22" s="1281" t="s">
        <v>2419</v>
      </c>
      <c r="C22" s="481">
        <f ca="1">ROUND(IF('数据-取费表'!B22&lt;=1,(C18+C19)*F21*'数据-取费表'!B20/2,(C18+C19)*(POWER((1+F21),'数据-取费表'!B20/2)-1)),0)</f>
        <v>870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1840</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1850</v>
      </c>
      <c r="B24" s="2745" t="s">
        <v>2811</v>
      </c>
      <c r="C24" s="472">
        <f ca="1">C25</f>
        <v>3388</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1839</v>
      </c>
      <c r="B25" s="1281" t="s">
        <v>2420</v>
      </c>
      <c r="C25" s="484">
        <f ca="1">ROUND((C18+C19)*F24,0)</f>
        <v>3388</v>
      </c>
      <c r="D25" s="466"/>
      <c r="E25" s="467"/>
      <c r="F25" s="474"/>
      <c r="G25" s="1279"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1840</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1858</v>
      </c>
      <c r="B27" s="453" t="s">
        <v>505</v>
      </c>
      <c r="C27" s="2744">
        <f>ROUND(F27/(1+'数据-取费表'!C42),4)</f>
        <v>5.33E-2</v>
      </c>
      <c r="D27" s="456" t="s">
        <v>2809</v>
      </c>
      <c r="E27" s="456"/>
      <c r="F27" s="460">
        <f>'数据-取费表'!B41</f>
        <v>5.6000000000000001E-2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1859</v>
      </c>
      <c r="B28" s="470" t="s">
        <v>506</v>
      </c>
      <c r="C28" s="464">
        <f ca="1">ROUND((C18+C19+C21+C24)/(1-C20-D21-D24-C27),0)</f>
        <v>29090</v>
      </c>
      <c r="D28" s="471"/>
      <c r="E28" s="463"/>
      <c r="F28" s="465"/>
      <c r="G28" s="1280"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2935</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85" t="s">
        <v>516</v>
      </c>
      <c r="D6" s="3486"/>
      <c r="E6" s="3520" t="s">
        <v>517</v>
      </c>
      <c r="F6" s="3521"/>
      <c r="G6" s="3485" t="s">
        <v>518</v>
      </c>
      <c r="H6" s="3486"/>
      <c r="I6" s="3485" t="s">
        <v>519</v>
      </c>
      <c r="J6" s="3486"/>
      <c r="K6" s="508" t="s">
        <v>520</v>
      </c>
      <c r="L6" s="2015"/>
      <c r="M6" s="2016"/>
      <c r="N6" s="2016"/>
      <c r="O6" s="2016"/>
      <c r="P6" s="3487" t="s">
        <v>521</v>
      </c>
      <c r="Q6" s="3488"/>
      <c r="R6" s="3493" t="s">
        <v>517</v>
      </c>
      <c r="S6" s="3494"/>
      <c r="T6" s="3493" t="s">
        <v>518</v>
      </c>
      <c r="U6" s="3494"/>
      <c r="V6" s="3480" t="s">
        <v>519</v>
      </c>
      <c r="W6" s="3480"/>
      <c r="X6" s="1501"/>
      <c r="Y6" s="3493" t="s">
        <v>521</v>
      </c>
      <c r="Z6" s="3494"/>
      <c r="AA6" s="3482" t="s">
        <v>517</v>
      </c>
      <c r="AB6" s="3483" t="s">
        <v>518</v>
      </c>
      <c r="AC6" s="3482" t="s">
        <v>519</v>
      </c>
    </row>
    <row r="7" spans="1:29" ht="15">
      <c r="A7" s="509"/>
      <c r="B7" s="510"/>
      <c r="C7" s="3501" t="s">
        <v>2895</v>
      </c>
      <c r="D7" s="3502"/>
      <c r="E7" s="3522" t="s">
        <v>2896</v>
      </c>
      <c r="F7" s="3523"/>
      <c r="G7" s="3501" t="s">
        <v>2897</v>
      </c>
      <c r="H7" s="3502"/>
      <c r="I7" s="3501" t="s">
        <v>2898</v>
      </c>
      <c r="J7" s="3502"/>
      <c r="K7" s="508"/>
      <c r="L7" s="2015"/>
      <c r="M7" s="2016"/>
      <c r="N7" s="2016"/>
      <c r="O7" s="2016"/>
      <c r="P7" s="3489"/>
      <c r="Q7" s="3490"/>
      <c r="R7" s="3495"/>
      <c r="S7" s="3496"/>
      <c r="T7" s="3495"/>
      <c r="U7" s="3496"/>
      <c r="V7" s="3480"/>
      <c r="W7" s="3480"/>
      <c r="X7" s="1501"/>
      <c r="Y7" s="3495"/>
      <c r="Z7" s="3496"/>
      <c r="AA7" s="3483"/>
      <c r="AB7" s="3483"/>
      <c r="AC7" s="3483"/>
    </row>
    <row r="8" spans="1:29" ht="15.75" thickBot="1">
      <c r="A8" s="511"/>
      <c r="B8" s="512"/>
      <c r="C8" s="3499" t="s">
        <v>2899</v>
      </c>
      <c r="D8" s="3500"/>
      <c r="E8" s="3518" t="s">
        <v>2899</v>
      </c>
      <c r="F8" s="3519"/>
      <c r="G8" s="3499" t="s">
        <v>2899</v>
      </c>
      <c r="H8" s="3500"/>
      <c r="I8" s="3499" t="s">
        <v>2899</v>
      </c>
      <c r="J8" s="3500"/>
      <c r="K8" s="508" t="s">
        <v>522</v>
      </c>
      <c r="L8" s="2015"/>
      <c r="M8" s="2016"/>
      <c r="N8" s="2016"/>
      <c r="O8" s="2016"/>
      <c r="P8" s="3491"/>
      <c r="Q8" s="3492"/>
      <c r="R8" s="3495"/>
      <c r="S8" s="3496"/>
      <c r="T8" s="3497"/>
      <c r="U8" s="3498"/>
      <c r="V8" s="3480"/>
      <c r="W8" s="3480"/>
      <c r="X8" s="1501"/>
      <c r="Y8" s="3497"/>
      <c r="Z8" s="3498"/>
      <c r="AA8" s="3484"/>
      <c r="AB8" s="3484"/>
      <c r="AC8" s="3484"/>
    </row>
    <row r="9" spans="1:29" s="1202" customFormat="1" ht="15.75" thickBot="1">
      <c r="A9" s="2629"/>
      <c r="B9" s="2636" t="s">
        <v>523</v>
      </c>
      <c r="C9" s="513">
        <f>'数据-取费表'!B2</f>
        <v>44257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1" t="s">
        <v>524</v>
      </c>
      <c r="Q9" s="3513"/>
      <c r="R9" s="1502" t="s">
        <v>8</v>
      </c>
      <c r="S9" s="1503">
        <f t="shared" ref="S9:S17" si="0">F9</f>
        <v>0</v>
      </c>
      <c r="T9" s="1502" t="s">
        <v>8</v>
      </c>
      <c r="U9" s="1503">
        <f t="shared" ref="U9:U17" si="1">H9</f>
        <v>0</v>
      </c>
      <c r="V9" s="1502" t="s">
        <v>8</v>
      </c>
      <c r="W9" s="1503">
        <f t="shared" ref="W9:W17" si="2">J9</f>
        <v>0</v>
      </c>
      <c r="X9" s="1504"/>
      <c r="Y9" s="3511" t="s">
        <v>524</v>
      </c>
      <c r="Z9" s="3512"/>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1" t="s">
        <v>527</v>
      </c>
      <c r="Q10" s="3512"/>
      <c r="R10" s="1502" t="s">
        <v>8</v>
      </c>
      <c r="S10" s="1503">
        <f t="shared" si="0"/>
        <v>0</v>
      </c>
      <c r="T10" s="1502" t="s">
        <v>8</v>
      </c>
      <c r="U10" s="1503">
        <f t="shared" si="1"/>
        <v>0</v>
      </c>
      <c r="V10" s="1502" t="s">
        <v>8</v>
      </c>
      <c r="W10" s="1503">
        <f t="shared" si="2"/>
        <v>0</v>
      </c>
      <c r="X10" s="1504"/>
      <c r="Y10" s="3511" t="s">
        <v>527</v>
      </c>
      <c r="Z10" s="3512"/>
      <c r="AA10" s="1505" t="e">
        <f t="shared" ref="AA10:AA42" si="3">D10/F10</f>
        <v>#DIV/0!</v>
      </c>
      <c r="AB10" s="1505" t="e">
        <f t="shared" ref="AB10:AB42" si="4">D10/H10</f>
        <v>#DIV/0!</v>
      </c>
      <c r="AC10" s="1505" t="e">
        <f t="shared" ref="AC10:AC42" si="5">D10/J10</f>
        <v>#DIV/0!</v>
      </c>
    </row>
    <row r="11" spans="1:29" s="1202"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9" t="s">
        <v>529</v>
      </c>
      <c r="Q11" s="1133" t="str">
        <f t="shared" ref="Q11:Q17" si="6">B11</f>
        <v>用途</v>
      </c>
      <c r="R11" s="1502" t="s">
        <v>8</v>
      </c>
      <c r="S11" s="1503">
        <f t="shared" si="0"/>
        <v>100</v>
      </c>
      <c r="T11" s="1502" t="s">
        <v>8</v>
      </c>
      <c r="U11" s="1503">
        <f t="shared" si="1"/>
        <v>100</v>
      </c>
      <c r="V11" s="1502" t="s">
        <v>8</v>
      </c>
      <c r="W11" s="1503">
        <f t="shared" si="2"/>
        <v>100</v>
      </c>
      <c r="X11" s="1504"/>
      <c r="Y11" s="3425" t="s">
        <v>530</v>
      </c>
      <c r="Z11" s="1132" t="str">
        <f t="shared" ref="Z11:Z17" si="7">Q11</f>
        <v>用途</v>
      </c>
      <c r="AA11" s="1505">
        <f t="shared" si="3"/>
        <v>1</v>
      </c>
      <c r="AB11" s="1505">
        <f t="shared" si="4"/>
        <v>1</v>
      </c>
      <c r="AC11" s="1505">
        <f t="shared" si="5"/>
        <v>1</v>
      </c>
    </row>
    <row r="12" spans="1:29" s="1291" customFormat="1" ht="27">
      <c r="A12" s="2632"/>
      <c r="B12" s="2637" t="s">
        <v>2737</v>
      </c>
      <c r="C12" s="522"/>
      <c r="D12" s="253">
        <v>100</v>
      </c>
      <c r="E12" s="522"/>
      <c r="F12" s="253">
        <f>ROUND(100/'数据-取费表'!G16,0)</f>
        <v>102</v>
      </c>
      <c r="G12" s="522"/>
      <c r="H12" s="253">
        <f>ROUND(100/'数据-取费表'!G16,0)</f>
        <v>102</v>
      </c>
      <c r="I12" s="522"/>
      <c r="J12" s="253">
        <f>ROUND(100/'数据-取费表'!G16,0)</f>
        <v>102</v>
      </c>
      <c r="K12" s="525"/>
      <c r="L12" s="2020"/>
      <c r="M12" s="2059"/>
      <c r="N12" s="2059"/>
      <c r="O12" s="2021"/>
      <c r="P12" s="3479"/>
      <c r="Q12" s="1133" t="str">
        <f t="shared" si="6"/>
        <v>土地使用年限（年）</v>
      </c>
      <c r="R12" s="1502" t="s">
        <v>8</v>
      </c>
      <c r="S12" s="1503">
        <f t="shared" si="0"/>
        <v>102</v>
      </c>
      <c r="T12" s="1502" t="s">
        <v>8</v>
      </c>
      <c r="U12" s="1503">
        <f t="shared" si="1"/>
        <v>102</v>
      </c>
      <c r="V12" s="1502" t="s">
        <v>8</v>
      </c>
      <c r="W12" s="1503">
        <f t="shared" si="2"/>
        <v>102</v>
      </c>
      <c r="X12" s="1504"/>
      <c r="Y12" s="3425"/>
      <c r="Z12" s="1132" t="str">
        <f t="shared" si="7"/>
        <v>土地使用年限（年）</v>
      </c>
      <c r="AA12" s="1505">
        <f t="shared" si="3"/>
        <v>0.98039215686274506</v>
      </c>
      <c r="AB12" s="1505">
        <f t="shared" si="4"/>
        <v>0.98039215686274506</v>
      </c>
      <c r="AC12" s="1505">
        <f t="shared" si="5"/>
        <v>0.98039215686274506</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9"/>
      <c r="Q13" s="1133" t="str">
        <f t="shared" si="6"/>
        <v>容积率</v>
      </c>
      <c r="R13" s="1502" t="s">
        <v>8</v>
      </c>
      <c r="S13" s="1503" t="e">
        <f t="shared" si="0"/>
        <v>#N/A</v>
      </c>
      <c r="T13" s="1502" t="s">
        <v>8</v>
      </c>
      <c r="U13" s="1503" t="e">
        <f t="shared" si="1"/>
        <v>#N/A</v>
      </c>
      <c r="V13" s="1502" t="s">
        <v>8</v>
      </c>
      <c r="W13" s="1503" t="e">
        <f t="shared" si="2"/>
        <v>#N/A</v>
      </c>
      <c r="X13" s="1504"/>
      <c r="Y13" s="342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9"/>
      <c r="Q14" s="1133">
        <f t="shared" si="6"/>
        <v>111</v>
      </c>
      <c r="R14" s="1502" t="s">
        <v>8</v>
      </c>
      <c r="S14" s="1503">
        <f t="shared" si="0"/>
        <v>100</v>
      </c>
      <c r="T14" s="1502" t="s">
        <v>8</v>
      </c>
      <c r="U14" s="1503">
        <f t="shared" si="1"/>
        <v>100</v>
      </c>
      <c r="V14" s="1502" t="s">
        <v>8</v>
      </c>
      <c r="W14" s="1503">
        <f t="shared" si="2"/>
        <v>100</v>
      </c>
      <c r="X14" s="1504"/>
      <c r="Y14" s="342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9"/>
      <c r="Q15" s="1133">
        <f t="shared" si="6"/>
        <v>111</v>
      </c>
      <c r="R15" s="1502" t="s">
        <v>8</v>
      </c>
      <c r="S15" s="1503">
        <f t="shared" si="0"/>
        <v>100</v>
      </c>
      <c r="T15" s="1502" t="s">
        <v>8</v>
      </c>
      <c r="U15" s="1503">
        <f t="shared" si="1"/>
        <v>100</v>
      </c>
      <c r="V15" s="1502" t="s">
        <v>8</v>
      </c>
      <c r="W15" s="1503">
        <f t="shared" si="2"/>
        <v>100</v>
      </c>
      <c r="X15" s="1504"/>
      <c r="Y15" s="342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9"/>
      <c r="Q16" s="1133">
        <f t="shared" si="6"/>
        <v>111</v>
      </c>
      <c r="R16" s="1502" t="s">
        <v>8</v>
      </c>
      <c r="S16" s="1503">
        <f t="shared" si="0"/>
        <v>100</v>
      </c>
      <c r="T16" s="1502" t="s">
        <v>8</v>
      </c>
      <c r="U16" s="1503">
        <f t="shared" si="1"/>
        <v>100</v>
      </c>
      <c r="V16" s="1502" t="s">
        <v>8</v>
      </c>
      <c r="W16" s="1503">
        <f t="shared" si="2"/>
        <v>100</v>
      </c>
      <c r="X16" s="1504"/>
      <c r="Y16" s="3425"/>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4" t="s">
        <v>534</v>
      </c>
      <c r="Q17" s="1506" t="str">
        <f t="shared" si="6"/>
        <v>产业集聚程度</v>
      </c>
      <c r="R17" s="1507" t="s">
        <v>8</v>
      </c>
      <c r="S17" s="1508">
        <f t="shared" si="0"/>
        <v>100</v>
      </c>
      <c r="T17" s="1507" t="s">
        <v>8</v>
      </c>
      <c r="U17" s="1508">
        <f t="shared" si="1"/>
        <v>100</v>
      </c>
      <c r="V17" s="1507" t="s">
        <v>8</v>
      </c>
      <c r="W17" s="1508">
        <f t="shared" si="2"/>
        <v>100</v>
      </c>
      <c r="X17" s="1501"/>
      <c r="Y17" s="3514"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15"/>
      <c r="Q18" s="1506"/>
      <c r="R18" s="1507"/>
      <c r="S18" s="1508"/>
      <c r="T18" s="1507"/>
      <c r="U18" s="1508"/>
      <c r="V18" s="1507"/>
      <c r="W18" s="1508"/>
      <c r="X18" s="1501"/>
      <c r="Y18" s="3515"/>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15"/>
      <c r="Q19" s="1506" t="str">
        <f>B19</f>
        <v>交通便捷度</v>
      </c>
      <c r="R19" s="1507" t="s">
        <v>8</v>
      </c>
      <c r="S19" s="1508">
        <f>F19</f>
        <v>100</v>
      </c>
      <c r="T19" s="1507" t="s">
        <v>8</v>
      </c>
      <c r="U19" s="1508">
        <f>H19</f>
        <v>100</v>
      </c>
      <c r="V19" s="1507" t="s">
        <v>8</v>
      </c>
      <c r="W19" s="1508">
        <f>J19</f>
        <v>100</v>
      </c>
      <c r="X19" s="1501"/>
      <c r="Y19" s="3515"/>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15"/>
      <c r="Q20" s="1506"/>
      <c r="R20" s="1507"/>
      <c r="S20" s="1508"/>
      <c r="T20" s="1507"/>
      <c r="U20" s="1508"/>
      <c r="V20" s="1507"/>
      <c r="W20" s="1508"/>
      <c r="X20" s="1501"/>
      <c r="Y20" s="3515"/>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15"/>
      <c r="Q21" s="1506" t="str">
        <f t="shared" ref="Q21:Q35" si="8">B21</f>
        <v>区域土地利用方向</v>
      </c>
      <c r="R21" s="1507" t="s">
        <v>8</v>
      </c>
      <c r="S21" s="1508">
        <f>F21</f>
        <v>100</v>
      </c>
      <c r="T21" s="1507" t="s">
        <v>8</v>
      </c>
      <c r="U21" s="1508">
        <f>H21</f>
        <v>100</v>
      </c>
      <c r="V21" s="1507" t="s">
        <v>8</v>
      </c>
      <c r="W21" s="1508">
        <f>J21</f>
        <v>100</v>
      </c>
      <c r="X21" s="1501"/>
      <c r="Y21" s="3515"/>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15"/>
      <c r="Q22" s="1506"/>
      <c r="R22" s="1507"/>
      <c r="S22" s="1508"/>
      <c r="T22" s="1507"/>
      <c r="U22" s="1508"/>
      <c r="V22" s="1507"/>
      <c r="W22" s="1508"/>
      <c r="X22" s="1501"/>
      <c r="Y22" s="3515"/>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15"/>
      <c r="Q23" s="1506" t="str">
        <f t="shared" si="8"/>
        <v>环境状况</v>
      </c>
      <c r="R23" s="1507" t="s">
        <v>8</v>
      </c>
      <c r="S23" s="1508">
        <f>F23</f>
        <v>100</v>
      </c>
      <c r="T23" s="1507" t="s">
        <v>8</v>
      </c>
      <c r="U23" s="1508">
        <f>H23</f>
        <v>100</v>
      </c>
      <c r="V23" s="1507" t="s">
        <v>8</v>
      </c>
      <c r="W23" s="1508">
        <f>J23</f>
        <v>100</v>
      </c>
      <c r="X23" s="1501"/>
      <c r="Y23" s="3515"/>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15"/>
      <c r="Q24" s="1506"/>
      <c r="R24" s="1507"/>
      <c r="S24" s="1508"/>
      <c r="T24" s="1507"/>
      <c r="U24" s="1508"/>
      <c r="V24" s="1507"/>
      <c r="W24" s="1508"/>
      <c r="X24" s="1501"/>
      <c r="Y24" s="3515"/>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15"/>
      <c r="Q25" s="1133" t="str">
        <f t="shared" si="8"/>
        <v>公共配套设施</v>
      </c>
      <c r="R25" s="1502" t="s">
        <v>8</v>
      </c>
      <c r="S25" s="1503">
        <f>F25</f>
        <v>100</v>
      </c>
      <c r="T25" s="1502" t="s">
        <v>8</v>
      </c>
      <c r="U25" s="1503">
        <f>H25</f>
        <v>100</v>
      </c>
      <c r="V25" s="1502" t="s">
        <v>8</v>
      </c>
      <c r="W25" s="1503">
        <f>J25</f>
        <v>100</v>
      </c>
      <c r="X25" s="1504"/>
      <c r="Y25" s="3515"/>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15"/>
      <c r="Q26" s="1133"/>
      <c r="R26" s="1502"/>
      <c r="S26" s="1503"/>
      <c r="T26" s="1502"/>
      <c r="U26" s="1503"/>
      <c r="V26" s="1502"/>
      <c r="W26" s="1503"/>
      <c r="X26" s="1504"/>
      <c r="Y26" s="3515"/>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15"/>
      <c r="Q27" s="2428" t="str">
        <f t="shared" ref="Q27" si="9">B27</f>
        <v>基础设施水平</v>
      </c>
      <c r="R27" s="1502" t="s">
        <v>8</v>
      </c>
      <c r="S27" s="1503">
        <f>F27</f>
        <v>100</v>
      </c>
      <c r="T27" s="1502" t="s">
        <v>8</v>
      </c>
      <c r="U27" s="1503">
        <f>H27</f>
        <v>100</v>
      </c>
      <c r="V27" s="1502" t="s">
        <v>8</v>
      </c>
      <c r="W27" s="1503">
        <f>J27</f>
        <v>100</v>
      </c>
      <c r="X27" s="1504"/>
      <c r="Y27" s="3515"/>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15"/>
      <c r="Q28" s="2428"/>
      <c r="R28" s="1502"/>
      <c r="S28" s="1503"/>
      <c r="T28" s="1502"/>
      <c r="U28" s="1503"/>
      <c r="V28" s="1502"/>
      <c r="W28" s="1503"/>
      <c r="X28" s="1504"/>
      <c r="Y28" s="3515"/>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15"/>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5"/>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15"/>
      <c r="Q30" s="1506" t="str">
        <f t="shared" si="8"/>
        <v>毗邻道路的类型与等级</v>
      </c>
      <c r="R30" s="1507" t="s">
        <v>8</v>
      </c>
      <c r="S30" s="1508">
        <f t="shared" si="10"/>
        <v>100</v>
      </c>
      <c r="T30" s="1507" t="s">
        <v>8</v>
      </c>
      <c r="U30" s="1508">
        <f t="shared" si="11"/>
        <v>100</v>
      </c>
      <c r="V30" s="1507" t="s">
        <v>8</v>
      </c>
      <c r="W30" s="1508">
        <f t="shared" si="12"/>
        <v>100</v>
      </c>
      <c r="X30" s="1501"/>
      <c r="Y30" s="3515"/>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15"/>
      <c r="Q31" s="1506"/>
      <c r="R31" s="1507"/>
      <c r="S31" s="1508"/>
      <c r="T31" s="1507"/>
      <c r="U31" s="1508"/>
      <c r="V31" s="1507"/>
      <c r="W31" s="1508"/>
      <c r="X31" s="1501"/>
      <c r="Y31" s="3515"/>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15"/>
      <c r="Q32" s="1506" t="str">
        <f t="shared" si="8"/>
        <v>土地级别</v>
      </c>
      <c r="R32" s="1507" t="s">
        <v>8</v>
      </c>
      <c r="S32" s="1508">
        <f t="shared" si="10"/>
        <v>100</v>
      </c>
      <c r="T32" s="1507" t="s">
        <v>8</v>
      </c>
      <c r="U32" s="1508">
        <f t="shared" si="11"/>
        <v>100</v>
      </c>
      <c r="V32" s="1507" t="s">
        <v>8</v>
      </c>
      <c r="W32" s="1508">
        <f t="shared" si="12"/>
        <v>100</v>
      </c>
      <c r="X32" s="1501"/>
      <c r="Y32" s="3515"/>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15"/>
      <c r="Q33" s="1506">
        <f t="shared" si="8"/>
        <v>111</v>
      </c>
      <c r="R33" s="1507" t="s">
        <v>8</v>
      </c>
      <c r="S33" s="1508">
        <f t="shared" si="10"/>
        <v>100</v>
      </c>
      <c r="T33" s="1507" t="s">
        <v>8</v>
      </c>
      <c r="U33" s="1508">
        <f t="shared" si="11"/>
        <v>100</v>
      </c>
      <c r="V33" s="1507" t="s">
        <v>8</v>
      </c>
      <c r="W33" s="1508">
        <f t="shared" si="12"/>
        <v>100</v>
      </c>
      <c r="X33" s="1501"/>
      <c r="Y33" s="3515"/>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6" t="s">
        <v>544</v>
      </c>
      <c r="Q34" s="1506">
        <f t="shared" si="8"/>
        <v>111</v>
      </c>
      <c r="R34" s="1507" t="s">
        <v>8</v>
      </c>
      <c r="S34" s="1508">
        <f t="shared" si="10"/>
        <v>100</v>
      </c>
      <c r="T34" s="1507" t="s">
        <v>8</v>
      </c>
      <c r="U34" s="1508">
        <f t="shared" si="11"/>
        <v>100</v>
      </c>
      <c r="V34" s="1507" t="s">
        <v>8</v>
      </c>
      <c r="W34" s="1508">
        <f t="shared" si="12"/>
        <v>100</v>
      </c>
      <c r="X34" s="1501"/>
      <c r="Y34" s="3517"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7"/>
      <c r="Q35" s="1506">
        <f t="shared" si="8"/>
        <v>111</v>
      </c>
      <c r="R35" s="1511" t="s">
        <v>8</v>
      </c>
      <c r="S35" s="1512">
        <f t="shared" si="10"/>
        <v>100</v>
      </c>
      <c r="T35" s="1511" t="s">
        <v>8</v>
      </c>
      <c r="U35" s="1512">
        <f t="shared" si="11"/>
        <v>100</v>
      </c>
      <c r="V35" s="1511" t="s">
        <v>8</v>
      </c>
      <c r="W35" s="1512">
        <f t="shared" si="12"/>
        <v>100</v>
      </c>
      <c r="X35" s="1513"/>
      <c r="Y35" s="3517"/>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7"/>
      <c r="Q36" s="1506" t="str">
        <f>B36</f>
        <v>宗地面积</v>
      </c>
      <c r="R36" s="1507" t="s">
        <v>8</v>
      </c>
      <c r="S36" s="1508" t="e">
        <f t="shared" si="10"/>
        <v>#N/A</v>
      </c>
      <c r="T36" s="1507" t="s">
        <v>8</v>
      </c>
      <c r="U36" s="1508" t="e">
        <f t="shared" si="11"/>
        <v>#N/A</v>
      </c>
      <c r="V36" s="1507" t="s">
        <v>8</v>
      </c>
      <c r="W36" s="1508" t="e">
        <f t="shared" si="12"/>
        <v>#N/A</v>
      </c>
      <c r="X36" s="1501"/>
      <c r="Y36" s="3517"/>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7"/>
      <c r="Q37" s="1506" t="str">
        <f t="shared" ref="Q37:Q42" si="14">B37</f>
        <v>宗地形状</v>
      </c>
      <c r="R37" s="1507" t="s">
        <v>8</v>
      </c>
      <c r="S37" s="1508">
        <f t="shared" si="10"/>
        <v>100</v>
      </c>
      <c r="T37" s="1507" t="s">
        <v>8</v>
      </c>
      <c r="U37" s="1508">
        <f t="shared" si="11"/>
        <v>100</v>
      </c>
      <c r="V37" s="1507" t="s">
        <v>8</v>
      </c>
      <c r="W37" s="1508">
        <f t="shared" si="12"/>
        <v>100</v>
      </c>
      <c r="X37" s="1501"/>
      <c r="Y37" s="3517"/>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7"/>
      <c r="Q38" s="1506" t="str">
        <f t="shared" si="14"/>
        <v>宗地开发程度</v>
      </c>
      <c r="R38" s="1502" t="s">
        <v>8</v>
      </c>
      <c r="S38" s="1503">
        <f t="shared" si="10"/>
        <v>100</v>
      </c>
      <c r="T38" s="1502" t="s">
        <v>8</v>
      </c>
      <c r="U38" s="1503">
        <f t="shared" si="11"/>
        <v>100</v>
      </c>
      <c r="V38" s="1502" t="s">
        <v>8</v>
      </c>
      <c r="W38" s="1503">
        <f t="shared" si="12"/>
        <v>100</v>
      </c>
      <c r="X38" s="1504"/>
      <c r="Y38" s="3517"/>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7" t="s">
        <v>595</v>
      </c>
      <c r="Q39" s="1506" t="str">
        <f t="shared" si="14"/>
        <v>工程地质条件</v>
      </c>
      <c r="R39" s="1507" t="s">
        <v>8</v>
      </c>
      <c r="S39" s="1508">
        <f t="shared" si="10"/>
        <v>100</v>
      </c>
      <c r="T39" s="1507" t="s">
        <v>8</v>
      </c>
      <c r="U39" s="1508">
        <f t="shared" si="11"/>
        <v>100</v>
      </c>
      <c r="V39" s="1507" t="s">
        <v>8</v>
      </c>
      <c r="W39" s="1508">
        <f t="shared" si="12"/>
        <v>100</v>
      </c>
      <c r="X39" s="1501"/>
      <c r="Y39" s="3517"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7"/>
      <c r="Q40" s="1506">
        <f t="shared" si="14"/>
        <v>111</v>
      </c>
      <c r="R40" s="1507" t="s">
        <v>8</v>
      </c>
      <c r="S40" s="1508">
        <f t="shared" si="10"/>
        <v>100</v>
      </c>
      <c r="T40" s="1507" t="s">
        <v>8</v>
      </c>
      <c r="U40" s="1508">
        <f t="shared" si="11"/>
        <v>100</v>
      </c>
      <c r="V40" s="1507" t="s">
        <v>8</v>
      </c>
      <c r="W40" s="1508">
        <f t="shared" si="12"/>
        <v>100</v>
      </c>
      <c r="X40" s="1501"/>
      <c r="Y40" s="3517"/>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7"/>
      <c r="Q41" s="1506">
        <f t="shared" si="14"/>
        <v>111</v>
      </c>
      <c r="R41" s="1507" t="s">
        <v>8</v>
      </c>
      <c r="S41" s="1508">
        <f t="shared" si="10"/>
        <v>100</v>
      </c>
      <c r="T41" s="1507" t="s">
        <v>8</v>
      </c>
      <c r="U41" s="1508">
        <f t="shared" si="11"/>
        <v>100</v>
      </c>
      <c r="V41" s="1507" t="s">
        <v>8</v>
      </c>
      <c r="W41" s="1508">
        <f t="shared" si="12"/>
        <v>100</v>
      </c>
      <c r="X41" s="1501"/>
      <c r="Y41" s="3517"/>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7"/>
      <c r="Q42" s="1506">
        <f t="shared" si="14"/>
        <v>111</v>
      </c>
      <c r="R42" s="1511" t="s">
        <v>8</v>
      </c>
      <c r="S42" s="1512">
        <f t="shared" si="10"/>
        <v>100</v>
      </c>
      <c r="T42" s="1511" t="s">
        <v>8</v>
      </c>
      <c r="U42" s="1512">
        <f t="shared" si="11"/>
        <v>100</v>
      </c>
      <c r="V42" s="1511" t="s">
        <v>8</v>
      </c>
      <c r="W42" s="1512">
        <f t="shared" si="12"/>
        <v>100</v>
      </c>
      <c r="X42" s="1513"/>
      <c r="Y42" s="3517"/>
      <c r="Z42" s="1514">
        <f t="shared" si="13"/>
        <v>111</v>
      </c>
      <c r="AA42" s="1510">
        <f t="shared" si="3"/>
        <v>1</v>
      </c>
      <c r="AB42" s="1510">
        <f t="shared" si="4"/>
        <v>1</v>
      </c>
      <c r="AC42" s="1510">
        <f t="shared" si="5"/>
        <v>1</v>
      </c>
    </row>
    <row r="43" spans="1:29" ht="15">
      <c r="A43" s="601" t="s">
        <v>550</v>
      </c>
      <c r="B43" s="602" t="s">
        <v>2900</v>
      </c>
      <c r="C43" s="603" t="s">
        <v>1</v>
      </c>
      <c r="D43" s="604"/>
      <c r="E43" s="605"/>
      <c r="F43" s="606"/>
      <c r="G43" s="607"/>
      <c r="H43" s="608"/>
      <c r="I43" s="605"/>
      <c r="J43" s="608"/>
      <c r="K43" s="1293"/>
      <c r="L43" s="2026"/>
      <c r="M43" s="2016"/>
      <c r="N43" s="2016"/>
      <c r="O43" s="2027"/>
      <c r="P43" s="3479" t="str">
        <f>A43</f>
        <v>成交单价</v>
      </c>
      <c r="Q43" s="3479"/>
      <c r="R43" s="3480">
        <f>E43</f>
        <v>0</v>
      </c>
      <c r="S43" s="3480"/>
      <c r="T43" s="3480">
        <f>G43</f>
        <v>0</v>
      </c>
      <c r="U43" s="3480"/>
      <c r="V43" s="3480">
        <f>I43</f>
        <v>0</v>
      </c>
      <c r="W43" s="3480"/>
      <c r="X43" s="1496"/>
      <c r="Y43" s="1515"/>
      <c r="Z43" s="1496"/>
      <c r="AA43" s="1496"/>
      <c r="AB43" s="1496"/>
      <c r="AC43" s="1496"/>
    </row>
    <row r="44" spans="1:29" ht="15.75" thickBot="1">
      <c r="A44" s="609" t="s">
        <v>2673</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479" t="str">
        <f>A44</f>
        <v>比较价格（元/平方米）</v>
      </c>
      <c r="Q44" s="3479"/>
      <c r="R44" s="3481" t="e">
        <f>ROUND(PRODUCT(R43,AA9:AA42),0)</f>
        <v>#DIV/0!</v>
      </c>
      <c r="S44" s="3481"/>
      <c r="T44" s="3481" t="e">
        <f>ROUND(PRODUCT(T43,AB9:AB42),0)</f>
        <v>#DIV/0!</v>
      </c>
      <c r="U44" s="3481"/>
      <c r="V44" s="3481" t="e">
        <f>ROUND(PRODUCT(V43,AC9:AC42),0)</f>
        <v>#DIV/0!</v>
      </c>
      <c r="W44" s="3481"/>
      <c r="X44" s="1496"/>
      <c r="Y44" s="1496"/>
      <c r="Z44" s="1496"/>
      <c r="AA44" s="1496"/>
      <c r="AB44" s="1496"/>
      <c r="AC44" s="1496"/>
    </row>
    <row r="45" spans="1:29" ht="15.75" thickBot="1">
      <c r="A45" s="613" t="s">
        <v>2901</v>
      </c>
      <c r="B45" s="614"/>
      <c r="C45" s="615" t="e">
        <f>R45</f>
        <v>#DIV/0!</v>
      </c>
      <c r="D45" s="615"/>
      <c r="E45" s="615"/>
      <c r="F45" s="615"/>
      <c r="G45" s="615"/>
      <c r="H45" s="615"/>
      <c r="I45" s="615"/>
      <c r="J45" s="615"/>
      <c r="K45" s="1294"/>
      <c r="L45" s="2026"/>
      <c r="M45" s="2016"/>
      <c r="N45" s="2016"/>
      <c r="O45" s="2027"/>
      <c r="P45" s="3476" t="str">
        <f>A45</f>
        <v>估价对象XX用房的比较价格（楼面单价，元/平方米）</v>
      </c>
      <c r="Q45" s="3477"/>
      <c r="R45" s="3529" t="e">
        <f>ROUND(IF(D44="简单平均",AVERAGE(R44:W44),R44*F44+T44*H44+V44*J44),0)</f>
        <v>#DIV/0!</v>
      </c>
      <c r="S45" s="3529"/>
      <c r="T45" s="3529"/>
      <c r="U45" s="3529"/>
      <c r="V45" s="3529"/>
      <c r="W45" s="3529"/>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24" t="s">
        <v>2272</v>
      </c>
      <c r="H52" s="3525"/>
      <c r="I52" s="1866" t="s">
        <v>1934</v>
      </c>
      <c r="J52" s="1493" t="str">
        <f>项目基本情况!F41</f>
        <v>江苏省镇江市</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72989.7</v>
      </c>
      <c r="F53" s="1864" t="e">
        <f t="shared" ref="F53:F62" si="15">ROUND(B53*E53/10000,0)</f>
        <v>#DIV/0!</v>
      </c>
      <c r="G53" s="3526"/>
      <c r="H53" s="3527"/>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8" t="s">
        <v>2273</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8"/>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8"/>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8"/>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20854.2</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4"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0</v>
      </c>
      <c r="H3" s="1362" t="s">
        <v>920</v>
      </c>
      <c r="I3" s="1026">
        <v>8</v>
      </c>
      <c r="J3" s="1358"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44" t="str">
        <f>IF(E2="商业",IF(C8="不临58条商业街","",2),"")</f>
        <v/>
      </c>
      <c r="B7" s="1375" t="s">
        <v>923</v>
      </c>
      <c r="C7" s="1029" t="e">
        <f>IF(C8="不临58条商业街",1,ROUND(1+(1.6*E8+1.2*E9+0.8*E10+0.4*E11)*C9,4))</f>
        <v>#DIV/0!</v>
      </c>
      <c r="D7" s="1376" t="s">
        <v>924</v>
      </c>
      <c r="E7" s="1030"/>
      <c r="F7" s="1377"/>
      <c r="G7" s="1378"/>
      <c r="H7" s="1378"/>
      <c r="I7" s="1378"/>
      <c r="J7" s="1379"/>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2744</v>
      </c>
      <c r="X7" s="2644">
        <f>G2</f>
        <v>0</v>
      </c>
      <c r="Y7" s="2644" t="s">
        <v>2745</v>
      </c>
      <c r="Z7" s="2645">
        <f>G3</f>
        <v>0</v>
      </c>
      <c r="AA7" s="2073"/>
      <c r="AB7" s="2073"/>
      <c r="AC7" s="2074"/>
      <c r="AD7" s="2646"/>
      <c r="AE7" s="2646"/>
      <c r="AF7" s="2646"/>
      <c r="AG7" s="2646"/>
      <c r="AH7" s="2646"/>
      <c r="AI7" s="2646"/>
      <c r="AJ7" s="2647"/>
    </row>
    <row r="8" spans="1:39" ht="15">
      <c r="A8" s="3545"/>
      <c r="B8" s="1362" t="s">
        <v>925</v>
      </c>
      <c r="C8" s="1468"/>
      <c r="D8" s="1031" t="s">
        <v>926</v>
      </c>
      <c r="E8" s="1032" t="e">
        <f>ROUND(C11/E7,4)</f>
        <v>#DIV/0!</v>
      </c>
      <c r="F8" s="1380" t="s">
        <v>927</v>
      </c>
      <c r="G8" s="1381"/>
      <c r="H8" s="1381"/>
      <c r="I8" s="1381"/>
      <c r="J8" s="1382"/>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31" t="s">
        <v>2762</v>
      </c>
      <c r="X8" s="3532"/>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45"/>
      <c r="B9" s="1362" t="s">
        <v>928</v>
      </c>
      <c r="C9" s="1033">
        <f>SUMIF(修正!C59:C119,C8,修正!E59:E119)</f>
        <v>0</v>
      </c>
      <c r="D9" s="1034" t="s">
        <v>929</v>
      </c>
      <c r="E9" s="1034" t="e">
        <f>ROUND(C11/E7,4)</f>
        <v>#DIV/0!</v>
      </c>
      <c r="F9" s="1380" t="s">
        <v>930</v>
      </c>
      <c r="G9" s="1381"/>
      <c r="H9" s="1381"/>
      <c r="I9" s="1381"/>
      <c r="J9" s="1382"/>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30"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45"/>
      <c r="B10" s="1362" t="s">
        <v>931</v>
      </c>
      <c r="C10" s="1034">
        <f>SUMIF(修正!C59:C119,C8,修正!F59:F119)</f>
        <v>0</v>
      </c>
      <c r="D10" s="1034" t="s">
        <v>932</v>
      </c>
      <c r="E10" s="1034" t="e">
        <f>ROUND(C11/E7,4)</f>
        <v>#DIV/0!</v>
      </c>
      <c r="F10" s="1380" t="s">
        <v>933</v>
      </c>
      <c r="G10" s="1381"/>
      <c r="H10" s="1381"/>
      <c r="I10" s="1381"/>
      <c r="J10" s="1382"/>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3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45"/>
      <c r="B11" s="1383" t="s">
        <v>934</v>
      </c>
      <c r="C11" s="1035">
        <f>C10/4</f>
        <v>0</v>
      </c>
      <c r="D11" s="1035" t="s">
        <v>935</v>
      </c>
      <c r="E11" s="1035" t="e">
        <f>ROUND(C11/E7,4)</f>
        <v>#DIV/0!</v>
      </c>
      <c r="F11" s="1384" t="s">
        <v>936</v>
      </c>
      <c r="G11" s="1385"/>
      <c r="H11" s="1385"/>
      <c r="I11" s="1385"/>
      <c r="J11" s="1386"/>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30" t="s">
        <v>2760</v>
      </c>
      <c r="X11" s="1034" t="s">
        <v>2745</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44" t="s">
        <v>1862</v>
      </c>
      <c r="B12" s="1387" t="s">
        <v>937</v>
      </c>
      <c r="C12" s="1029">
        <f>ROUND(C15*D15*E15*F15*G15*H15*I15*J15,4)</f>
        <v>1</v>
      </c>
      <c r="D12" s="1388" t="s">
        <v>938</v>
      </c>
      <c r="E12" s="1389"/>
      <c r="F12" s="1389"/>
      <c r="G12" s="1390"/>
      <c r="H12" s="1390"/>
      <c r="I12" s="1390"/>
      <c r="J12" s="1391"/>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30"/>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6"/>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30"/>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46"/>
      <c r="B14" s="1399"/>
      <c r="C14" s="1400"/>
      <c r="D14" s="1401"/>
      <c r="E14" s="1401"/>
      <c r="F14" s="1402"/>
      <c r="G14" s="1403" t="s">
        <v>940</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47"/>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44" t="s">
        <v>1829</v>
      </c>
      <c r="B16" s="1375" t="s">
        <v>941</v>
      </c>
      <c r="C16" s="1038" t="e">
        <f>ROUND(IF(F17="与级别开发程度一致",0,(G17-E17)/C17),0)</f>
        <v>#DIV/0!</v>
      </c>
      <c r="D16" s="3538" t="s">
        <v>945</v>
      </c>
      <c r="E16" s="3539"/>
      <c r="F16" s="3538" t="s">
        <v>942</v>
      </c>
      <c r="G16" s="3539"/>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48"/>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ROUND(IF(H19="按公示增长率计算",SUMPRODUCT((地价!A3:A33=YEAR(G19)&amp;"-"&amp;ROUNDUP(MONTH(G19)/3,0))*(地价!X2:AB2=E2)*(地价!X3:AB33)),IF(H19="地价指数",M20/M19,(1+I19)^O19)),4)</f>
        <v>0</v>
      </c>
      <c r="D19" s="1414" t="s">
        <v>948</v>
      </c>
      <c r="E19" s="1040">
        <v>41640</v>
      </c>
      <c r="F19" s="1414" t="s">
        <v>949</v>
      </c>
      <c r="G19" s="1041">
        <f>'数据-取费表'!B2</f>
        <v>44257</v>
      </c>
      <c r="H19" s="1415" t="s">
        <v>2953</v>
      </c>
      <c r="I19" s="2503" t="str">
        <f>IF(H19="季度增幅（自定义）",SUMIF(N21:N24,E2,O21:O24),"")</f>
        <v/>
      </c>
      <c r="J19" s="1411"/>
      <c r="K19" s="3234"/>
      <c r="L19" s="2753" t="s">
        <v>2820</v>
      </c>
      <c r="M19" s="2754">
        <f>ROUND(SUMIF(地价!B2:F2,E2,地价!B33:F33),0)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3.85E-2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2821</v>
      </c>
      <c r="M20" s="2837">
        <f>ROUND(SUMPRODUCT((地价!A4:A33=YEAR(G19)&amp;"-"&amp;ROUNDUP(MONTH(G19)/3,0))*(地价!B2:F2=E2)*(地价!B4:F33)),0)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2988</v>
      </c>
      <c r="C21" s="1140" t="b">
        <f>IF(B21="容积率修正",IF(G3&lt;=10,D22,J22),C23)</f>
        <v>0</v>
      </c>
      <c r="D21" s="1421"/>
      <c r="E21" s="1421"/>
      <c r="F21" s="1421"/>
      <c r="G21" s="1421"/>
      <c r="H21" s="1421"/>
      <c r="I21" s="1421"/>
      <c r="J21" s="1422"/>
      <c r="K21" s="3234"/>
      <c r="L21" s="1421"/>
      <c r="M21" s="1421"/>
      <c r="N21" s="1418" t="s">
        <v>966</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40"/>
      <c r="L22" s="1421"/>
      <c r="M22" s="1421"/>
      <c r="N22" s="1418" t="s">
        <v>969</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914</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1"/>
      <c r="L24" s="1421"/>
      <c r="M24" s="1421"/>
      <c r="N24" s="1418" t="s">
        <v>972</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2628</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5"/>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0"/>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40"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1"/>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1"/>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1"/>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1"/>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2"/>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2"/>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2947</v>
      </c>
      <c r="C41" s="828" t="e">
        <f>ROUND(POWER(1+E41,H41-G41)*(POWER(1+E41,G41)-1)/(POWER(1+E41,H41)-1),4)</f>
        <v>#DIV/0!</v>
      </c>
      <c r="D41" s="372" t="s">
        <v>2945</v>
      </c>
      <c r="E41" s="2832">
        <f>G20</f>
        <v>0</v>
      </c>
      <c r="F41" s="372" t="s">
        <v>2946</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2903</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2902</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2904</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2902</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2902</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2902</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49" t="s">
        <v>1624</v>
      </c>
      <c r="B90" s="3549"/>
      <c r="C90" s="3549"/>
      <c r="D90" s="3549"/>
      <c r="E90" s="3549"/>
      <c r="F90" s="3549"/>
      <c r="G90" s="3549"/>
      <c r="H90" s="3549"/>
      <c r="I90" s="3549"/>
      <c r="J90" s="3549"/>
      <c r="K90" s="2305"/>
      <c r="L90" s="2305"/>
      <c r="M90" s="2305"/>
      <c r="N90" s="2305"/>
    </row>
    <row r="91" spans="1:40">
      <c r="A91" s="3550" t="s">
        <v>1434</v>
      </c>
      <c r="B91" s="3550" t="s">
        <v>1625</v>
      </c>
      <c r="C91" s="1122" t="s">
        <v>1626</v>
      </c>
      <c r="D91" s="1123"/>
      <c r="E91" s="1123"/>
      <c r="F91" s="1123"/>
      <c r="G91" s="1123"/>
      <c r="H91" s="1123"/>
      <c r="I91" s="1123"/>
      <c r="J91" s="1124"/>
      <c r="K91" s="1116"/>
      <c r="L91" s="1116"/>
      <c r="M91" s="1116"/>
      <c r="N91" s="1116"/>
    </row>
    <row r="92" spans="1:40">
      <c r="A92" s="3550"/>
      <c r="B92" s="3550"/>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3"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4"/>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3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3"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34"/>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34"/>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34"/>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34"/>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34"/>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34"/>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34"/>
      <c r="B108" s="3536"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35"/>
      <c r="B109" s="3537"/>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43" t="s">
        <v>1630</v>
      </c>
      <c r="B110" s="3543"/>
      <c r="C110" s="3543"/>
      <c r="D110" s="3543"/>
      <c r="E110" s="3543"/>
      <c r="F110" s="3543"/>
      <c r="G110" s="3543"/>
      <c r="H110" s="3543"/>
      <c r="I110" s="3543"/>
      <c r="J110" s="3543"/>
      <c r="K110" s="2303"/>
      <c r="L110" s="2303"/>
      <c r="M110" s="2303"/>
      <c r="N110" s="2303"/>
    </row>
    <row r="112" spans="1:14" ht="12.75" thickBot="1"/>
    <row r="113" spans="1:13" ht="25.5" thickBot="1">
      <c r="A113" s="1002" t="s">
        <v>887</v>
      </c>
      <c r="B113" s="2306">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2950</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0" t="s">
        <v>998</v>
      </c>
      <c r="B18" s="1136" t="s">
        <v>1437</v>
      </c>
      <c r="C18" s="1113" t="s">
        <v>1438</v>
      </c>
      <c r="D18" s="1114"/>
      <c r="E18" s="1136">
        <v>1</v>
      </c>
      <c r="F18" s="1115" t="s">
        <v>1439</v>
      </c>
      <c r="G18" s="1116"/>
      <c r="H18" s="1087"/>
      <c r="I18" s="1087"/>
    </row>
    <row r="19" spans="1:9" s="1529" customFormat="1" ht="19.5" customHeight="1">
      <c r="A19" s="3550"/>
      <c r="B19" s="3550" t="s">
        <v>1440</v>
      </c>
      <c r="C19" s="1113" t="s">
        <v>1441</v>
      </c>
      <c r="D19" s="1114"/>
      <c r="E19" s="1136">
        <v>0.9</v>
      </c>
      <c r="F19" s="1115" t="s">
        <v>1442</v>
      </c>
      <c r="G19" s="1116"/>
      <c r="H19" s="1087"/>
      <c r="I19" s="1087"/>
    </row>
    <row r="20" spans="1:9" s="1529" customFormat="1" ht="19.5" customHeight="1">
      <c r="A20" s="3550"/>
      <c r="B20" s="3550"/>
      <c r="C20" s="1113" t="s">
        <v>1443</v>
      </c>
      <c r="D20" s="1114"/>
      <c r="E20" s="1136">
        <v>1.1000000000000001</v>
      </c>
      <c r="F20" s="1115" t="s">
        <v>1444</v>
      </c>
      <c r="G20" s="1116"/>
      <c r="H20" s="1087"/>
      <c r="I20" s="1087"/>
    </row>
    <row r="21" spans="1:9" s="1529" customFormat="1" ht="19.5" customHeight="1">
      <c r="A21" s="3550"/>
      <c r="B21" s="3550"/>
      <c r="C21" s="1113" t="s">
        <v>1445</v>
      </c>
      <c r="D21" s="1114"/>
      <c r="E21" s="1136">
        <v>0.8</v>
      </c>
      <c r="F21" s="1115" t="s">
        <v>1446</v>
      </c>
      <c r="G21" s="1116"/>
      <c r="H21" s="1087"/>
      <c r="I21" s="1087"/>
    </row>
    <row r="22" spans="1:9" s="1529" customFormat="1" ht="19.5" customHeight="1">
      <c r="A22" s="3550"/>
      <c r="B22" s="3550"/>
      <c r="C22" s="1113" t="s">
        <v>1447</v>
      </c>
      <c r="D22" s="1114"/>
      <c r="E22" s="1136">
        <v>0.5</v>
      </c>
      <c r="F22" s="1115"/>
      <c r="G22" s="1116"/>
      <c r="H22" s="1087"/>
      <c r="I22" s="1087"/>
    </row>
    <row r="23" spans="1:9" s="1529" customFormat="1" ht="19.5" customHeight="1">
      <c r="A23" s="3550" t="s">
        <v>1020</v>
      </c>
      <c r="B23" s="1136" t="s">
        <v>1437</v>
      </c>
      <c r="C23" s="1113" t="s">
        <v>1448</v>
      </c>
      <c r="D23" s="1114"/>
      <c r="E23" s="1136">
        <v>1</v>
      </c>
      <c r="F23" s="1115" t="s">
        <v>1449</v>
      </c>
      <c r="G23" s="1116"/>
      <c r="H23" s="1087"/>
      <c r="I23" s="1087"/>
    </row>
    <row r="24" spans="1:9" s="1529" customFormat="1" ht="19.5" customHeight="1">
      <c r="A24" s="3550"/>
      <c r="B24" s="3550" t="s">
        <v>1440</v>
      </c>
      <c r="C24" s="1113" t="s">
        <v>1450</v>
      </c>
      <c r="D24" s="1114"/>
      <c r="E24" s="1136">
        <v>0.5</v>
      </c>
      <c r="F24" s="1115"/>
      <c r="G24" s="1116"/>
      <c r="H24" s="1087"/>
      <c r="I24" s="1087"/>
    </row>
    <row r="25" spans="1:9" s="1529" customFormat="1" ht="19.5" customHeight="1">
      <c r="A25" s="3550"/>
      <c r="B25" s="3550"/>
      <c r="C25" s="1113" t="s">
        <v>1451</v>
      </c>
      <c r="D25" s="1114"/>
      <c r="E25" s="1136">
        <v>1.1000000000000001</v>
      </c>
      <c r="F25" s="1115"/>
      <c r="G25" s="1116"/>
      <c r="H25" s="1087"/>
      <c r="I25" s="1087"/>
    </row>
    <row r="26" spans="1:9" s="1529" customFormat="1" ht="19.5" customHeight="1">
      <c r="A26" s="3550"/>
      <c r="B26" s="3550"/>
      <c r="C26" s="1113" t="s">
        <v>1452</v>
      </c>
      <c r="D26" s="1114"/>
      <c r="E26" s="1136">
        <v>1.1000000000000001</v>
      </c>
      <c r="F26" s="1115"/>
      <c r="G26" s="1116"/>
      <c r="H26" s="1087"/>
      <c r="I26" s="1087"/>
    </row>
    <row r="27" spans="1:9" s="1529" customFormat="1" ht="19.5" customHeight="1">
      <c r="A27" s="3550"/>
      <c r="B27" s="3550"/>
      <c r="C27" s="1113" t="s">
        <v>1453</v>
      </c>
      <c r="D27" s="1114"/>
      <c r="E27" s="1136">
        <v>0.9</v>
      </c>
      <c r="F27" s="1115" t="s">
        <v>1454</v>
      </c>
      <c r="G27" s="1116"/>
      <c r="H27" s="1087"/>
      <c r="I27" s="1087"/>
    </row>
    <row r="28" spans="1:9" s="1529" customFormat="1" ht="19.5" customHeight="1">
      <c r="A28" s="3550"/>
      <c r="B28" s="3550"/>
      <c r="C28" s="1113" t="s">
        <v>1455</v>
      </c>
      <c r="D28" s="1114"/>
      <c r="E28" s="1136">
        <v>0.9</v>
      </c>
      <c r="F28" s="1115" t="s">
        <v>1456</v>
      </c>
      <c r="G28" s="1116"/>
      <c r="H28" s="1087"/>
      <c r="I28" s="1087"/>
    </row>
    <row r="29" spans="1:9" s="1529" customFormat="1" ht="19.5" customHeight="1">
      <c r="A29" s="3550"/>
      <c r="B29" s="3550"/>
      <c r="C29" s="1113" t="s">
        <v>1457</v>
      </c>
      <c r="D29" s="1114"/>
      <c r="E29" s="1136">
        <v>0.9</v>
      </c>
      <c r="F29" s="1115" t="s">
        <v>1458</v>
      </c>
      <c r="G29" s="1116"/>
      <c r="H29" s="1087"/>
      <c r="I29" s="1087"/>
    </row>
    <row r="30" spans="1:9" s="1529" customFormat="1" ht="19.5" customHeight="1">
      <c r="A30" s="3550"/>
      <c r="B30" s="3550"/>
      <c r="C30" s="1113" t="s">
        <v>1459</v>
      </c>
      <c r="D30" s="1114"/>
      <c r="E30" s="1136">
        <v>0.9</v>
      </c>
      <c r="F30" s="1115" t="s">
        <v>1460</v>
      </c>
      <c r="G30" s="1116"/>
      <c r="H30" s="1087"/>
      <c r="I30" s="1087"/>
    </row>
    <row r="31" spans="1:9" s="1529" customFormat="1" ht="19.5" customHeight="1">
      <c r="A31" s="3550"/>
      <c r="B31" s="3550"/>
      <c r="C31" s="1113" t="s">
        <v>1461</v>
      </c>
      <c r="D31" s="1114"/>
      <c r="E31" s="1136">
        <v>0.8</v>
      </c>
      <c r="F31" s="1115" t="s">
        <v>1462</v>
      </c>
      <c r="G31" s="1116"/>
      <c r="H31" s="1087"/>
      <c r="I31" s="1087"/>
    </row>
    <row r="32" spans="1:9" s="1529" customFormat="1" ht="19.5" customHeight="1">
      <c r="A32" s="3550"/>
      <c r="B32" s="3550"/>
      <c r="C32" s="1113" t="s">
        <v>1463</v>
      </c>
      <c r="D32" s="1114"/>
      <c r="E32" s="1136">
        <v>0.8</v>
      </c>
      <c r="F32" s="1115" t="s">
        <v>1464</v>
      </c>
      <c r="G32" s="1116"/>
      <c r="H32" s="1087"/>
      <c r="I32" s="1087"/>
    </row>
    <row r="33" spans="1:9" s="1529" customFormat="1" ht="19.5" customHeight="1">
      <c r="A33" s="3550" t="s">
        <v>1465</v>
      </c>
      <c r="B33" s="1136" t="s">
        <v>1437</v>
      </c>
      <c r="C33" s="1113" t="s">
        <v>1466</v>
      </c>
      <c r="D33" s="1114"/>
      <c r="E33" s="1136">
        <v>1</v>
      </c>
      <c r="F33" s="1115" t="s">
        <v>1467</v>
      </c>
      <c r="G33" s="1116"/>
      <c r="H33" s="1087"/>
      <c r="I33" s="1087"/>
    </row>
    <row r="34" spans="1:9" s="1529" customFormat="1" ht="19.5" customHeight="1">
      <c r="A34" s="3550"/>
      <c r="B34" s="1136" t="s">
        <v>1440</v>
      </c>
      <c r="C34" s="1113" t="s">
        <v>1468</v>
      </c>
      <c r="D34" s="1114"/>
      <c r="E34" s="1136">
        <v>1.5</v>
      </c>
      <c r="F34" s="1115" t="s">
        <v>1469</v>
      </c>
      <c r="G34" s="1116"/>
      <c r="H34" s="1087"/>
      <c r="I34" s="1087"/>
    </row>
    <row r="35" spans="1:9" s="1529" customFormat="1" ht="19.5" customHeight="1">
      <c r="A35" s="3550" t="s">
        <v>1423</v>
      </c>
      <c r="B35" s="1136" t="s">
        <v>1437</v>
      </c>
      <c r="C35" s="1113" t="s">
        <v>1470</v>
      </c>
      <c r="D35" s="1114"/>
      <c r="E35" s="1136">
        <v>1</v>
      </c>
      <c r="F35" s="1115" t="s">
        <v>1471</v>
      </c>
      <c r="G35" s="1116"/>
      <c r="H35" s="1087"/>
      <c r="I35" s="1087"/>
    </row>
    <row r="36" spans="1:9" s="1529" customFormat="1" ht="19.5" customHeight="1">
      <c r="A36" s="3550"/>
      <c r="B36" s="3550" t="s">
        <v>1440</v>
      </c>
      <c r="C36" s="1113" t="s">
        <v>1472</v>
      </c>
      <c r="D36" s="1114"/>
      <c r="E36" s="1136">
        <v>1</v>
      </c>
      <c r="F36" s="1115" t="s">
        <v>1473</v>
      </c>
      <c r="G36" s="1116"/>
      <c r="H36" s="1087"/>
      <c r="I36" s="1087"/>
    </row>
    <row r="37" spans="1:9" s="1529" customFormat="1" ht="19.5" customHeight="1">
      <c r="A37" s="3550"/>
      <c r="B37" s="3550"/>
      <c r="C37" s="1113" t="s">
        <v>1474</v>
      </c>
      <c r="D37" s="1114"/>
      <c r="E37" s="1136">
        <v>1.5</v>
      </c>
      <c r="F37" s="1115" t="s">
        <v>1475</v>
      </c>
      <c r="G37" s="1116"/>
      <c r="H37" s="1087"/>
      <c r="I37" s="1087"/>
    </row>
    <row r="38" spans="1:9" s="1529" customFormat="1" ht="19.5" customHeight="1">
      <c r="A38" s="3550"/>
      <c r="B38" s="3550"/>
      <c r="C38" s="1113" t="s">
        <v>1476</v>
      </c>
      <c r="D38" s="1114"/>
      <c r="E38" s="1136">
        <v>1</v>
      </c>
      <c r="F38" s="1115" t="s">
        <v>1477</v>
      </c>
      <c r="G38" s="1116"/>
      <c r="H38" s="1087"/>
      <c r="I38" s="1087"/>
    </row>
    <row r="39" spans="1:9" s="1529" customFormat="1" ht="19.5" customHeight="1">
      <c r="A39" s="3550"/>
      <c r="B39" s="3550"/>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0" t="s">
        <v>1492</v>
      </c>
      <c r="C61" s="1050" t="s">
        <v>1493</v>
      </c>
      <c r="D61" s="1050" t="s">
        <v>1494</v>
      </c>
      <c r="E61" s="1121">
        <v>0.5</v>
      </c>
      <c r="F61" s="1136">
        <v>80</v>
      </c>
      <c r="H61" s="1087">
        <f>SUMIF(C59:C119,基准地价!C8,E59:E119)</f>
        <v>0</v>
      </c>
    </row>
    <row r="62" spans="1:8" s="1087" customFormat="1" ht="24">
      <c r="A62" s="1136">
        <v>2</v>
      </c>
      <c r="B62" s="3550"/>
      <c r="C62" s="1050" t="s">
        <v>1495</v>
      </c>
      <c r="D62" s="1050" t="s">
        <v>1496</v>
      </c>
      <c r="E62" s="1121">
        <v>0.5</v>
      </c>
      <c r="F62" s="1136">
        <v>80</v>
      </c>
    </row>
    <row r="63" spans="1:8" s="1087" customFormat="1" ht="36">
      <c r="A63" s="1136">
        <v>3</v>
      </c>
      <c r="B63" s="3550"/>
      <c r="C63" s="1050" t="s">
        <v>1497</v>
      </c>
      <c r="D63" s="1050" t="s">
        <v>1498</v>
      </c>
      <c r="E63" s="1121">
        <v>0.5</v>
      </c>
      <c r="F63" s="1136">
        <v>80</v>
      </c>
    </row>
    <row r="64" spans="1:8" s="1087" customFormat="1" ht="36">
      <c r="A64" s="1136">
        <v>4</v>
      </c>
      <c r="B64" s="3550"/>
      <c r="C64" s="1050" t="s">
        <v>1499</v>
      </c>
      <c r="D64" s="1050" t="s">
        <v>1500</v>
      </c>
      <c r="E64" s="1121">
        <v>0.4</v>
      </c>
      <c r="F64" s="1136">
        <v>60</v>
      </c>
    </row>
    <row r="65" spans="1:6" s="1087" customFormat="1" ht="36">
      <c r="A65" s="1136">
        <v>5</v>
      </c>
      <c r="B65" s="3550"/>
      <c r="C65" s="1050" t="s">
        <v>1501</v>
      </c>
      <c r="D65" s="1050" t="s">
        <v>1502</v>
      </c>
      <c r="E65" s="1121">
        <v>0.2</v>
      </c>
      <c r="F65" s="1136">
        <v>30</v>
      </c>
    </row>
    <row r="66" spans="1:6" s="1087" customFormat="1" ht="36">
      <c r="A66" s="1136">
        <v>6</v>
      </c>
      <c r="B66" s="3550"/>
      <c r="C66" s="1050" t="s">
        <v>1503</v>
      </c>
      <c r="D66" s="1050" t="s">
        <v>1504</v>
      </c>
      <c r="E66" s="1121">
        <v>0.3</v>
      </c>
      <c r="F66" s="1136">
        <v>50</v>
      </c>
    </row>
    <row r="67" spans="1:6" s="1087" customFormat="1" ht="36">
      <c r="A67" s="1136">
        <v>7</v>
      </c>
      <c r="B67" s="3550"/>
      <c r="C67" s="1050" t="s">
        <v>1505</v>
      </c>
      <c r="D67" s="1050" t="s">
        <v>1506</v>
      </c>
      <c r="E67" s="1121">
        <v>0.2</v>
      </c>
      <c r="F67" s="1136">
        <v>30</v>
      </c>
    </row>
    <row r="68" spans="1:6" s="1087" customFormat="1" ht="36">
      <c r="A68" s="1136">
        <v>8</v>
      </c>
      <c r="B68" s="3550"/>
      <c r="C68" s="1050" t="s">
        <v>1507</v>
      </c>
      <c r="D68" s="1050" t="s">
        <v>1508</v>
      </c>
      <c r="E68" s="1121">
        <v>0.2</v>
      </c>
      <c r="F68" s="1136">
        <v>30</v>
      </c>
    </row>
    <row r="69" spans="1:6" s="1087" customFormat="1" ht="36">
      <c r="A69" s="1136">
        <v>9</v>
      </c>
      <c r="B69" s="3550"/>
      <c r="C69" s="1050" t="s">
        <v>1509</v>
      </c>
      <c r="D69" s="1050" t="s">
        <v>1510</v>
      </c>
      <c r="E69" s="1121">
        <v>0.2</v>
      </c>
      <c r="F69" s="1136">
        <v>30</v>
      </c>
    </row>
    <row r="70" spans="1:6" s="1087" customFormat="1" ht="48">
      <c r="A70" s="1136">
        <v>10</v>
      </c>
      <c r="B70" s="3550"/>
      <c r="C70" s="1050" t="s">
        <v>1511</v>
      </c>
      <c r="D70" s="1050" t="s">
        <v>1512</v>
      </c>
      <c r="E70" s="1121">
        <v>0.2</v>
      </c>
      <c r="F70" s="1136">
        <v>30</v>
      </c>
    </row>
    <row r="71" spans="1:6" s="1087" customFormat="1" ht="48">
      <c r="A71" s="1136">
        <v>11</v>
      </c>
      <c r="B71" s="3550"/>
      <c r="C71" s="1050" t="s">
        <v>1513</v>
      </c>
      <c r="D71" s="1050" t="s">
        <v>1514</v>
      </c>
      <c r="E71" s="1121">
        <v>0.2</v>
      </c>
      <c r="F71" s="1136">
        <v>30</v>
      </c>
    </row>
    <row r="72" spans="1:6" s="1087" customFormat="1" ht="36">
      <c r="A72" s="1136">
        <v>12</v>
      </c>
      <c r="B72" s="3550"/>
      <c r="C72" s="1050" t="s">
        <v>1515</v>
      </c>
      <c r="D72" s="1050" t="s">
        <v>1516</v>
      </c>
      <c r="E72" s="1121">
        <v>0.5</v>
      </c>
      <c r="F72" s="1136">
        <v>80</v>
      </c>
    </row>
    <row r="73" spans="1:6" s="1087" customFormat="1" ht="24">
      <c r="A73" s="1136">
        <v>13</v>
      </c>
      <c r="B73" s="3550"/>
      <c r="C73" s="1050" t="s">
        <v>1517</v>
      </c>
      <c r="D73" s="1050" t="s">
        <v>1518</v>
      </c>
      <c r="E73" s="1121">
        <v>0.4</v>
      </c>
      <c r="F73" s="1136">
        <v>60</v>
      </c>
    </row>
    <row r="74" spans="1:6" s="1087" customFormat="1" ht="24">
      <c r="A74" s="1136">
        <v>14</v>
      </c>
      <c r="B74" s="3550"/>
      <c r="C74" s="1050" t="s">
        <v>1519</v>
      </c>
      <c r="D74" s="1050" t="s">
        <v>1520</v>
      </c>
      <c r="E74" s="1121">
        <v>0.2</v>
      </c>
      <c r="F74" s="1136">
        <v>30</v>
      </c>
    </row>
    <row r="75" spans="1:6" s="1087" customFormat="1" ht="24">
      <c r="A75" s="1136">
        <v>15</v>
      </c>
      <c r="B75" s="3550"/>
      <c r="C75" s="1050" t="s">
        <v>1521</v>
      </c>
      <c r="D75" s="1050" t="s">
        <v>1522</v>
      </c>
      <c r="E75" s="1121">
        <v>0.2</v>
      </c>
      <c r="F75" s="1136">
        <v>30</v>
      </c>
    </row>
    <row r="76" spans="1:6" s="1087" customFormat="1" ht="24">
      <c r="A76" s="1136">
        <v>16</v>
      </c>
      <c r="B76" s="3550" t="s">
        <v>1523</v>
      </c>
      <c r="C76" s="1050" t="s">
        <v>1524</v>
      </c>
      <c r="D76" s="1050" t="s">
        <v>1525</v>
      </c>
      <c r="E76" s="1121">
        <v>0.5</v>
      </c>
      <c r="F76" s="1136">
        <v>80</v>
      </c>
    </row>
    <row r="77" spans="1:6" s="1087" customFormat="1" ht="24">
      <c r="A77" s="1136">
        <v>17</v>
      </c>
      <c r="B77" s="3550"/>
      <c r="C77" s="1050" t="s">
        <v>1526</v>
      </c>
      <c r="D77" s="1050" t="s">
        <v>1527</v>
      </c>
      <c r="E77" s="1121">
        <v>0.5</v>
      </c>
      <c r="F77" s="1136">
        <v>80</v>
      </c>
    </row>
    <row r="78" spans="1:6" s="1087" customFormat="1" ht="24">
      <c r="A78" s="1136">
        <v>18</v>
      </c>
      <c r="B78" s="3550"/>
      <c r="C78" s="1050" t="s">
        <v>1528</v>
      </c>
      <c r="D78" s="1050" t="s">
        <v>1529</v>
      </c>
      <c r="E78" s="1121">
        <v>0.2</v>
      </c>
      <c r="F78" s="1136">
        <v>30</v>
      </c>
    </row>
    <row r="79" spans="1:6" s="1087" customFormat="1" ht="24">
      <c r="A79" s="1136">
        <v>19</v>
      </c>
      <c r="B79" s="3550"/>
      <c r="C79" s="1050" t="s">
        <v>1530</v>
      </c>
      <c r="D79" s="1050" t="s">
        <v>1531</v>
      </c>
      <c r="E79" s="1121">
        <v>0.5</v>
      </c>
      <c r="F79" s="1136">
        <v>80</v>
      </c>
    </row>
    <row r="80" spans="1:6" s="1087" customFormat="1" ht="36">
      <c r="A80" s="1136">
        <v>20</v>
      </c>
      <c r="B80" s="3550"/>
      <c r="C80" s="1050" t="s">
        <v>1532</v>
      </c>
      <c r="D80" s="1050" t="s">
        <v>1533</v>
      </c>
      <c r="E80" s="1121">
        <v>0.2</v>
      </c>
      <c r="F80" s="1136">
        <v>30</v>
      </c>
    </row>
    <row r="81" spans="1:6" s="1087" customFormat="1" ht="36">
      <c r="A81" s="1136">
        <v>21</v>
      </c>
      <c r="B81" s="3550"/>
      <c r="C81" s="1050" t="s">
        <v>1534</v>
      </c>
      <c r="D81" s="1050" t="s">
        <v>1535</v>
      </c>
      <c r="E81" s="1121">
        <v>0.2</v>
      </c>
      <c r="F81" s="1136">
        <v>30</v>
      </c>
    </row>
    <row r="82" spans="1:6" s="1087" customFormat="1" ht="48">
      <c r="A82" s="1136">
        <v>22</v>
      </c>
      <c r="B82" s="3550"/>
      <c r="C82" s="1050" t="s">
        <v>1536</v>
      </c>
      <c r="D82" s="1050" t="s">
        <v>1537</v>
      </c>
      <c r="E82" s="1121">
        <v>0.2</v>
      </c>
      <c r="F82" s="1136">
        <v>30</v>
      </c>
    </row>
    <row r="83" spans="1:6" s="1087" customFormat="1" ht="48">
      <c r="A83" s="1136">
        <v>23</v>
      </c>
      <c r="B83" s="3550"/>
      <c r="C83" s="1050" t="s">
        <v>1538</v>
      </c>
      <c r="D83" s="1050" t="s">
        <v>1539</v>
      </c>
      <c r="E83" s="1121">
        <v>0.2</v>
      </c>
      <c r="F83" s="1136">
        <v>30</v>
      </c>
    </row>
    <row r="84" spans="1:6" s="1087" customFormat="1" ht="36">
      <c r="A84" s="1136">
        <v>24</v>
      </c>
      <c r="B84" s="3550"/>
      <c r="C84" s="1050" t="s">
        <v>1540</v>
      </c>
      <c r="D84" s="1050" t="s">
        <v>1541</v>
      </c>
      <c r="E84" s="1121">
        <v>0.2</v>
      </c>
      <c r="F84" s="1136">
        <v>30</v>
      </c>
    </row>
    <row r="85" spans="1:6" s="1087" customFormat="1" ht="36">
      <c r="A85" s="1136">
        <v>25</v>
      </c>
      <c r="B85" s="3550"/>
      <c r="C85" s="1050" t="s">
        <v>1542</v>
      </c>
      <c r="D85" s="1050" t="s">
        <v>1543</v>
      </c>
      <c r="E85" s="1121">
        <v>0.5</v>
      </c>
      <c r="F85" s="1136">
        <v>80</v>
      </c>
    </row>
    <row r="86" spans="1:6" s="1087" customFormat="1" ht="36">
      <c r="A86" s="1136">
        <v>26</v>
      </c>
      <c r="B86" s="3550"/>
      <c r="C86" s="1050" t="s">
        <v>1544</v>
      </c>
      <c r="D86" s="1050" t="s">
        <v>1545</v>
      </c>
      <c r="E86" s="1121">
        <v>0.2</v>
      </c>
      <c r="F86" s="1136">
        <v>30</v>
      </c>
    </row>
    <row r="87" spans="1:6" s="1087" customFormat="1" ht="36">
      <c r="A87" s="1136">
        <v>27</v>
      </c>
      <c r="B87" s="3550"/>
      <c r="C87" s="1050" t="s">
        <v>1546</v>
      </c>
      <c r="D87" s="1050" t="s">
        <v>1547</v>
      </c>
      <c r="E87" s="1121">
        <v>0.2</v>
      </c>
      <c r="F87" s="1136">
        <v>30</v>
      </c>
    </row>
    <row r="88" spans="1:6" s="1087" customFormat="1" ht="36">
      <c r="A88" s="1136">
        <v>28</v>
      </c>
      <c r="B88" s="3550"/>
      <c r="C88" s="1050" t="s">
        <v>1548</v>
      </c>
      <c r="D88" s="1050" t="s">
        <v>1549</v>
      </c>
      <c r="E88" s="1121">
        <v>0.2</v>
      </c>
      <c r="F88" s="1136">
        <v>30</v>
      </c>
    </row>
    <row r="89" spans="1:6" s="1087" customFormat="1" ht="24">
      <c r="A89" s="1136">
        <v>29</v>
      </c>
      <c r="B89" s="3550"/>
      <c r="C89" s="1050" t="s">
        <v>1550</v>
      </c>
      <c r="D89" s="1050" t="s">
        <v>1551</v>
      </c>
      <c r="E89" s="1121">
        <v>0.2</v>
      </c>
      <c r="F89" s="1136">
        <v>30</v>
      </c>
    </row>
    <row r="90" spans="1:6" s="1087" customFormat="1" ht="24">
      <c r="A90" s="1136">
        <v>30</v>
      </c>
      <c r="B90" s="3550"/>
      <c r="C90" s="1050" t="s">
        <v>1552</v>
      </c>
      <c r="D90" s="1050" t="s">
        <v>1553</v>
      </c>
      <c r="E90" s="1121">
        <v>0.2</v>
      </c>
      <c r="F90" s="1136">
        <v>30</v>
      </c>
    </row>
    <row r="91" spans="1:6" s="1087" customFormat="1" ht="36">
      <c r="A91" s="1136">
        <v>31</v>
      </c>
      <c r="B91" s="3550"/>
      <c r="C91" s="1050" t="s">
        <v>1554</v>
      </c>
      <c r="D91" s="1050" t="s">
        <v>1555</v>
      </c>
      <c r="E91" s="1121">
        <v>0.2</v>
      </c>
      <c r="F91" s="1136">
        <v>30</v>
      </c>
    </row>
    <row r="92" spans="1:6" s="1087" customFormat="1" ht="24">
      <c r="A92" s="1136">
        <v>32</v>
      </c>
      <c r="B92" s="3550" t="s">
        <v>1556</v>
      </c>
      <c r="C92" s="1136" t="s">
        <v>1557</v>
      </c>
      <c r="D92" s="1050" t="s">
        <v>1558</v>
      </c>
      <c r="E92" s="1121">
        <v>0.2</v>
      </c>
      <c r="F92" s="1136">
        <v>30</v>
      </c>
    </row>
    <row r="93" spans="1:6" s="1087" customFormat="1" ht="36">
      <c r="A93" s="1136">
        <v>33</v>
      </c>
      <c r="B93" s="3550"/>
      <c r="C93" s="1136" t="s">
        <v>1559</v>
      </c>
      <c r="D93" s="1050" t="s">
        <v>1560</v>
      </c>
      <c r="E93" s="1121">
        <v>0.2</v>
      </c>
      <c r="F93" s="1136">
        <v>30</v>
      </c>
    </row>
    <row r="94" spans="1:6" s="1087" customFormat="1" ht="48">
      <c r="A94" s="1136">
        <v>34</v>
      </c>
      <c r="B94" s="3550"/>
      <c r="C94" s="1136" t="s">
        <v>1561</v>
      </c>
      <c r="D94" s="1050" t="s">
        <v>1562</v>
      </c>
      <c r="E94" s="1121">
        <v>0.2</v>
      </c>
      <c r="F94" s="1136">
        <v>30</v>
      </c>
    </row>
    <row r="95" spans="1:6" s="1087" customFormat="1" ht="36">
      <c r="A95" s="1136">
        <v>35</v>
      </c>
      <c r="B95" s="3550"/>
      <c r="C95" s="1136" t="s">
        <v>1563</v>
      </c>
      <c r="D95" s="1050" t="s">
        <v>1564</v>
      </c>
      <c r="E95" s="1121">
        <v>0.2</v>
      </c>
      <c r="F95" s="1136">
        <v>30</v>
      </c>
    </row>
    <row r="96" spans="1:6" s="1087" customFormat="1" ht="48">
      <c r="A96" s="1136">
        <v>36</v>
      </c>
      <c r="B96" s="3550"/>
      <c r="C96" s="1050" t="s">
        <v>1565</v>
      </c>
      <c r="D96" s="1050" t="s">
        <v>1566</v>
      </c>
      <c r="E96" s="1121">
        <v>0.2</v>
      </c>
      <c r="F96" s="1136">
        <v>30</v>
      </c>
    </row>
    <row r="97" spans="1:6" s="1087" customFormat="1" ht="36">
      <c r="A97" s="1136">
        <v>37</v>
      </c>
      <c r="B97" s="3550"/>
      <c r="C97" s="1136" t="s">
        <v>1567</v>
      </c>
      <c r="D97" s="1050" t="s">
        <v>1568</v>
      </c>
      <c r="E97" s="1121">
        <v>0.2</v>
      </c>
      <c r="F97" s="1136">
        <v>30</v>
      </c>
    </row>
    <row r="98" spans="1:6" s="1087" customFormat="1" ht="36">
      <c r="A98" s="1136">
        <v>38</v>
      </c>
      <c r="B98" s="3550"/>
      <c r="C98" s="1136" t="s">
        <v>1569</v>
      </c>
      <c r="D98" s="1050" t="s">
        <v>1570</v>
      </c>
      <c r="E98" s="1121">
        <v>0.2</v>
      </c>
      <c r="F98" s="1136">
        <v>30</v>
      </c>
    </row>
    <row r="99" spans="1:6" s="1087" customFormat="1" ht="36">
      <c r="A99" s="1136">
        <v>39</v>
      </c>
      <c r="B99" s="3550" t="s">
        <v>1571</v>
      </c>
      <c r="C99" s="1136" t="s">
        <v>1572</v>
      </c>
      <c r="D99" s="1050" t="s">
        <v>1573</v>
      </c>
      <c r="E99" s="1121">
        <v>0.3</v>
      </c>
      <c r="F99" s="1136">
        <v>50</v>
      </c>
    </row>
    <row r="100" spans="1:6" s="1087" customFormat="1" ht="24">
      <c r="A100" s="1136">
        <v>40</v>
      </c>
      <c r="B100" s="3550"/>
      <c r="C100" s="1136" t="s">
        <v>1574</v>
      </c>
      <c r="D100" s="1050" t="s">
        <v>1575</v>
      </c>
      <c r="E100" s="1121">
        <v>0.2</v>
      </c>
      <c r="F100" s="1136">
        <v>30</v>
      </c>
    </row>
    <row r="101" spans="1:6" s="1087" customFormat="1" ht="36">
      <c r="A101" s="1136">
        <v>41</v>
      </c>
      <c r="B101" s="3550"/>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0" t="s">
        <v>1586</v>
      </c>
      <c r="C105" s="1136" t="s">
        <v>1587</v>
      </c>
      <c r="D105" s="1050" t="s">
        <v>1588</v>
      </c>
      <c r="E105" s="1121">
        <v>0.2</v>
      </c>
      <c r="F105" s="1136">
        <v>30</v>
      </c>
    </row>
    <row r="106" spans="1:6" s="1087" customFormat="1" ht="36">
      <c r="A106" s="1136">
        <v>46</v>
      </c>
      <c r="B106" s="3550"/>
      <c r="C106" s="1136" t="s">
        <v>1589</v>
      </c>
      <c r="D106" s="1050" t="s">
        <v>1590</v>
      </c>
      <c r="E106" s="1121">
        <v>0.2</v>
      </c>
      <c r="F106" s="1136">
        <v>30</v>
      </c>
    </row>
    <row r="107" spans="1:6" s="1087" customFormat="1" ht="36">
      <c r="A107" s="1136">
        <v>47</v>
      </c>
      <c r="B107" s="3550" t="s">
        <v>1591</v>
      </c>
      <c r="C107" s="1136" t="s">
        <v>1592</v>
      </c>
      <c r="D107" s="1050" t="s">
        <v>1593</v>
      </c>
      <c r="E107" s="1121">
        <v>0.3</v>
      </c>
      <c r="F107" s="1136">
        <v>50</v>
      </c>
    </row>
    <row r="108" spans="1:6" s="1087" customFormat="1" ht="36">
      <c r="A108" s="1136">
        <v>48</v>
      </c>
      <c r="B108" s="3550"/>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0" t="s">
        <v>1602</v>
      </c>
      <c r="C111" s="1136" t="s">
        <v>1603</v>
      </c>
      <c r="D111" s="1050" t="s">
        <v>1604</v>
      </c>
      <c r="E111" s="1121">
        <v>0.2</v>
      </c>
      <c r="F111" s="1136">
        <v>30</v>
      </c>
    </row>
    <row r="112" spans="1:6" s="1087" customFormat="1" ht="24">
      <c r="A112" s="1136">
        <v>52</v>
      </c>
      <c r="B112" s="3550"/>
      <c r="C112" s="1136" t="s">
        <v>1605</v>
      </c>
      <c r="D112" s="1050" t="s">
        <v>1606</v>
      </c>
      <c r="E112" s="1121">
        <v>0.2</v>
      </c>
      <c r="F112" s="1136">
        <v>30</v>
      </c>
    </row>
    <row r="113" spans="1:14" s="1087" customFormat="1" ht="24">
      <c r="A113" s="1136">
        <v>53</v>
      </c>
      <c r="B113" s="3550"/>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0" t="s">
        <v>1615</v>
      </c>
      <c r="C116" s="1136" t="s">
        <v>1616</v>
      </c>
      <c r="D116" s="1050" t="s">
        <v>1617</v>
      </c>
      <c r="E116" s="1121">
        <v>0.2</v>
      </c>
      <c r="F116" s="1136">
        <v>30</v>
      </c>
    </row>
    <row r="117" spans="1:14" ht="36">
      <c r="A117" s="1136">
        <v>57</v>
      </c>
      <c r="B117" s="3550"/>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49" t="s">
        <v>1624</v>
      </c>
      <c r="B121" s="3549"/>
      <c r="C121" s="3549"/>
      <c r="D121" s="3549"/>
      <c r="E121" s="3549"/>
      <c r="F121" s="3549"/>
      <c r="G121" s="3549"/>
      <c r="H121" s="3549"/>
      <c r="I121" s="3549"/>
      <c r="J121" s="3549"/>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1" t="s">
        <v>1030</v>
      </c>
      <c r="B1" s="3551"/>
      <c r="C1" s="3551"/>
      <c r="D1" s="3551"/>
      <c r="E1" s="3551"/>
      <c r="F1" s="3551"/>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2" t="s">
        <v>1043</v>
      </c>
      <c r="B2" s="3552"/>
      <c r="C2" s="3552"/>
      <c r="D2" s="3552"/>
      <c r="E2" s="3552"/>
      <c r="F2" s="3552"/>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3"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4"/>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5" t="s">
        <v>2068</v>
      </c>
      <c r="B1" s="355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3" t="s">
        <v>2556</v>
      </c>
      <c r="C1" s="3563"/>
      <c r="D1" s="3563"/>
      <c r="E1" s="3563"/>
      <c r="F1" s="3563"/>
      <c r="G1" s="3562" t="s">
        <v>2557</v>
      </c>
      <c r="H1" s="3562"/>
      <c r="I1" s="3562"/>
      <c r="J1" s="3562"/>
      <c r="K1" s="3562"/>
      <c r="L1" s="3562"/>
      <c r="N1" s="3562" t="s">
        <v>2558</v>
      </c>
      <c r="O1" s="3562"/>
      <c r="P1" s="3562"/>
      <c r="Q1" s="3562"/>
      <c r="S1" s="3562" t="s">
        <v>2559</v>
      </c>
      <c r="T1" s="3562"/>
      <c r="U1" s="3562"/>
      <c r="V1" s="3562"/>
      <c r="X1" s="3561" t="s">
        <v>2619</v>
      </c>
      <c r="Y1" s="3562"/>
      <c r="Z1" s="3562"/>
      <c r="AA1" s="3562"/>
      <c r="AB1" s="3562"/>
      <c r="AD1" s="3561" t="s">
        <v>2623</v>
      </c>
      <c r="AE1" s="3562"/>
      <c r="AF1" s="3562"/>
      <c r="AG1" s="3562"/>
      <c r="AH1" s="3562"/>
    </row>
    <row r="2" spans="1:34" s="2865" customFormat="1" ht="14.25" thickBot="1">
      <c r="B2" s="2866" t="s">
        <v>2560</v>
      </c>
      <c r="C2" s="2866" t="s">
        <v>2621</v>
      </c>
      <c r="D2" s="2867" t="s">
        <v>1635</v>
      </c>
      <c r="E2" s="2867" t="s">
        <v>1938</v>
      </c>
      <c r="F2" s="2866" t="s">
        <v>2622</v>
      </c>
      <c r="G2" s="2868"/>
      <c r="I2" s="2866" t="s">
        <v>2920</v>
      </c>
      <c r="J2" s="2867" t="s">
        <v>2922</v>
      </c>
      <c r="K2" s="2867" t="s">
        <v>2923</v>
      </c>
      <c r="L2" s="2866" t="s">
        <v>2924</v>
      </c>
      <c r="N2" s="2866" t="s">
        <v>2560</v>
      </c>
      <c r="O2" s="2867" t="s">
        <v>2921</v>
      </c>
      <c r="P2" s="2867" t="s">
        <v>1938</v>
      </c>
      <c r="Q2" s="2866" t="s">
        <v>2622</v>
      </c>
      <c r="S2" s="2866" t="s">
        <v>2560</v>
      </c>
      <c r="T2" s="2867" t="s">
        <v>2921</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2931</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2932</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2955</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2952</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2951</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2948</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557">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2941</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557"/>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2942</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557"/>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2938</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558"/>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2930</v>
      </c>
      <c r="B18" s="2915">
        <v>439</v>
      </c>
      <c r="C18" s="2915">
        <v>327</v>
      </c>
      <c r="D18" s="2915">
        <f t="shared" si="131"/>
        <v>327</v>
      </c>
      <c r="E18" s="2915">
        <v>627</v>
      </c>
      <c r="F18" s="2916">
        <v>283</v>
      </c>
      <c r="G18" s="3556">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2933</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557"/>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2561</v>
      </c>
      <c r="B20" s="2899">
        <f t="shared" si="143"/>
        <v>419.31181600000002</v>
      </c>
      <c r="C20" s="2899">
        <f t="shared" si="143"/>
        <v>313.95436800000004</v>
      </c>
      <c r="D20" s="2899">
        <f t="shared" si="131"/>
        <v>313.95436800000004</v>
      </c>
      <c r="E20" s="2899">
        <f t="shared" si="144"/>
        <v>596.63028431999999</v>
      </c>
      <c r="F20" s="2899">
        <f t="shared" si="144"/>
        <v>274.74220703999998</v>
      </c>
      <c r="G20" s="3557"/>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2562</v>
      </c>
      <c r="B21" s="2899">
        <f t="shared" si="143"/>
        <v>405.524</v>
      </c>
      <c r="C21" s="2899">
        <f t="shared" si="143"/>
        <v>307.79840000000002</v>
      </c>
      <c r="D21" s="2899">
        <f t="shared" si="131"/>
        <v>307.79840000000002</v>
      </c>
      <c r="E21" s="2899">
        <f t="shared" si="144"/>
        <v>574.67759999999998</v>
      </c>
      <c r="F21" s="2899">
        <f t="shared" si="144"/>
        <v>270.20280000000002</v>
      </c>
      <c r="G21" s="3558"/>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31"/>
        <v>302</v>
      </c>
      <c r="E22" s="2920">
        <v>553</v>
      </c>
      <c r="F22" s="2921">
        <v>266</v>
      </c>
      <c r="G22" s="3556">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557"/>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52"/>
        <v>360.06949782209392</v>
      </c>
      <c r="C24" s="2899">
        <f t="shared" si="152"/>
        <v>289.84672674747821</v>
      </c>
      <c r="D24" s="2899">
        <f t="shared" si="153"/>
        <v>289.84672674747821</v>
      </c>
      <c r="E24" s="2899">
        <f t="shared" si="154"/>
        <v>501.06543001181495</v>
      </c>
      <c r="F24" s="2899">
        <f t="shared" si="154"/>
        <v>256.82882500744967</v>
      </c>
      <c r="G24" s="3557"/>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52"/>
        <v>346.720748986128</v>
      </c>
      <c r="C25" s="2899">
        <f t="shared" si="152"/>
        <v>284.30282172386285</v>
      </c>
      <c r="D25" s="2899">
        <f t="shared" si="153"/>
        <v>284.30282172386285</v>
      </c>
      <c r="E25" s="2899">
        <f t="shared" si="154"/>
        <v>479.58023546306947</v>
      </c>
      <c r="F25" s="2899">
        <f t="shared" si="154"/>
        <v>253.25788877571213</v>
      </c>
      <c r="G25" s="3560"/>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53"/>
        <v>277</v>
      </c>
      <c r="E26" s="2920">
        <v>459</v>
      </c>
      <c r="F26" s="2921">
        <v>249</v>
      </c>
      <c r="G26" s="3559">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557"/>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56"/>
        <v>322.34053690220776</v>
      </c>
      <c r="C28" s="2899">
        <f t="shared" si="156"/>
        <v>271.46160770422546</v>
      </c>
      <c r="D28" s="2899">
        <f t="shared" si="153"/>
        <v>271.46160770422546</v>
      </c>
      <c r="E28" s="2899">
        <f t="shared" si="157"/>
        <v>442.69434542172456</v>
      </c>
      <c r="F28" s="2899">
        <f t="shared" si="157"/>
        <v>241.34030753190925</v>
      </c>
      <c r="G28" s="3557"/>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56"/>
        <v>319.87748030386797</v>
      </c>
      <c r="C29" s="2899">
        <f t="shared" si="156"/>
        <v>269.60135833173649</v>
      </c>
      <c r="D29" s="2899">
        <f t="shared" si="153"/>
        <v>269.60135833173649</v>
      </c>
      <c r="E29" s="2899">
        <f t="shared" si="157"/>
        <v>439.18089823583784</v>
      </c>
      <c r="F29" s="2899">
        <f t="shared" si="157"/>
        <v>239.23503918706311</v>
      </c>
      <c r="G29" s="3560"/>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53"/>
        <v>268</v>
      </c>
      <c r="E30" s="2927">
        <v>437</v>
      </c>
      <c r="F30" s="2928">
        <v>237</v>
      </c>
      <c r="G30" s="3559">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557"/>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8"/>
        <v>314.72141172386546</v>
      </c>
      <c r="C32" s="2899">
        <f t="shared" si="158"/>
        <v>263.03901319069001</v>
      </c>
      <c r="D32" s="2899">
        <f t="shared" si="153"/>
        <v>263.03901319069001</v>
      </c>
      <c r="E32" s="2899">
        <f t="shared" si="159"/>
        <v>433.65745506782821</v>
      </c>
      <c r="F32" s="2899">
        <f t="shared" si="159"/>
        <v>233.23005080045735</v>
      </c>
      <c r="G32" s="3557"/>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951</v>
      </c>
      <c r="B33" s="2932">
        <f t="shared" si="158"/>
        <v>307.34512863658733</v>
      </c>
      <c r="C33" s="2932">
        <f t="shared" si="158"/>
        <v>257.80556031626975</v>
      </c>
      <c r="D33" s="2932">
        <f t="shared" si="153"/>
        <v>257.80556031626975</v>
      </c>
      <c r="E33" s="2932">
        <f t="shared" si="159"/>
        <v>422.70928459677179</v>
      </c>
      <c r="F33" s="2932">
        <f t="shared" si="159"/>
        <v>229.73803270336617</v>
      </c>
      <c r="G33" s="3560"/>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2620</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2563</v>
      </c>
      <c r="B34" s="2920">
        <v>299</v>
      </c>
      <c r="C34" s="2920">
        <v>252</v>
      </c>
      <c r="D34" s="2920">
        <f t="shared" si="153"/>
        <v>252</v>
      </c>
      <c r="E34" s="2920">
        <v>409</v>
      </c>
      <c r="F34" s="2921">
        <v>227</v>
      </c>
      <c r="G34" s="3564">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2564</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565"/>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2565</v>
      </c>
      <c r="B36" s="2899">
        <f t="shared" si="162"/>
        <v>288.2649053828776</v>
      </c>
      <c r="C36" s="2899">
        <f t="shared" si="162"/>
        <v>243.64564425013293</v>
      </c>
      <c r="D36" s="2899">
        <f t="shared" si="153"/>
        <v>243.64564425013293</v>
      </c>
      <c r="E36" s="2899">
        <f t="shared" si="163"/>
        <v>393.31080825986544</v>
      </c>
      <c r="F36" s="2899">
        <f t="shared" si="163"/>
        <v>223.07903790551154</v>
      </c>
      <c r="G36" s="3565"/>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2566</v>
      </c>
      <c r="B37" s="2899">
        <f t="shared" si="162"/>
        <v>282.50186729015837</v>
      </c>
      <c r="C37" s="2899">
        <f t="shared" si="162"/>
        <v>238.09796174155468</v>
      </c>
      <c r="D37" s="2899">
        <f t="shared" si="153"/>
        <v>238.09796174155468</v>
      </c>
      <c r="E37" s="2899">
        <f t="shared" si="163"/>
        <v>385.33438646014054</v>
      </c>
      <c r="F37" s="2899">
        <f t="shared" si="163"/>
        <v>221.55034055567739</v>
      </c>
      <c r="G37" s="3566"/>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2567</v>
      </c>
      <c r="B38" s="2948">
        <v>278</v>
      </c>
      <c r="C38" s="2948">
        <v>234</v>
      </c>
      <c r="D38" s="2948">
        <f t="shared" si="153"/>
        <v>234</v>
      </c>
      <c r="E38" s="2948">
        <v>379</v>
      </c>
      <c r="F38" s="2949">
        <v>220</v>
      </c>
      <c r="G38" s="3559">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2568</v>
      </c>
      <c r="B39" s="2899">
        <f>B38/(1+N38)</f>
        <v>275.49301357645425</v>
      </c>
      <c r="C39" s="2899">
        <f>C38/(1+O38)</f>
        <v>232.41954707985698</v>
      </c>
      <c r="D39" s="2899">
        <f t="shared" si="153"/>
        <v>232.41954707985698</v>
      </c>
      <c r="E39" s="2899">
        <f t="shared" ref="E39:F41" si="164">E38/(1+P38)</f>
        <v>375.32184591008121</v>
      </c>
      <c r="F39" s="2899">
        <f t="shared" si="164"/>
        <v>218.03766105054513</v>
      </c>
      <c r="G39" s="3557"/>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2569</v>
      </c>
      <c r="B40" s="2899">
        <f>B39/(1+N39)</f>
        <v>275.24529281292263</v>
      </c>
      <c r="C40" s="2899">
        <f>C39/(1+O39)</f>
        <v>231.74747938962707</v>
      </c>
      <c r="D40" s="2899">
        <f t="shared" si="153"/>
        <v>231.74747938962707</v>
      </c>
      <c r="E40" s="2899">
        <f t="shared" si="164"/>
        <v>375.35938184826603</v>
      </c>
      <c r="F40" s="2899">
        <f t="shared" si="164"/>
        <v>216.78033510692495</v>
      </c>
      <c r="G40" s="3557"/>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2570</v>
      </c>
      <c r="B41" s="2899">
        <f>B40/(1+N40)</f>
        <v>275.19025476197027</v>
      </c>
      <c r="C41" s="2950">
        <v>232</v>
      </c>
      <c r="D41" s="2950">
        <f t="shared" si="153"/>
        <v>232</v>
      </c>
      <c r="E41" s="2899">
        <f t="shared" si="164"/>
        <v>375.65990977608692</v>
      </c>
      <c r="F41" s="2899">
        <f t="shared" si="164"/>
        <v>214.12518283971252</v>
      </c>
      <c r="G41" s="3560"/>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2571</v>
      </c>
      <c r="B42" s="2920">
        <v>275</v>
      </c>
      <c r="C42" s="2920">
        <v>232</v>
      </c>
      <c r="D42" s="2920">
        <f t="shared" si="153"/>
        <v>232</v>
      </c>
      <c r="E42" s="2920">
        <v>376</v>
      </c>
      <c r="F42" s="2921">
        <v>213</v>
      </c>
      <c r="G42" s="3559">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2572</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557">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2573</v>
      </c>
      <c r="B44" s="2899">
        <f t="shared" si="165"/>
        <v>275.19335084830601</v>
      </c>
      <c r="C44" s="2899">
        <f t="shared" si="165"/>
        <v>230.18088050139744</v>
      </c>
      <c r="D44" s="2899">
        <f t="shared" si="153"/>
        <v>230.18088050139744</v>
      </c>
      <c r="E44" s="2899">
        <f t="shared" si="166"/>
        <v>377.58482925212331</v>
      </c>
      <c r="F44" s="2899">
        <f t="shared" si="166"/>
        <v>210.90687997847917</v>
      </c>
      <c r="G44" s="3557">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2574</v>
      </c>
      <c r="B45" s="2899">
        <f t="shared" si="165"/>
        <v>276.29854502841971</v>
      </c>
      <c r="C45" s="2899">
        <f t="shared" si="165"/>
        <v>229.79023709833027</v>
      </c>
      <c r="D45" s="2899">
        <f t="shared" si="153"/>
        <v>229.79023709833027</v>
      </c>
      <c r="E45" s="2899">
        <f t="shared" si="166"/>
        <v>379.78759731655936</v>
      </c>
      <c r="F45" s="2899">
        <f t="shared" si="166"/>
        <v>211.32953905659235</v>
      </c>
      <c r="G45" s="3560">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2575</v>
      </c>
      <c r="B46" s="2920">
        <v>269</v>
      </c>
      <c r="C46" s="2920">
        <v>221</v>
      </c>
      <c r="D46" s="2920">
        <f t="shared" si="153"/>
        <v>221</v>
      </c>
      <c r="E46" s="2920">
        <v>373</v>
      </c>
      <c r="F46" s="2921">
        <v>196</v>
      </c>
      <c r="G46" s="3559">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2576</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557">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2577</v>
      </c>
      <c r="B48" s="2899">
        <f t="shared" si="167"/>
        <v>242.95398227588385</v>
      </c>
      <c r="C48" s="2899">
        <f t="shared" si="167"/>
        <v>199.59137053614126</v>
      </c>
      <c r="D48" s="2899">
        <f t="shared" si="153"/>
        <v>199.59137053614126</v>
      </c>
      <c r="E48" s="2899">
        <f t="shared" si="168"/>
        <v>335.92189522342125</v>
      </c>
      <c r="F48" s="2899">
        <f t="shared" si="168"/>
        <v>183.10139991109489</v>
      </c>
      <c r="G48" s="3557">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2578</v>
      </c>
      <c r="B49" s="2899">
        <f t="shared" si="167"/>
        <v>232.06990378821649</v>
      </c>
      <c r="C49" s="2899">
        <f t="shared" si="167"/>
        <v>192.74878854286936</v>
      </c>
      <c r="D49" s="2899">
        <f t="shared" si="153"/>
        <v>192.74878854286936</v>
      </c>
      <c r="E49" s="2899">
        <f t="shared" si="168"/>
        <v>319.71247284992984</v>
      </c>
      <c r="F49" s="2899">
        <f t="shared" si="168"/>
        <v>175.67053622862409</v>
      </c>
      <c r="G49" s="3560">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2579</v>
      </c>
      <c r="B50" s="2920">
        <v>220</v>
      </c>
      <c r="C50" s="2920">
        <v>187</v>
      </c>
      <c r="D50" s="2920">
        <f t="shared" si="153"/>
        <v>187</v>
      </c>
      <c r="E50" s="2920">
        <v>301</v>
      </c>
      <c r="F50" s="2921">
        <v>168</v>
      </c>
      <c r="G50" s="3559">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2580</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557">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2581</v>
      </c>
      <c r="B52" s="2899">
        <f t="shared" si="169"/>
        <v>210.630522469011</v>
      </c>
      <c r="C52" s="2899">
        <f t="shared" si="169"/>
        <v>181.69567812247232</v>
      </c>
      <c r="D52" s="2899">
        <f t="shared" si="153"/>
        <v>181.69567812247232</v>
      </c>
      <c r="E52" s="2899">
        <f t="shared" si="170"/>
        <v>286.13517466736738</v>
      </c>
      <c r="F52" s="2899">
        <f t="shared" si="170"/>
        <v>165.47535084591149</v>
      </c>
      <c r="G52" s="3557">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2582</v>
      </c>
      <c r="B53" s="2899">
        <f t="shared" si="169"/>
        <v>208.83454537875372</v>
      </c>
      <c r="C53" s="2899">
        <f t="shared" si="169"/>
        <v>183.77230517090351</v>
      </c>
      <c r="D53" s="2899">
        <f t="shared" si="153"/>
        <v>183.77230517090351</v>
      </c>
      <c r="E53" s="2899">
        <f t="shared" si="170"/>
        <v>281.10342338870947</v>
      </c>
      <c r="F53" s="2899">
        <f t="shared" si="170"/>
        <v>168.97309388942256</v>
      </c>
      <c r="G53" s="3560">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2583</v>
      </c>
      <c r="B54" s="2948">
        <v>214</v>
      </c>
      <c r="C54" s="2948">
        <v>188</v>
      </c>
      <c r="D54" s="2948">
        <f t="shared" si="153"/>
        <v>188</v>
      </c>
      <c r="E54" s="2948">
        <v>289</v>
      </c>
      <c r="F54" s="2949">
        <v>166</v>
      </c>
      <c r="G54" s="3559">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2584</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557">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2585</v>
      </c>
      <c r="B56" s="2899">
        <f t="shared" si="171"/>
        <v>206.31694671589116</v>
      </c>
      <c r="C56" s="2899">
        <f t="shared" si="171"/>
        <v>183.61041121036101</v>
      </c>
      <c r="D56" s="2899">
        <f t="shared" si="153"/>
        <v>183.61041121036101</v>
      </c>
      <c r="E56" s="2899">
        <f t="shared" si="172"/>
        <v>276.66850301795557</v>
      </c>
      <c r="F56" s="2899">
        <f t="shared" si="172"/>
        <v>165.1360938278614</v>
      </c>
      <c r="G56" s="3557">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2586</v>
      </c>
      <c r="B57" s="2951">
        <f t="shared" si="171"/>
        <v>196.62341248059772</v>
      </c>
      <c r="C57" s="2951">
        <f t="shared" si="171"/>
        <v>170.99125648199012</v>
      </c>
      <c r="D57" s="2951">
        <f t="shared" si="153"/>
        <v>170.99125648199012</v>
      </c>
      <c r="E57" s="2951">
        <f t="shared" si="172"/>
        <v>266.07857570490052</v>
      </c>
      <c r="F57" s="2951">
        <f t="shared" si="172"/>
        <v>154.53499328828505</v>
      </c>
      <c r="G57" s="3560">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2587</v>
      </c>
      <c r="B58" s="2920">
        <v>188</v>
      </c>
      <c r="C58" s="2920">
        <v>165</v>
      </c>
      <c r="D58" s="2920">
        <f t="shared" si="153"/>
        <v>165</v>
      </c>
      <c r="E58" s="2920">
        <v>254</v>
      </c>
      <c r="F58" s="2921">
        <v>148</v>
      </c>
      <c r="G58" s="3559">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2588</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557">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2589</v>
      </c>
      <c r="B60" s="2899">
        <f t="shared" si="175"/>
        <v>168.82017748715555</v>
      </c>
      <c r="C60" s="2899">
        <f t="shared" si="175"/>
        <v>148.06267029972753</v>
      </c>
      <c r="D60" s="2899">
        <f t="shared" si="153"/>
        <v>148.06267029972753</v>
      </c>
      <c r="E60" s="2899">
        <f t="shared" si="176"/>
        <v>216.46288379323747</v>
      </c>
      <c r="F60" s="2899">
        <f t="shared" si="176"/>
        <v>134.23529411764704</v>
      </c>
      <c r="G60" s="3557">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2590</v>
      </c>
      <c r="B61" s="2899">
        <f t="shared" si="175"/>
        <v>163.84913591779542</v>
      </c>
      <c r="C61" s="2899">
        <f t="shared" si="175"/>
        <v>145.0283378746594</v>
      </c>
      <c r="D61" s="2899">
        <f t="shared" si="153"/>
        <v>145.0283378746594</v>
      </c>
      <c r="E61" s="2899">
        <f t="shared" si="176"/>
        <v>204.95180722891567</v>
      </c>
      <c r="F61" s="2899">
        <f t="shared" si="176"/>
        <v>125.95920303605313</v>
      </c>
      <c r="G61" s="3560">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2591</v>
      </c>
      <c r="B62" s="2927">
        <v>159</v>
      </c>
      <c r="C62" s="2927">
        <v>141</v>
      </c>
      <c r="D62" s="2927">
        <f t="shared" si="153"/>
        <v>141</v>
      </c>
      <c r="E62" s="2927">
        <v>195</v>
      </c>
      <c r="F62" s="2928">
        <v>122</v>
      </c>
      <c r="G62" s="3559">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2592</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557">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2593</v>
      </c>
      <c r="B64" s="2899">
        <f t="shared" si="179"/>
        <v>146.57412060301507</v>
      </c>
      <c r="C64" s="2899">
        <f t="shared" si="179"/>
        <v>136.46831955922866</v>
      </c>
      <c r="D64" s="2899">
        <f t="shared" si="153"/>
        <v>136.46831955922866</v>
      </c>
      <c r="E64" s="2899">
        <f t="shared" si="180"/>
        <v>166.73864894795128</v>
      </c>
      <c r="F64" s="2899">
        <f t="shared" si="180"/>
        <v>115.05882352941177</v>
      </c>
      <c r="G64" s="3557">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2594</v>
      </c>
      <c r="B65" s="2899">
        <f t="shared" si="179"/>
        <v>144.04145728643215</v>
      </c>
      <c r="C65" s="2899">
        <f t="shared" si="179"/>
        <v>136.12396694214877</v>
      </c>
      <c r="D65" s="2899">
        <f t="shared" si="153"/>
        <v>136.12396694214877</v>
      </c>
      <c r="E65" s="2899">
        <f t="shared" si="180"/>
        <v>158.32225913621264</v>
      </c>
      <c r="F65" s="2899">
        <f t="shared" si="180"/>
        <v>114.04278074866311</v>
      </c>
      <c r="G65" s="3560">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2595</v>
      </c>
      <c r="B66" s="2927">
        <v>138</v>
      </c>
      <c r="C66" s="2927">
        <v>131</v>
      </c>
      <c r="D66" s="2927">
        <f t="shared" si="153"/>
        <v>131</v>
      </c>
      <c r="E66" s="2927">
        <v>155</v>
      </c>
      <c r="F66" s="2928">
        <v>114</v>
      </c>
      <c r="G66" s="3559">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2596</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557">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2597</v>
      </c>
      <c r="B68" s="2899">
        <f t="shared" si="183"/>
        <v>124.29032258064517</v>
      </c>
      <c r="C68" s="2899">
        <f t="shared" si="183"/>
        <v>123.8968609865471</v>
      </c>
      <c r="D68" s="2899">
        <f t="shared" si="153"/>
        <v>123.8968609865471</v>
      </c>
      <c r="E68" s="2899">
        <f t="shared" si="184"/>
        <v>138.00507614213197</v>
      </c>
      <c r="F68" s="2899">
        <f t="shared" si="184"/>
        <v>107.96106557377048</v>
      </c>
      <c r="G68" s="3557">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2598</v>
      </c>
      <c r="B69" s="2899">
        <f t="shared" si="183"/>
        <v>122.57204301075269</v>
      </c>
      <c r="C69" s="2899">
        <f t="shared" si="183"/>
        <v>123.4932735426009</v>
      </c>
      <c r="D69" s="2899">
        <f t="shared" si="153"/>
        <v>123.4932735426009</v>
      </c>
      <c r="E69" s="2899">
        <f t="shared" si="184"/>
        <v>129.82233502538071</v>
      </c>
      <c r="F69" s="2899">
        <f t="shared" si="184"/>
        <v>107.39446721311475</v>
      </c>
      <c r="G69" s="3560">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2599</v>
      </c>
      <c r="B70" s="2948">
        <v>121</v>
      </c>
      <c r="C70" s="2948">
        <v>122</v>
      </c>
      <c r="D70" s="2948">
        <f t="shared" si="153"/>
        <v>122</v>
      </c>
      <c r="E70" s="2948">
        <v>124</v>
      </c>
      <c r="F70" s="2949">
        <v>107</v>
      </c>
      <c r="G70" s="3559">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2600</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557">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2601</v>
      </c>
      <c r="B72" s="2899">
        <f t="shared" si="187"/>
        <v>116.99099099099099</v>
      </c>
      <c r="C72" s="2899">
        <f t="shared" si="187"/>
        <v>118.84848484848486</v>
      </c>
      <c r="D72" s="2899">
        <f t="shared" si="153"/>
        <v>118.84848484848486</v>
      </c>
      <c r="E72" s="2899">
        <f t="shared" si="188"/>
        <v>117.60960960960961</v>
      </c>
      <c r="F72" s="2899">
        <f t="shared" si="188"/>
        <v>104</v>
      </c>
      <c r="G72" s="3557">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2602</v>
      </c>
      <c r="B73" s="2951">
        <f t="shared" si="187"/>
        <v>112.48648648648648</v>
      </c>
      <c r="C73" s="2951">
        <f t="shared" si="187"/>
        <v>115.21212121212122</v>
      </c>
      <c r="D73" s="2951">
        <f t="shared" si="153"/>
        <v>115.21212121212122</v>
      </c>
      <c r="E73" s="2951">
        <f t="shared" si="188"/>
        <v>110.4024024024024</v>
      </c>
      <c r="F73" s="2951">
        <f t="shared" si="188"/>
        <v>104</v>
      </c>
      <c r="G73" s="3560">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2603</v>
      </c>
      <c r="B74" s="2968">
        <v>111</v>
      </c>
      <c r="C74" s="2968">
        <v>114</v>
      </c>
      <c r="D74" s="2968">
        <f t="shared" si="153"/>
        <v>114</v>
      </c>
      <c r="E74" s="2968">
        <v>108</v>
      </c>
      <c r="F74" s="2969">
        <v>104</v>
      </c>
      <c r="G74" s="3559">
        <v>2003</v>
      </c>
      <c r="H74" s="2958">
        <v>4</v>
      </c>
      <c r="I74" s="2970"/>
      <c r="J74" s="2970"/>
      <c r="K74" s="2970"/>
      <c r="L74" s="2970"/>
      <c r="N74" s="2971"/>
      <c r="O74" s="2970"/>
      <c r="P74" s="2970"/>
      <c r="Q74" s="2970"/>
      <c r="S74" s="2971"/>
      <c r="T74" s="2970"/>
      <c r="U74" s="2970"/>
      <c r="V74" s="2970"/>
      <c r="X74" s="2962"/>
      <c r="Y74" s="2962"/>
      <c r="Z74" s="2962"/>
    </row>
    <row r="75" spans="1:26">
      <c r="A75" s="2898" t="s">
        <v>2604</v>
      </c>
      <c r="B75" s="2972">
        <f t="shared" ref="B75:C77" si="189">B76+(B$74-B$78)/4</f>
        <v>109.75</v>
      </c>
      <c r="C75" s="2972">
        <f t="shared" si="189"/>
        <v>112.25</v>
      </c>
      <c r="D75" s="2972">
        <f t="shared" si="153"/>
        <v>112.25</v>
      </c>
      <c r="E75" s="2972">
        <f t="shared" ref="E75:F77" si="190">E76+(E$74-E$78)/4</f>
        <v>107.25</v>
      </c>
      <c r="F75" s="2972">
        <f t="shared" si="190"/>
        <v>103.5</v>
      </c>
      <c r="G75" s="3557">
        <v>2003</v>
      </c>
      <c r="H75" s="2925">
        <v>3</v>
      </c>
      <c r="I75" s="2970"/>
      <c r="J75" s="2970"/>
      <c r="K75" s="2970"/>
      <c r="L75" s="2970"/>
      <c r="X75" s="2962"/>
      <c r="Y75" s="2962"/>
      <c r="Z75" s="2962"/>
    </row>
    <row r="76" spans="1:26">
      <c r="A76" s="2898" t="s">
        <v>2605</v>
      </c>
      <c r="B76" s="2972">
        <f t="shared" si="189"/>
        <v>108.5</v>
      </c>
      <c r="C76" s="2972">
        <f t="shared" si="189"/>
        <v>110.5</v>
      </c>
      <c r="D76" s="2972">
        <f t="shared" si="153"/>
        <v>110.5</v>
      </c>
      <c r="E76" s="2972">
        <f t="shared" si="190"/>
        <v>106.5</v>
      </c>
      <c r="F76" s="2972">
        <f t="shared" si="190"/>
        <v>103</v>
      </c>
      <c r="G76" s="3557">
        <v>2003</v>
      </c>
      <c r="H76" s="2913">
        <v>2</v>
      </c>
      <c r="I76" s="2970"/>
      <c r="J76" s="2970"/>
      <c r="K76" s="2970"/>
      <c r="L76" s="2970"/>
      <c r="X76" s="2962"/>
      <c r="Y76" s="2962"/>
      <c r="Z76" s="2962"/>
    </row>
    <row r="77" spans="1:26" ht="13.5" thickBot="1">
      <c r="A77" s="2898" t="s">
        <v>2606</v>
      </c>
      <c r="B77" s="2972">
        <f t="shared" si="189"/>
        <v>107.25</v>
      </c>
      <c r="C77" s="2972">
        <f t="shared" si="189"/>
        <v>108.75</v>
      </c>
      <c r="D77" s="2972">
        <f t="shared" si="153"/>
        <v>108.75</v>
      </c>
      <c r="E77" s="2972">
        <f t="shared" si="190"/>
        <v>105.75</v>
      </c>
      <c r="F77" s="2972">
        <f t="shared" si="190"/>
        <v>102.5</v>
      </c>
      <c r="G77" s="3560">
        <v>2003</v>
      </c>
      <c r="H77" s="2973">
        <v>1</v>
      </c>
      <c r="I77" s="2970"/>
      <c r="J77" s="2970"/>
      <c r="K77" s="2970"/>
      <c r="L77" s="2970"/>
      <c r="S77" s="2901"/>
      <c r="T77" s="2887"/>
      <c r="U77" s="2887"/>
      <c r="X77" s="2962"/>
      <c r="Y77" s="2962"/>
      <c r="Z77" s="2962"/>
    </row>
    <row r="78" spans="1:26" ht="13.5" thickBot="1">
      <c r="A78" s="2898" t="s">
        <v>2607</v>
      </c>
      <c r="B78" s="2974">
        <v>106</v>
      </c>
      <c r="C78" s="2974">
        <v>107</v>
      </c>
      <c r="D78" s="2974">
        <f t="shared" si="153"/>
        <v>107</v>
      </c>
      <c r="E78" s="2974">
        <v>105</v>
      </c>
      <c r="F78" s="2975">
        <v>102</v>
      </c>
      <c r="G78" s="3559">
        <v>2002</v>
      </c>
      <c r="H78" s="2922">
        <v>4</v>
      </c>
      <c r="I78" s="2970"/>
      <c r="J78" s="2970"/>
      <c r="K78" s="2970"/>
      <c r="L78" s="2970"/>
      <c r="N78" s="2971"/>
      <c r="O78" s="2970"/>
      <c r="P78" s="2970"/>
      <c r="Q78" s="2970"/>
      <c r="S78" s="2971"/>
      <c r="T78" s="2970"/>
      <c r="U78" s="2970"/>
      <c r="V78" s="2970"/>
      <c r="X78" s="2962"/>
      <c r="Y78" s="2962"/>
      <c r="Z78" s="2962"/>
    </row>
    <row r="79" spans="1:26">
      <c r="A79" s="2898" t="s">
        <v>2608</v>
      </c>
      <c r="B79" s="2972">
        <f t="shared" ref="B79:C81" si="191">B80+(B$78-B$82)/4</f>
        <v>105</v>
      </c>
      <c r="C79" s="2972">
        <f t="shared" si="191"/>
        <v>106</v>
      </c>
      <c r="D79" s="2972">
        <f t="shared" si="153"/>
        <v>106</v>
      </c>
      <c r="E79" s="2972">
        <f t="shared" ref="E79:F81" si="192">E80+(E$78-E$82)/4</f>
        <v>104.5</v>
      </c>
      <c r="F79" s="2972">
        <f t="shared" si="192"/>
        <v>101.5</v>
      </c>
      <c r="G79" s="3557">
        <v>2002</v>
      </c>
      <c r="H79" s="2925">
        <v>3</v>
      </c>
      <c r="I79" s="2970"/>
      <c r="J79" s="2970"/>
      <c r="K79" s="2970"/>
      <c r="L79" s="2970"/>
      <c r="X79" s="2962"/>
      <c r="Y79" s="2962"/>
      <c r="Z79" s="2962"/>
    </row>
    <row r="80" spans="1:26">
      <c r="A80" s="2898" t="s">
        <v>2609</v>
      </c>
      <c r="B80" s="2972">
        <f t="shared" si="191"/>
        <v>104</v>
      </c>
      <c r="C80" s="2972">
        <f t="shared" si="191"/>
        <v>105</v>
      </c>
      <c r="D80" s="2972">
        <f t="shared" si="153"/>
        <v>105</v>
      </c>
      <c r="E80" s="2972">
        <f t="shared" si="192"/>
        <v>104</v>
      </c>
      <c r="F80" s="2972">
        <f t="shared" si="192"/>
        <v>101</v>
      </c>
      <c r="G80" s="3557">
        <v>2002</v>
      </c>
      <c r="H80" s="2913">
        <v>2</v>
      </c>
      <c r="I80" s="2970"/>
      <c r="J80" s="2970"/>
      <c r="K80" s="2970"/>
      <c r="L80" s="2970"/>
      <c r="X80" s="2962"/>
      <c r="Y80" s="2962"/>
      <c r="Z80" s="2962"/>
    </row>
    <row r="81" spans="1:26" s="2935" customFormat="1" ht="13.5" thickBot="1">
      <c r="A81" s="2931" t="s">
        <v>2610</v>
      </c>
      <c r="B81" s="2938">
        <f t="shared" si="191"/>
        <v>103</v>
      </c>
      <c r="C81" s="2938">
        <f t="shared" si="191"/>
        <v>104</v>
      </c>
      <c r="D81" s="2938">
        <f t="shared" si="153"/>
        <v>104</v>
      </c>
      <c r="E81" s="2938">
        <f t="shared" si="192"/>
        <v>103.5</v>
      </c>
      <c r="F81" s="2938">
        <f t="shared" si="192"/>
        <v>100.5</v>
      </c>
      <c r="G81" s="3560">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2611</v>
      </c>
      <c r="G84" s="2985"/>
      <c r="N84" s="2985"/>
      <c r="S84" s="2985"/>
    </row>
    <row r="85" spans="1:26" s="2984" customFormat="1">
      <c r="A85" s="2984" t="s">
        <v>2612</v>
      </c>
      <c r="G85" s="2985"/>
      <c r="N85" s="2985"/>
      <c r="S85" s="2985"/>
    </row>
    <row r="86" spans="1:26" s="2984" customFormat="1">
      <c r="A86" s="2984" t="s">
        <v>2613</v>
      </c>
      <c r="G86" s="2985"/>
      <c r="I86" s="2986"/>
      <c r="J86" s="2986"/>
      <c r="K86" s="2986"/>
      <c r="L86" s="2986"/>
      <c r="N86" s="2987"/>
      <c r="O86" s="2986"/>
      <c r="P86" s="2986"/>
      <c r="Q86" s="2986"/>
      <c r="S86" s="2987"/>
      <c r="T86" s="2986"/>
      <c r="U86" s="2986"/>
      <c r="V86" s="2986"/>
    </row>
    <row r="87" spans="1:26" s="2984" customFormat="1">
      <c r="A87" s="2984" t="s">
        <v>2614</v>
      </c>
      <c r="G87" s="2985"/>
      <c r="N87" s="2985"/>
      <c r="S87" s="2985"/>
    </row>
    <row r="94" spans="1:26" ht="13.5" thickBot="1"/>
    <row r="95" spans="1:26">
      <c r="G95" s="2886"/>
      <c r="S95" s="2988" t="s">
        <v>2615</v>
      </c>
      <c r="T95" s="2989" t="s">
        <v>2616</v>
      </c>
      <c r="U95" s="2989" t="s">
        <v>2617</v>
      </c>
      <c r="V95" s="2989" t="s">
        <v>2618</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2914</v>
      </c>
      <c r="B1" s="3246"/>
      <c r="C1" s="3246"/>
      <c r="D1" s="3246"/>
      <c r="E1" s="3246"/>
      <c r="F1" s="3246"/>
      <c r="G1" s="3247"/>
      <c r="H1" s="3247"/>
      <c r="I1" s="3247"/>
      <c r="J1" s="3247"/>
      <c r="K1" s="3247"/>
      <c r="L1" s="3247"/>
      <c r="M1" s="3247"/>
      <c r="N1" s="3247"/>
    </row>
    <row r="2" spans="1:14" ht="14.25">
      <c r="A2" s="3252" t="s">
        <v>2909</v>
      </c>
      <c r="B2" s="3257">
        <f ca="1">SUMIF(B7:B14,"&lt;&gt;#ref!",B7:B14)</f>
        <v>0</v>
      </c>
      <c r="C2" s="3252" t="s">
        <v>2910</v>
      </c>
      <c r="D2" s="3249"/>
      <c r="E2" s="3249"/>
      <c r="F2" s="3249"/>
      <c r="G2" s="3247"/>
      <c r="H2" s="3247"/>
      <c r="I2" s="3247"/>
      <c r="J2" s="3247"/>
      <c r="K2" s="3247"/>
      <c r="L2" s="3247"/>
      <c r="M2" s="3247"/>
      <c r="N2" s="3247"/>
    </row>
    <row r="3" spans="1:14" ht="14.25">
      <c r="A3" s="3252" t="s">
        <v>2939</v>
      </c>
      <c r="B3" s="3257" t="e">
        <f ca="1">ROUND(B2*10000/E3,0)</f>
        <v>#DIV/0!</v>
      </c>
      <c r="C3" s="3252" t="s">
        <v>2067</v>
      </c>
      <c r="D3" s="3252" t="s">
        <v>2911</v>
      </c>
      <c r="E3" s="3250">
        <f ca="1">SUMIF(E7:E14,"&lt;&gt;#ref!",E7:E14)</f>
        <v>0</v>
      </c>
      <c r="F3" s="3249"/>
      <c r="G3" s="3247"/>
      <c r="H3" s="3247"/>
      <c r="I3" s="3247"/>
      <c r="J3" s="3247"/>
      <c r="K3" s="3247"/>
      <c r="L3" s="3247"/>
      <c r="M3" s="3247"/>
      <c r="N3" s="3247"/>
    </row>
    <row r="4" spans="1:14" ht="14.25">
      <c r="A4" s="3252" t="s">
        <v>2917</v>
      </c>
      <c r="B4" s="3257" t="e">
        <f ca="1">ROUND(B2*10000/E4,0)</f>
        <v>#DIV/0!</v>
      </c>
      <c r="C4" s="3252" t="s">
        <v>2067</v>
      </c>
      <c r="D4" s="3252" t="s">
        <v>2918</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2915</v>
      </c>
      <c r="B6" s="3252" t="s">
        <v>2912</v>
      </c>
      <c r="C6" s="2790"/>
      <c r="D6" s="3249"/>
      <c r="E6" s="3252" t="s">
        <v>2913</v>
      </c>
      <c r="F6" s="3252" t="s">
        <v>2916</v>
      </c>
      <c r="G6" s="3247"/>
      <c r="H6" s="3247"/>
      <c r="I6" s="3247"/>
      <c r="J6" s="3247"/>
      <c r="K6" s="3247"/>
      <c r="L6" s="3247"/>
      <c r="M6" s="3247"/>
      <c r="N6" s="3247"/>
    </row>
    <row r="7" spans="1:14" ht="14.25">
      <c r="A7" s="3255"/>
      <c r="B7" s="3257" t="e">
        <f ca="1">SUMIF(INDIRECT("'"&amp;A7&amp;"'"&amp;"!A:A"),"总价",INDIRECT("'"&amp;A7&amp;"'"&amp;"!B:B"))</f>
        <v>#REF!</v>
      </c>
      <c r="C7" s="3252" t="s">
        <v>2910</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2910</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2910</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2910</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2910</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2910</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2910</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2910</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68" t="s">
        <v>2444</v>
      </c>
      <c r="C8" s="1740">
        <f ca="1">ROUND(F8*F10*F9*(1-F11)/10000,0)</f>
        <v>0</v>
      </c>
      <c r="D8" s="1737" t="s">
        <v>2515</v>
      </c>
      <c r="E8" s="61" t="s">
        <v>631</v>
      </c>
      <c r="F8" s="775">
        <f ca="1">INDIRECT("'数据-取费表'!u"&amp;$G$1)</f>
        <v>0</v>
      </c>
      <c r="G8" s="1526"/>
      <c r="H8" s="2357" t="s">
        <v>1815</v>
      </c>
      <c r="I8" s="3568" t="s">
        <v>2444</v>
      </c>
      <c r="J8" s="773">
        <f ca="1">ROUND(M8*M10*M9*(1-M11)/10000,0)</f>
        <v>0</v>
      </c>
      <c r="K8" s="339" t="s">
        <v>2515</v>
      </c>
      <c r="L8" s="774" t="s">
        <v>1729</v>
      </c>
      <c r="M8" s="775">
        <f ca="1">INDIRECT("'数据-取费表'!z"&amp;$G$1)</f>
        <v>0</v>
      </c>
    </row>
    <row r="9" spans="1:25" ht="18" customHeight="1">
      <c r="A9" s="2353"/>
      <c r="B9" s="3569"/>
      <c r="C9" s="1741"/>
      <c r="D9" s="1738"/>
      <c r="E9" s="61" t="s">
        <v>632</v>
      </c>
      <c r="F9" s="775">
        <f ca="1">IF(INDIRECT("'数据-取费表'!ah"&amp;$G$1)="",INDIRECT("'数据-取费表'!k"&amp;$G$1),INDIRECT("'数据-取费表'!ah"&amp;$G$1))</f>
        <v>0</v>
      </c>
      <c r="G9" s="1526"/>
      <c r="H9" s="2342"/>
      <c r="I9" s="3569"/>
      <c r="J9" s="778"/>
      <c r="K9" s="779"/>
      <c r="L9" s="774" t="s">
        <v>1730</v>
      </c>
      <c r="M9" s="775">
        <f ca="1">F9</f>
        <v>0</v>
      </c>
    </row>
    <row r="10" spans="1:25" ht="18" customHeight="1">
      <c r="A10" s="2346"/>
      <c r="B10" s="3570"/>
      <c r="C10" s="1741"/>
      <c r="D10" s="1738"/>
      <c r="E10" s="61" t="s">
        <v>633</v>
      </c>
      <c r="F10" s="775">
        <f ca="1">INDIRECT("'数据-取费表'!ai"&amp;$G$1)</f>
        <v>0</v>
      </c>
      <c r="G10" s="1526"/>
      <c r="H10" s="2342"/>
      <c r="I10" s="3570"/>
      <c r="J10" s="778"/>
      <c r="K10" s="779"/>
      <c r="L10" s="774" t="s">
        <v>1731</v>
      </c>
      <c r="M10" s="775">
        <f ca="1">INDIRECT("'数据-取费表'!ai"&amp;$G$1)</f>
        <v>0</v>
      </c>
    </row>
    <row r="11" spans="1:25" ht="18" customHeight="1">
      <c r="A11" s="776"/>
      <c r="B11" s="3571"/>
      <c r="C11" s="1741"/>
      <c r="D11" s="1738"/>
      <c r="E11" s="61" t="s">
        <v>634</v>
      </c>
      <c r="F11" s="784">
        <f ca="1">INDIRECT("'数据-取费表'!w"&amp;$G$1)</f>
        <v>0</v>
      </c>
      <c r="G11" s="1526"/>
      <c r="H11" s="2358"/>
      <c r="I11" s="3570"/>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2936</v>
      </c>
      <c r="E12" s="2351" t="s">
        <v>2445</v>
      </c>
      <c r="F12" s="2465"/>
      <c r="G12" s="1526"/>
      <c r="H12" s="2414" t="s">
        <v>1816</v>
      </c>
      <c r="I12" s="2419" t="s">
        <v>2440</v>
      </c>
      <c r="J12" s="773">
        <f ca="1">ROUND(IF(M12="押一",J8/12*M13,IF(M12="押二",J8/12*2*M13,IF(M12="押三",J8/12*3*M13,J13*M13))),0)</f>
        <v>0</v>
      </c>
      <c r="K12" s="2354" t="s">
        <v>2936</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3.5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5"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3.5</v>
      </c>
      <c r="G36" s="1945"/>
      <c r="H36" s="1948"/>
      <c r="I36" s="3567"/>
      <c r="J36" s="1962"/>
      <c r="K36" s="1963"/>
      <c r="L36" s="1962"/>
      <c r="M36" s="1962"/>
    </row>
    <row r="37" spans="1:18" ht="18" customHeight="1">
      <c r="A37" s="804"/>
      <c r="B37" s="783"/>
      <c r="C37" s="69"/>
      <c r="D37" s="805"/>
      <c r="E37" s="774" t="s">
        <v>668</v>
      </c>
      <c r="F37" s="775">
        <f ca="1">INDIRECT("'数据-取费表'!r"&amp;$G$1)</f>
        <v>0</v>
      </c>
      <c r="G37" s="1945"/>
      <c r="H37" s="1948"/>
      <c r="I37" s="356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2925</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2928</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2940</v>
      </c>
      <c r="J54" s="2858">
        <f ca="1">IF(M48="住宅",MAX(J52,L49-'数据-取费表'!B20),MIN(J52,L49-'数据-取费表'!B20))</f>
        <v>-2</v>
      </c>
      <c r="K54" s="3572"/>
      <c r="L54" s="3573"/>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2908</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扬中绿洲新城实业集团有限公司：</v>
      </c>
    </row>
    <row r="4" spans="1:4" ht="37.5">
      <c r="A4" s="1706" t="str">
        <f>"受贵公司委托，我公司对"&amp;项目基本情况!K2&amp;项目基本情况!B9&amp;"进行了预评估。"</f>
        <v>受贵公司委托，我公司对江苏省镇江市扬中市油坊镇出让国有建设用地使用权抵押价格进行了预评估。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56.25">
      <c r="A7" s="1710" t="s">
        <v>2727</v>
      </c>
    </row>
    <row r="8" spans="1:4" ht="18.75">
      <c r="A8" s="1709" t="s">
        <v>1897</v>
      </c>
    </row>
    <row r="9" spans="1:4" ht="75">
      <c r="A9" s="171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2021年3月2日</v>
      </c>
    </row>
    <row r="12" spans="1:4" ht="18.75">
      <c r="A12" s="1712" t="s">
        <v>2014</v>
      </c>
    </row>
    <row r="13" spans="1:4" ht="18.75">
      <c r="A13" s="1706" t="s">
        <v>2907</v>
      </c>
    </row>
    <row r="14" spans="1:4" ht="37.5">
      <c r="A14" s="1706" t="str">
        <f>"根据"&amp;项目基本情况!F12&amp;"，本次评估估价对象证载（地类）用途为"&amp;项目基本情况!B12&amp;"。"</f>
        <v>根据《不动产权证书》[苏（2019）扬中市不动产权第9000044号]，本次评估估价对象证载（地类）用途为其它商服用地。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18.75">
      <c r="A21" s="1706" t="s">
        <v>2063</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93.75">
      <c r="A25" s="1706" t="str">
        <f>定义!C53</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H44" sqref="H4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3025</v>
      </c>
      <c r="E1" s="2242" t="s">
        <v>2359</v>
      </c>
      <c r="F1" s="2243">
        <f ca="1">J53</f>
        <v>30.39</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4535</v>
      </c>
      <c r="C2" s="3264"/>
      <c r="D2" s="3265"/>
      <c r="E2" s="3266"/>
      <c r="F2" s="3266"/>
      <c r="G2" s="3260"/>
      <c r="H2" s="1940"/>
      <c r="I2" s="1940"/>
      <c r="J2" s="1940"/>
      <c r="K2" s="1941"/>
      <c r="L2" s="1940"/>
      <c r="M2" s="1940"/>
    </row>
    <row r="3" spans="1:33" ht="18" customHeight="1" thickBot="1">
      <c r="A3" s="822" t="s">
        <v>1718</v>
      </c>
      <c r="B3" s="823">
        <f ca="1">IF(ISERROR(B2*10000/F43),0,ROUND(B2*10000/F43,0))</f>
        <v>6213</v>
      </c>
      <c r="C3" s="3264"/>
      <c r="D3" s="3265"/>
      <c r="E3" s="3266"/>
      <c r="F3" s="3266"/>
      <c r="G3" s="3260"/>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360</v>
      </c>
      <c r="D5" s="2349" t="s">
        <v>2442</v>
      </c>
      <c r="E5" s="2343"/>
      <c r="F5" s="2344"/>
      <c r="G5" s="1945"/>
      <c r="H5" s="771">
        <v>1</v>
      </c>
      <c r="I5" s="772" t="s">
        <v>2439</v>
      </c>
      <c r="J5" s="55">
        <f ca="1">J6+J10+J12</f>
        <v>0</v>
      </c>
      <c r="K5" s="2349" t="s">
        <v>2442</v>
      </c>
      <c r="L5" s="2343"/>
      <c r="M5" s="2344"/>
    </row>
    <row r="6" spans="1:33" ht="18" customHeight="1">
      <c r="A6" s="1745" t="s">
        <v>1815</v>
      </c>
      <c r="B6" s="3568" t="s">
        <v>2444</v>
      </c>
      <c r="C6" s="773">
        <f ca="1">ROUND(F6*F8*F7*(1-F9)/10000,0)</f>
        <v>360</v>
      </c>
      <c r="D6" s="2350" t="s">
        <v>2443</v>
      </c>
      <c r="E6" s="774" t="s">
        <v>1729</v>
      </c>
      <c r="F6" s="775">
        <f ca="1">INDIRECT("'数据-取费表'!u"&amp;$G$1)</f>
        <v>1.5</v>
      </c>
      <c r="G6" s="1945"/>
      <c r="H6" s="2357" t="s">
        <v>2449</v>
      </c>
      <c r="I6" s="3568" t="s">
        <v>2444</v>
      </c>
      <c r="J6" s="773">
        <f ca="1">ROUND(M6*M8*M7*(1-M9)/10000,0)</f>
        <v>0</v>
      </c>
      <c r="K6" s="339" t="s">
        <v>1728</v>
      </c>
      <c r="L6" s="774" t="s">
        <v>1729</v>
      </c>
      <c r="M6" s="775">
        <f ca="1">INDIRECT("'数据-取费表'!z"&amp;$G$1)</f>
        <v>0</v>
      </c>
    </row>
    <row r="7" spans="1:33" ht="18" customHeight="1">
      <c r="A7" s="2353"/>
      <c r="B7" s="3569"/>
      <c r="C7" s="778"/>
      <c r="D7" s="779"/>
      <c r="E7" s="774" t="s">
        <v>1730</v>
      </c>
      <c r="F7" s="775">
        <f ca="1">IF(INDIRECT("'数据-取费表'!ah"&amp;$G$1)="",INDIRECT("'数据-取费表'!k"&amp;$G$1),INDIRECT("'数据-取费表'!ah"&amp;$G$1))</f>
        <v>7298.9700000000012</v>
      </c>
      <c r="G7" s="1945"/>
      <c r="H7" s="2342"/>
      <c r="I7" s="3569"/>
      <c r="J7" s="778"/>
      <c r="K7" s="779"/>
      <c r="L7" s="774" t="s">
        <v>1730</v>
      </c>
      <c r="M7" s="775">
        <f ca="1">F7</f>
        <v>7298.9700000000012</v>
      </c>
    </row>
    <row r="8" spans="1:33" ht="18" customHeight="1">
      <c r="A8" s="2346"/>
      <c r="B8" s="3570"/>
      <c r="C8" s="778"/>
      <c r="D8" s="779"/>
      <c r="E8" s="774" t="s">
        <v>1731</v>
      </c>
      <c r="F8" s="775">
        <f ca="1">INDIRECT("'数据-取费表'!ai"&amp;$G$1)</f>
        <v>365</v>
      </c>
      <c r="G8" s="1945"/>
      <c r="H8" s="2342"/>
      <c r="I8" s="3570"/>
      <c r="J8" s="778"/>
      <c r="K8" s="779"/>
      <c r="L8" s="774" t="s">
        <v>1731</v>
      </c>
      <c r="M8" s="775">
        <f ca="1">INDIRECT("'数据-取费表'!ai"&amp;$G$1)</f>
        <v>365</v>
      </c>
    </row>
    <row r="9" spans="1:33" ht="18" customHeight="1">
      <c r="A9" s="776"/>
      <c r="B9" s="3571"/>
      <c r="C9" s="778"/>
      <c r="D9" s="779"/>
      <c r="E9" s="774" t="s">
        <v>1732</v>
      </c>
      <c r="F9" s="784">
        <f ca="1">INDIRECT("'数据-取费表'!w"&amp;$G$1)</f>
        <v>0.1</v>
      </c>
      <c r="G9" s="1945"/>
      <c r="H9" s="2358"/>
      <c r="I9" s="3570"/>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2936</v>
      </c>
      <c r="E10" s="2351" t="s">
        <v>2445</v>
      </c>
      <c r="F10" s="2465" t="s">
        <v>3022</v>
      </c>
      <c r="G10" s="1945"/>
      <c r="H10" s="2414" t="s">
        <v>2450</v>
      </c>
      <c r="I10" s="2419" t="s">
        <v>2440</v>
      </c>
      <c r="J10" s="773">
        <f ca="1">ROUND(IF(M10="押一",J6/12*M11,IF(M10="押二",J6/12*2*M11,IF(M10="押三",J6/12*3*M11,J11*M11))),0)</f>
        <v>0</v>
      </c>
      <c r="K10" s="2354" t="s">
        <v>2936</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2798</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1898</v>
      </c>
      <c r="D14" s="1893" t="s">
        <v>1736</v>
      </c>
      <c r="E14" s="1894"/>
      <c r="F14" s="795"/>
      <c r="G14" s="1945"/>
      <c r="H14" s="1577" t="s">
        <v>1821</v>
      </c>
      <c r="I14" s="2111" t="s">
        <v>2805</v>
      </c>
      <c r="J14" s="53">
        <f ca="1">C29</f>
        <v>2798</v>
      </c>
      <c r="K14" s="26"/>
      <c r="L14" s="791"/>
      <c r="M14" s="792"/>
    </row>
    <row r="15" spans="1:33" s="1947" customFormat="1" ht="18" customHeight="1" thickBot="1">
      <c r="A15" s="1576" t="s">
        <v>1876</v>
      </c>
      <c r="B15" s="774" t="s">
        <v>641</v>
      </c>
      <c r="C15" s="53">
        <f ca="1">ROUND(C14*F15,0)</f>
        <v>57</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292</v>
      </c>
      <c r="K16" s="1736" t="s">
        <v>1741</v>
      </c>
      <c r="L16" s="2339"/>
      <c r="M16" s="2344"/>
    </row>
    <row r="17" spans="1:33" s="1947" customFormat="1" ht="18" customHeight="1">
      <c r="A17" s="1576" t="s">
        <v>1878</v>
      </c>
      <c r="B17" s="774" t="s">
        <v>647</v>
      </c>
      <c r="C17" s="53">
        <f ca="1">ROUND(F17*(F43+INDIRECT("'数据-取费表'!S"&amp;$G$1))/10000,0)</f>
        <v>146</v>
      </c>
      <c r="D17" s="774" t="s">
        <v>1742</v>
      </c>
      <c r="E17" s="774" t="s">
        <v>1743</v>
      </c>
      <c r="F17" s="56">
        <f>'数据-取费表'!B35</f>
        <v>200</v>
      </c>
      <c r="G17" s="3261"/>
      <c r="H17" s="1577" t="s">
        <v>1821</v>
      </c>
      <c r="I17" s="774" t="s">
        <v>650</v>
      </c>
      <c r="J17" s="3019">
        <f ca="1">ROUND(IF(AND(项目基本情况!B11="自然人",项目基本情况!B10="北京市"),J6*M17/(1+'数据-取费表'!C42),J18+J19+J20),0)</f>
        <v>236</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28</v>
      </c>
      <c r="D18" s="774" t="s">
        <v>1737</v>
      </c>
      <c r="E18" s="774" t="s">
        <v>1738</v>
      </c>
      <c r="F18" s="799">
        <f>'数据-取费表'!B36</f>
        <v>1.4999999999999999E-2</v>
      </c>
      <c r="G18" s="3261"/>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2129</v>
      </c>
      <c r="D19" s="259" t="s">
        <v>1748</v>
      </c>
      <c r="E19" s="1896"/>
      <c r="F19" s="56"/>
      <c r="G19" s="1945"/>
      <c r="H19" s="1576" t="s">
        <v>1876</v>
      </c>
      <c r="I19" s="774" t="s">
        <v>1749</v>
      </c>
      <c r="J19" s="53">
        <f ca="1">IF(K19="按租金收入计税",ROUND(J6*M19/(1+'数据-取费表'!C42),1),ROUND(C29*F33*0.7,1))</f>
        <v>235</v>
      </c>
      <c r="K19" s="800" t="s">
        <v>659</v>
      </c>
      <c r="L19" s="774" t="s">
        <v>1738</v>
      </c>
      <c r="M19" s="799">
        <f>IF(K19="按租金收入计税",'数据-取费表'!B51,'数据-取费表'!B50)</f>
        <v>1.2E-2</v>
      </c>
    </row>
    <row r="20" spans="1:33" s="1947" customFormat="1" ht="18" customHeight="1">
      <c r="A20" s="1577" t="s">
        <v>1880</v>
      </c>
      <c r="B20" s="774" t="s">
        <v>660</v>
      </c>
      <c r="C20" s="53">
        <f ca="1">ROUND(C19*F20,0)</f>
        <v>43</v>
      </c>
      <c r="D20" s="801" t="s">
        <v>1750</v>
      </c>
      <c r="E20" s="774" t="s">
        <v>1738</v>
      </c>
      <c r="F20" s="799">
        <f>'数据-取费表'!B37</f>
        <v>0.02</v>
      </c>
      <c r="G20" s="3261"/>
      <c r="H20" s="1579" t="s">
        <v>1871</v>
      </c>
      <c r="I20" s="339" t="s">
        <v>1751</v>
      </c>
      <c r="J20" s="54">
        <f ca="1">ROUND(M20*M21/10000,0)</f>
        <v>1</v>
      </c>
      <c r="K20" s="803" t="s">
        <v>1752</v>
      </c>
      <c r="L20" s="774" t="s">
        <v>1753</v>
      </c>
      <c r="M20" s="632">
        <f>'数据-取费表'!B52</f>
        <v>3.5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2085.42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56</v>
      </c>
      <c r="K22" s="2337" t="s">
        <v>1760</v>
      </c>
      <c r="L22" s="774" t="s">
        <v>1738</v>
      </c>
      <c r="M22" s="806">
        <f ca="1">INDIRECT("'数据-取费表'!Ak"&amp;$G$1)</f>
        <v>0.02</v>
      </c>
    </row>
    <row r="23" spans="1:33" s="1947" customFormat="1" ht="18" customHeight="1">
      <c r="A23" s="1576" t="s">
        <v>1822</v>
      </c>
      <c r="B23" s="774" t="s">
        <v>2516</v>
      </c>
      <c r="C23" s="53">
        <f ca="1">ROUND(IF('数据-取费表'!B22&lt;=1,(C19+C20)*F24*F23/2,(C19+C20)*(POWER((1+F24),F23/2)-1)),0)</f>
        <v>84</v>
      </c>
      <c r="D23" s="2423" t="str">
        <f>IF(F23&lt;=1,"(建造成本+管理费用)×利率×(建设周期÷2)","(建造成本+管理费用)×((1+利率)^(建设周期÷2)-1)")</f>
        <v>(建造成本+管理费用)×((1+利率)^(建设周期÷2)-1)</v>
      </c>
      <c r="E23" s="774" t="s">
        <v>1761</v>
      </c>
      <c r="F23" s="632">
        <f>'数据-取费表'!B20</f>
        <v>2</v>
      </c>
      <c r="G23" s="3261"/>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8.0000000000000004E-4</v>
      </c>
      <c r="D24" s="2423" t="str">
        <f>IF(F23&lt;=1,"销售费用×利率×(建设周期÷2)","销售费用×((1+利率)^(建设周期÷2)-1)")</f>
        <v>销售费用×((1+利率)^(建设周期÷2)-1)</v>
      </c>
      <c r="E24" s="774" t="s">
        <v>1764</v>
      </c>
      <c r="F24" s="808">
        <f ca="1">'数据-取费表'!B40</f>
        <v>3.85E-2</v>
      </c>
      <c r="G24" s="3261"/>
      <c r="H24" s="2404" t="s">
        <v>1882</v>
      </c>
      <c r="I24" s="2399" t="s">
        <v>660</v>
      </c>
      <c r="J24" s="2397">
        <f ca="1">ROUND(J5*M24,0)</f>
        <v>0</v>
      </c>
      <c r="K24" s="2398" t="s">
        <v>1765</v>
      </c>
      <c r="L24" s="2399" t="s">
        <v>1738</v>
      </c>
      <c r="M24" s="2395">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2801</v>
      </c>
      <c r="J25" s="782">
        <f ca="1">J5-J16</f>
        <v>-292</v>
      </c>
      <c r="K25" s="2401" t="s">
        <v>1768</v>
      </c>
      <c r="L25" s="2402"/>
      <c r="M25" s="2403"/>
    </row>
    <row r="26" spans="1:33" ht="18" customHeight="1">
      <c r="A26" s="1576" t="s">
        <v>1822</v>
      </c>
      <c r="B26" s="774" t="s">
        <v>2422</v>
      </c>
      <c r="C26" s="53">
        <f ca="1">ROUND((C19+C20)*F26,0)</f>
        <v>326</v>
      </c>
      <c r="D26" s="801" t="s">
        <v>1769</v>
      </c>
      <c r="E26" s="785" t="s">
        <v>1770</v>
      </c>
      <c r="F26" s="784">
        <f ca="1">INDIRECT("'数据-取费表'!q"&amp;$G$1)</f>
        <v>0.15</v>
      </c>
      <c r="G26" s="1945"/>
      <c r="H26" s="2355" t="s">
        <v>1771</v>
      </c>
      <c r="I26" s="2112" t="s">
        <v>2806</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3.0000000000000001E-3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2798</v>
      </c>
      <c r="D29" s="2398"/>
      <c r="E29" s="2399"/>
      <c r="F29" s="2400"/>
      <c r="G29" s="3261"/>
      <c r="H29" s="812" t="s">
        <v>1778</v>
      </c>
      <c r="I29" s="813" t="s">
        <v>1779</v>
      </c>
      <c r="J29" s="814">
        <f ca="1">ROUND(J26/(1+F40)^F41,0)</f>
        <v>0</v>
      </c>
      <c r="K29" s="815" t="s">
        <v>1780</v>
      </c>
      <c r="L29" s="816"/>
      <c r="M29" s="817">
        <f ca="1">INDIRECT("'数据-取费表'!k"&amp;$G$1)</f>
        <v>7298.9700000000012</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127</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61</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6" t="s">
        <v>1822</v>
      </c>
      <c r="B32" s="774" t="s">
        <v>1785</v>
      </c>
      <c r="C32" s="53">
        <f ca="1">ROUND(C6*F32/(1+'数据-取费表'!C42),1)</f>
        <v>19.2</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41.1</v>
      </c>
      <c r="D33" s="800" t="s">
        <v>3023</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0.7</v>
      </c>
      <c r="D34" s="803" t="s">
        <v>1790</v>
      </c>
      <c r="E34" s="774" t="s">
        <v>1791</v>
      </c>
      <c r="F34" s="632">
        <f>'数据-取费表'!B52</f>
        <v>3.5</v>
      </c>
      <c r="G34" s="1945"/>
      <c r="H34" s="1948"/>
      <c r="I34" s="824" t="s">
        <v>1804</v>
      </c>
      <c r="J34" s="825"/>
      <c r="K34" s="1963"/>
      <c r="L34" s="1962"/>
      <c r="M34" s="1962"/>
    </row>
    <row r="35" spans="1:18" ht="18" customHeight="1">
      <c r="A35" s="804"/>
      <c r="B35" s="783"/>
      <c r="C35" s="69"/>
      <c r="D35" s="805"/>
      <c r="E35" s="774" t="s">
        <v>1792</v>
      </c>
      <c r="F35" s="775">
        <f ca="1">INDIRECT("'数据-取费表'!r"&amp;$G$1)</f>
        <v>2085.42</v>
      </c>
      <c r="G35" s="1945"/>
      <c r="H35" s="1948"/>
      <c r="I35" s="826" t="s">
        <v>1805</v>
      </c>
      <c r="J35" s="827">
        <f ca="1">ROUND(C13*J36,0)</f>
        <v>238</v>
      </c>
      <c r="K35" s="1961"/>
      <c r="L35" s="1960"/>
      <c r="M35" s="1960"/>
    </row>
    <row r="36" spans="1:18" ht="18" customHeight="1">
      <c r="A36" s="1577" t="s">
        <v>1880</v>
      </c>
      <c r="B36" s="774" t="s">
        <v>1793</v>
      </c>
      <c r="C36" s="53">
        <f ca="1">ROUND(C29*F36,1)</f>
        <v>56</v>
      </c>
      <c r="D36" s="1891" t="s">
        <v>1794</v>
      </c>
      <c r="E36" s="774" t="s">
        <v>1787</v>
      </c>
      <c r="F36" s="806">
        <f ca="1">INDIRECT("'数据-取费表'!Ak"&amp;$G$1)</f>
        <v>0.02</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4.2</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5.4</v>
      </c>
      <c r="D38" s="2398" t="s">
        <v>1796</v>
      </c>
      <c r="E38" s="2399" t="s">
        <v>1787</v>
      </c>
      <c r="F38" s="2395">
        <f ca="1">INDIRECT("'数据-取费表'!Am"&amp;$G$1)</f>
        <v>1.4999999999999999E-2</v>
      </c>
      <c r="G38" s="1945"/>
      <c r="H38" s="1960"/>
      <c r="I38" s="832" t="s">
        <v>1808</v>
      </c>
      <c r="J38" s="833"/>
      <c r="K38" s="1965"/>
      <c r="L38" s="1960"/>
      <c r="M38" s="1960"/>
    </row>
    <row r="39" spans="1:18" ht="24.6" customHeight="1" thickTop="1">
      <c r="A39" s="1744" t="s">
        <v>1885</v>
      </c>
      <c r="B39" s="2723" t="s">
        <v>2801</v>
      </c>
      <c r="C39" s="782">
        <f ca="1">C5-C30</f>
        <v>233</v>
      </c>
      <c r="D39" s="2401" t="s">
        <v>1797</v>
      </c>
      <c r="E39" s="2402"/>
      <c r="F39" s="2403"/>
      <c r="G39" s="1945"/>
      <c r="H39" s="1960"/>
      <c r="I39" s="826" t="s">
        <v>1809</v>
      </c>
      <c r="J39" s="834">
        <f ca="1">ROUND(J35/C39,3)</f>
        <v>1.0209999999999999</v>
      </c>
      <c r="K39" s="1965"/>
      <c r="L39" s="1960"/>
      <c r="M39" s="1960"/>
    </row>
    <row r="40" spans="1:18" ht="18" customHeight="1">
      <c r="A40" s="771" t="s">
        <v>1886</v>
      </c>
      <c r="B40" s="2112" t="s">
        <v>2289</v>
      </c>
      <c r="C40" s="773">
        <f ca="1">ROUND(C39*(1-((1+F42)/(1+F40))^F41)/(F40-F42),0)</f>
        <v>4535</v>
      </c>
      <c r="D40" s="803" t="s">
        <v>1798</v>
      </c>
      <c r="E40" s="774" t="s">
        <v>2404</v>
      </c>
      <c r="F40" s="784">
        <f ca="1">INDIRECT("'数据-取费表'!I"&amp;$G$1)</f>
        <v>5.5E-2</v>
      </c>
      <c r="G40" s="1945"/>
      <c r="H40" s="1945"/>
      <c r="I40" s="826" t="s">
        <v>1810</v>
      </c>
      <c r="J40" s="834">
        <f ca="1">1-J39</f>
        <v>-2.0999999999999908E-2</v>
      </c>
      <c r="K40" s="1965"/>
      <c r="L40" s="1945"/>
      <c r="M40" s="1945"/>
    </row>
    <row r="41" spans="1:18" ht="18" customHeight="1">
      <c r="A41" s="776"/>
      <c r="B41" s="777"/>
      <c r="C41" s="778"/>
      <c r="D41" s="810" t="s">
        <v>1799</v>
      </c>
      <c r="E41" s="774" t="s">
        <v>2927</v>
      </c>
      <c r="F41" s="811">
        <f ca="1">IF(INDIRECT("'数据-取费表'!af"&amp;$G$1)=0,INDIRECT("'数据-取费表'!ae"&amp;$G$1),INDIRECT("'数据-取费表'!af"&amp;$G$1))</f>
        <v>30.39</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0.61699999999999999</v>
      </c>
      <c r="K42" s="1964"/>
      <c r="L42" s="1900"/>
      <c r="M42" s="1900"/>
    </row>
    <row r="43" spans="1:18" ht="18" customHeight="1" thickBot="1">
      <c r="A43" s="812" t="s">
        <v>1778</v>
      </c>
      <c r="B43" s="813" t="s">
        <v>1801</v>
      </c>
      <c r="C43" s="814">
        <f ca="1">ROUND(C40*10000/F43,0)</f>
        <v>6213</v>
      </c>
      <c r="D43" s="815" t="s">
        <v>1802</v>
      </c>
      <c r="E43" s="816" t="s">
        <v>1803</v>
      </c>
      <c r="F43" s="817">
        <f ca="1">INDIRECT("'数据-取费表'!k"&amp;$G$1)</f>
        <v>7298.9700000000012</v>
      </c>
      <c r="G43" s="1945"/>
      <c r="H43" s="1900"/>
      <c r="I43" s="836" t="s">
        <v>1813</v>
      </c>
      <c r="J43" s="837">
        <f ca="1">1-J42</f>
        <v>0.38300000000000001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-5426</v>
      </c>
      <c r="D46" s="3262"/>
      <c r="E46" s="3262"/>
      <c r="F46" s="3262"/>
      <c r="I46" s="2233" t="s">
        <v>2328</v>
      </c>
      <c r="J46" s="2234"/>
      <c r="K46" s="2235"/>
      <c r="L46" s="2811">
        <f>IF(OR(M47="住宅",D1="土地（套用方法）"),0,IF(L48&gt;J51,L60,J60))</f>
        <v>0</v>
      </c>
      <c r="M46" s="3263"/>
      <c r="O46" s="2249" t="s">
        <v>2395</v>
      </c>
      <c r="P46" s="1526"/>
      <c r="Q46" s="1534"/>
      <c r="R46" s="1526"/>
    </row>
    <row r="47" spans="1:18" s="1942" customFormat="1" ht="18" customHeight="1" thickBot="1">
      <c r="A47" s="2227">
        <v>1</v>
      </c>
      <c r="B47" s="2228" t="s">
        <v>629</v>
      </c>
      <c r="C47" s="2426">
        <f ca="1">C48+C52+C54</f>
        <v>0</v>
      </c>
      <c r="D47" s="3262"/>
      <c r="E47" s="3262"/>
      <c r="F47" s="3262"/>
      <c r="I47" s="2802" t="s">
        <v>2329</v>
      </c>
      <c r="J47" s="2236" t="s">
        <v>3024</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9" t="s">
        <v>2330</v>
      </c>
      <c r="J48" s="2237" t="s">
        <v>2335</v>
      </c>
      <c r="K48" s="2809" t="s">
        <v>2336</v>
      </c>
      <c r="L48" s="1822">
        <f ca="1">INDIRECT("'数据-取费表'!f"&amp;$G$1)</f>
        <v>32.39</v>
      </c>
      <c r="M48" s="3263"/>
      <c r="O48" s="2253" t="s">
        <v>2364</v>
      </c>
      <c r="P48" s="2254" t="s">
        <v>2390</v>
      </c>
      <c r="Q48" s="2255">
        <f ca="1">C40+J29</f>
        <v>4535</v>
      </c>
      <c r="R48" s="2254" t="s">
        <v>2365</v>
      </c>
    </row>
    <row r="49" spans="1:18" s="1942" customFormat="1" ht="18" customHeight="1" thickBot="1">
      <c r="A49" s="776"/>
      <c r="B49" s="777"/>
      <c r="C49" s="778"/>
      <c r="D49" s="779"/>
      <c r="E49" s="774" t="s">
        <v>1730</v>
      </c>
      <c r="F49" s="775">
        <f ca="1">F7</f>
        <v>7298.9700000000012</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3"/>
      <c r="O50" s="2256" t="s">
        <v>2368</v>
      </c>
      <c r="P50" s="2254" t="s">
        <v>2392</v>
      </c>
      <c r="Q50" s="2255">
        <f ca="1">C29</f>
        <v>2798</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-91</v>
      </c>
      <c r="M51" s="3263"/>
      <c r="O51" s="2256" t="s">
        <v>2369</v>
      </c>
      <c r="P51" s="2254" t="s">
        <v>2370</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2937</v>
      </c>
      <c r="E52" s="2351" t="s">
        <v>2445</v>
      </c>
      <c r="F52" s="2465"/>
      <c r="I52" s="2804" t="s">
        <v>2406</v>
      </c>
      <c r="J52" s="2240">
        <v>0.09</v>
      </c>
      <c r="K52" s="2804" t="s">
        <v>2405</v>
      </c>
      <c r="L52" s="2240"/>
      <c r="M52" s="3263"/>
      <c r="O52" s="2256" t="s">
        <v>2371</v>
      </c>
      <c r="P52" s="2254" t="s">
        <v>2372</v>
      </c>
      <c r="Q52" s="2257">
        <f>J52</f>
        <v>0.09</v>
      </c>
      <c r="R52" s="2258"/>
    </row>
    <row r="53" spans="1:18" s="1942" customFormat="1" ht="39.75" customHeight="1" thickBot="1">
      <c r="A53" s="776"/>
      <c r="B53" s="2348" t="s">
        <v>2554</v>
      </c>
      <c r="C53" s="2352"/>
      <c r="D53" s="2354"/>
      <c r="E53" s="2351"/>
      <c r="F53" s="790"/>
      <c r="I53" s="2805" t="s">
        <v>2940</v>
      </c>
      <c r="J53" s="2858">
        <f ca="1">IF(M47="住宅",IF(D1="——",MAX(J51,L48),MAX(J51,L48-'数据-取费表'!B20)),IF(D1="——",MIN(J51,L48),MIN(J51,L48-'数据-取费表'!B20)))</f>
        <v>30.39</v>
      </c>
      <c r="K53" s="3574" t="s">
        <v>2929</v>
      </c>
      <c r="L53" s="3575"/>
      <c r="M53" s="3263"/>
      <c r="O53" s="2256" t="s">
        <v>2373</v>
      </c>
      <c r="P53" s="2254" t="s">
        <v>2374</v>
      </c>
      <c r="Q53" s="2255">
        <f ca="1">J53</f>
        <v>30.39</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2376</v>
      </c>
      <c r="P54" s="2254" t="s">
        <v>2393</v>
      </c>
      <c r="Q54" s="2255">
        <f ca="1">Q48+Q49</f>
        <v>4535</v>
      </c>
      <c r="R54" s="2258" t="s">
        <v>2377</v>
      </c>
    </row>
    <row r="55" spans="1:18" s="1942" customFormat="1" ht="18" customHeight="1" thickTop="1" thickBot="1">
      <c r="A55" s="787">
        <v>2</v>
      </c>
      <c r="B55" s="788" t="s">
        <v>638</v>
      </c>
      <c r="C55" s="789">
        <f ca="1">C13</f>
        <v>2798</v>
      </c>
      <c r="D55" s="785"/>
      <c r="E55" s="785"/>
      <c r="F55" s="790"/>
      <c r="I55" s="2816" t="s">
        <v>2340</v>
      </c>
      <c r="J55" s="2788" t="e">
        <f ca="1">ROUND(IF(J47="钢混",J57/J50,1-(1-2%)*(J50-J57)/J50),3)</f>
        <v>#VALUE!</v>
      </c>
      <c r="K55" s="2817" t="s">
        <v>2341</v>
      </c>
      <c r="L55" s="2241"/>
      <c r="M55" s="3263"/>
      <c r="O55" s="2259" t="s">
        <v>2396</v>
      </c>
      <c r="P55" s="1526"/>
      <c r="Q55" s="1534"/>
      <c r="R55" s="1526"/>
    </row>
    <row r="56" spans="1:18" s="1942" customFormat="1" ht="42.75" customHeight="1" thickBot="1">
      <c r="A56" s="1578"/>
      <c r="B56" s="2111" t="s">
        <v>2290</v>
      </c>
      <c r="C56" s="53">
        <f ca="1">C29</f>
        <v>2798</v>
      </c>
      <c r="D56" s="2481"/>
      <c r="E56" s="774"/>
      <c r="F56" s="799"/>
      <c r="I56" s="2818" t="s">
        <v>2342</v>
      </c>
      <c r="J56" s="2828" t="s">
        <v>1669</v>
      </c>
      <c r="K56" s="2799" t="s">
        <v>2347</v>
      </c>
      <c r="L56" s="1822" t="str">
        <f ca="1">IF(L48&lt;J51,"——",L48-J51)</f>
        <v>——</v>
      </c>
      <c r="M56" s="3263"/>
      <c r="O56" s="2250" t="s">
        <v>2360</v>
      </c>
      <c r="P56" s="2251" t="s">
        <v>2361</v>
      </c>
      <c r="Q56" s="2252" t="s">
        <v>2362</v>
      </c>
      <c r="R56" s="2251" t="s">
        <v>2363</v>
      </c>
    </row>
    <row r="57" spans="1:18" s="1942" customFormat="1" ht="28.5" customHeight="1" thickBot="1">
      <c r="A57" s="787" t="s">
        <v>1739</v>
      </c>
      <c r="B57" s="788" t="s">
        <v>645</v>
      </c>
      <c r="C57" s="789">
        <f ca="1">ROUND(C58+C63+C64+C65,0)</f>
        <v>61</v>
      </c>
      <c r="D57" s="26" t="s">
        <v>1741</v>
      </c>
      <c r="E57" s="2482"/>
      <c r="F57" s="56"/>
      <c r="I57" s="2819" t="s">
        <v>2343</v>
      </c>
      <c r="J57" s="2820" t="str">
        <f ca="1">IF(OR(M47="住宅",J51&lt;L48,J56="是"),"——",J51-L48)</f>
        <v>——</v>
      </c>
      <c r="K57" s="2799" t="s">
        <v>2348</v>
      </c>
      <c r="L57" s="1822" t="str">
        <f ca="1">IF(L48&lt;J51,"——",IF(L55="比较法",L49,IF(L55="基准地价",L50,L51)))</f>
        <v>——</v>
      </c>
      <c r="M57" s="3263"/>
      <c r="O57" s="2253" t="s">
        <v>2364</v>
      </c>
      <c r="P57" s="2254" t="s">
        <v>2394</v>
      </c>
      <c r="Q57" s="2255">
        <f ca="1">C40+J29</f>
        <v>4535</v>
      </c>
      <c r="R57" s="2254" t="s">
        <v>2365</v>
      </c>
    </row>
    <row r="58" spans="1:18" s="1942" customFormat="1" ht="28.5" customHeight="1" thickBot="1">
      <c r="A58" s="1577" t="s">
        <v>1815</v>
      </c>
      <c r="B58" s="774" t="s">
        <v>650</v>
      </c>
      <c r="C58" s="3019">
        <f ca="1">ROUND(IF(AND(项目基本情况!B11="自然人",项目基本情况!B10="北京市"),C48*F58/(1+'数据-取费表'!C42),C59+C60+C61),0)</f>
        <v>1</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6" t="s">
        <v>2369</v>
      </c>
      <c r="P60" s="2254" t="s">
        <v>2378</v>
      </c>
      <c r="Q60" s="2257">
        <f>L52</f>
        <v>0</v>
      </c>
      <c r="R60" s="2258"/>
    </row>
    <row r="61" spans="1:18" s="1942" customFormat="1" ht="18" customHeight="1" thickBot="1">
      <c r="A61" s="1579" t="s">
        <v>1824</v>
      </c>
      <c r="B61" s="339" t="s">
        <v>662</v>
      </c>
      <c r="C61" s="54">
        <f ca="1">ROUND(F61*F62/10000,1)</f>
        <v>0.7</v>
      </c>
      <c r="D61" s="803" t="s">
        <v>663</v>
      </c>
      <c r="E61" s="774" t="s">
        <v>664</v>
      </c>
      <c r="F61" s="632">
        <f t="shared" si="0"/>
        <v>3.5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2085.42</v>
      </c>
      <c r="I62" s="2824" t="s">
        <v>2352</v>
      </c>
      <c r="J62" s="2825" t="s">
        <v>2353</v>
      </c>
      <c r="K62" s="2825" t="s">
        <v>2354</v>
      </c>
      <c r="L62" s="2825" t="s">
        <v>2335</v>
      </c>
      <c r="M62" s="2826" t="s">
        <v>2908</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56</v>
      </c>
      <c r="D63" s="2481" t="s">
        <v>1794</v>
      </c>
      <c r="E63" s="774" t="s">
        <v>1738</v>
      </c>
      <c r="F63" s="806">
        <f t="shared" ca="1" si="0"/>
        <v>0.02</v>
      </c>
      <c r="I63" s="2824" t="s">
        <v>2355</v>
      </c>
      <c r="J63" s="2825">
        <v>70</v>
      </c>
      <c r="K63" s="2825">
        <v>50</v>
      </c>
      <c r="L63" s="2825">
        <v>80</v>
      </c>
      <c r="M63" s="2827">
        <v>0.02</v>
      </c>
      <c r="O63" s="2253" t="s">
        <v>2376</v>
      </c>
      <c r="P63" s="2254" t="s">
        <v>2393</v>
      </c>
      <c r="Q63" s="2255">
        <f ca="1">Q57+Q58</f>
        <v>4535</v>
      </c>
      <c r="R63" s="2258" t="s">
        <v>2377</v>
      </c>
    </row>
    <row r="64" spans="1:18" s="1942" customFormat="1" ht="16.5" thickBot="1">
      <c r="A64" s="1577" t="s">
        <v>1881</v>
      </c>
      <c r="B64" s="774" t="s">
        <v>673</v>
      </c>
      <c r="C64" s="53">
        <f ca="1">ROUND(C55*F64,1)</f>
        <v>4.2</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1.4999999999999999E-2</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2801</v>
      </c>
      <c r="C66" s="789">
        <f ca="1">C47-C57</f>
        <v>-61</v>
      </c>
      <c r="D66" s="2480" t="s">
        <v>694</v>
      </c>
      <c r="E66" s="2479"/>
      <c r="F66" s="809"/>
      <c r="K66" s="1968"/>
      <c r="O66" s="2253" t="s">
        <v>2364</v>
      </c>
      <c r="P66" s="2254" t="s">
        <v>2394</v>
      </c>
      <c r="Q66" s="2255">
        <f ca="1">C40+J29</f>
        <v>4535</v>
      </c>
      <c r="R66" s="2254" t="s">
        <v>2365</v>
      </c>
    </row>
    <row r="67" spans="1:18" s="1942" customFormat="1" ht="20.25" thickBot="1">
      <c r="A67" s="771" t="s">
        <v>1771</v>
      </c>
      <c r="B67" s="2112" t="s">
        <v>2289</v>
      </c>
      <c r="C67" s="773">
        <f ca="1">ROUND(C66*(1-((1+F69)/(1+F67))^F68)/(F67-F69),0)</f>
        <v>-891</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30.39</v>
      </c>
      <c r="O68" s="2256" t="s">
        <v>2368</v>
      </c>
      <c r="P68" s="2254" t="s">
        <v>2398</v>
      </c>
      <c r="Q68" s="2260">
        <f ca="1">L51</f>
        <v>-91</v>
      </c>
      <c r="R68" s="2261" t="s">
        <v>2401</v>
      </c>
    </row>
    <row r="69" spans="1:18" ht="20.25" thickBot="1">
      <c r="A69" s="780"/>
      <c r="B69" s="781"/>
      <c r="C69" s="782"/>
      <c r="D69" s="805"/>
      <c r="E69" s="774" t="s">
        <v>704</v>
      </c>
      <c r="F69" s="2226"/>
      <c r="O69" s="2256" t="s">
        <v>2369</v>
      </c>
      <c r="P69" s="2262" t="s">
        <v>2383</v>
      </c>
      <c r="Q69" s="2255">
        <f ca="1">ROUND(Q70-Q71*Q72,0)</f>
        <v>-5</v>
      </c>
      <c r="R69" s="2258"/>
    </row>
    <row r="70" spans="1:18" ht="15.75" thickBot="1">
      <c r="A70" s="812" t="s">
        <v>1778</v>
      </c>
      <c r="B70" s="813" t="s">
        <v>1801</v>
      </c>
      <c r="C70" s="814">
        <f ca="1">ROUND(C67*10000/F70,0)</f>
        <v>-1221</v>
      </c>
      <c r="D70" s="815" t="s">
        <v>1802</v>
      </c>
      <c r="E70" s="816" t="s">
        <v>1803</v>
      </c>
      <c r="F70" s="817">
        <f ca="1">F43</f>
        <v>7298.9700000000012</v>
      </c>
      <c r="O70" s="2256" t="s">
        <v>2384</v>
      </c>
      <c r="P70" s="2262" t="s">
        <v>2385</v>
      </c>
      <c r="Q70" s="2255">
        <f ca="1">C39</f>
        <v>233</v>
      </c>
      <c r="R70" s="2254" t="s">
        <v>2365</v>
      </c>
    </row>
    <row r="71" spans="1:18" ht="15.75" thickBot="1">
      <c r="O71" s="2256" t="s">
        <v>2386</v>
      </c>
      <c r="P71" s="2262" t="s">
        <v>2387</v>
      </c>
      <c r="Q71" s="2255">
        <f ca="1">C13</f>
        <v>2798</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4535</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6" t="s">
        <v>2452</v>
      </c>
      <c r="B1" s="3577"/>
      <c r="C1" s="3578"/>
      <c r="D1" s="3579">
        <f>SUM(I10,I15,I20,I21,I23)</f>
        <v>0</v>
      </c>
      <c r="E1" s="3579"/>
      <c r="F1" s="3579"/>
      <c r="G1" s="3579"/>
      <c r="H1" s="3579"/>
      <c r="I1" s="3580"/>
    </row>
    <row r="2" spans="1:9">
      <c r="A2" s="3581" t="s">
        <v>2453</v>
      </c>
      <c r="B2" s="3582" t="s">
        <v>2454</v>
      </c>
      <c r="C2" s="3582"/>
      <c r="D2" s="2360" t="s">
        <v>2455</v>
      </c>
      <c r="E2" s="2360" t="s">
        <v>2456</v>
      </c>
      <c r="F2" s="2360" t="s">
        <v>2457</v>
      </c>
      <c r="G2" s="2360" t="s">
        <v>2458</v>
      </c>
      <c r="H2" s="2360" t="s">
        <v>2459</v>
      </c>
      <c r="I2" s="2361" t="s">
        <v>2460</v>
      </c>
    </row>
    <row r="3" spans="1:9">
      <c r="A3" s="3581"/>
      <c r="B3" s="3582" t="s">
        <v>2461</v>
      </c>
      <c r="C3" s="3582"/>
      <c r="D3" s="2362"/>
      <c r="E3" s="2360"/>
      <c r="F3" s="2363"/>
      <c r="G3" s="2363"/>
      <c r="H3" s="2364"/>
      <c r="I3" s="2365">
        <f>ROUND(D3*E3*F3*G3*H3/10000,0)</f>
        <v>0</v>
      </c>
    </row>
    <row r="4" spans="1:9">
      <c r="A4" s="3581"/>
      <c r="B4" s="3582" t="s">
        <v>2462</v>
      </c>
      <c r="C4" s="3582"/>
      <c r="D4" s="2362"/>
      <c r="E4" s="2360"/>
      <c r="F4" s="2363"/>
      <c r="G4" s="2363"/>
      <c r="H4" s="2364"/>
      <c r="I4" s="2365">
        <f t="shared" ref="I4:I9" si="0">ROUND(D4*E4*F4*G4*H4/10000,0)</f>
        <v>0</v>
      </c>
    </row>
    <row r="5" spans="1:9">
      <c r="A5" s="3581"/>
      <c r="B5" s="3582" t="s">
        <v>2463</v>
      </c>
      <c r="C5" s="3582"/>
      <c r="D5" s="2362"/>
      <c r="E5" s="2360"/>
      <c r="F5" s="2363"/>
      <c r="G5" s="2363"/>
      <c r="H5" s="2364"/>
      <c r="I5" s="2365">
        <f t="shared" si="0"/>
        <v>0</v>
      </c>
    </row>
    <row r="6" spans="1:9">
      <c r="A6" s="3581"/>
      <c r="B6" s="3582" t="s">
        <v>2464</v>
      </c>
      <c r="C6" s="3582"/>
      <c r="D6" s="2362"/>
      <c r="E6" s="2360"/>
      <c r="F6" s="2363"/>
      <c r="G6" s="2363"/>
      <c r="H6" s="2364"/>
      <c r="I6" s="2365">
        <f t="shared" si="0"/>
        <v>0</v>
      </c>
    </row>
    <row r="7" spans="1:9">
      <c r="A7" s="3581"/>
      <c r="B7" s="3582" t="s">
        <v>2465</v>
      </c>
      <c r="C7" s="3582"/>
      <c r="D7" s="2362"/>
      <c r="E7" s="2360"/>
      <c r="F7" s="2363"/>
      <c r="G7" s="2363"/>
      <c r="H7" s="2364"/>
      <c r="I7" s="2365">
        <f t="shared" si="0"/>
        <v>0</v>
      </c>
    </row>
    <row r="8" spans="1:9">
      <c r="A8" s="3581"/>
      <c r="B8" s="3582" t="s">
        <v>2466</v>
      </c>
      <c r="C8" s="3582"/>
      <c r="D8" s="2362"/>
      <c r="E8" s="2360"/>
      <c r="F8" s="2363"/>
      <c r="G8" s="2363"/>
      <c r="H8" s="2364"/>
      <c r="I8" s="2365">
        <f t="shared" si="0"/>
        <v>0</v>
      </c>
    </row>
    <row r="9" spans="1:9">
      <c r="A9" s="3581"/>
      <c r="B9" s="3582" t="s">
        <v>2467</v>
      </c>
      <c r="C9" s="3582"/>
      <c r="D9" s="2362"/>
      <c r="E9" s="2360"/>
      <c r="F9" s="2363"/>
      <c r="G9" s="2363"/>
      <c r="H9" s="2364"/>
      <c r="I9" s="2365">
        <f t="shared" si="0"/>
        <v>0</v>
      </c>
    </row>
    <row r="10" spans="1:9">
      <c r="A10" s="3581"/>
      <c r="B10" s="3583" t="s">
        <v>2468</v>
      </c>
      <c r="C10" s="3583"/>
      <c r="D10" s="2366">
        <v>527</v>
      </c>
      <c r="E10" s="2366" t="e">
        <f>ROUND(D1*10000/D10/H9,0)</f>
        <v>#DIV/0!</v>
      </c>
      <c r="F10" s="2367"/>
      <c r="G10" s="2367"/>
      <c r="H10" s="2368"/>
      <c r="I10" s="2369">
        <f>SUM(I3:I9)</f>
        <v>0</v>
      </c>
    </row>
    <row r="11" spans="1:9" ht="14.25">
      <c r="A11" s="3581" t="s">
        <v>2469</v>
      </c>
      <c r="B11" s="3582" t="s">
        <v>2470</v>
      </c>
      <c r="C11" s="3582"/>
      <c r="D11" s="2362" t="s">
        <v>2471</v>
      </c>
      <c r="E11" s="2362" t="s">
        <v>2472</v>
      </c>
      <c r="F11" s="2363" t="s">
        <v>2473</v>
      </c>
      <c r="G11" s="2363" t="s">
        <v>2474</v>
      </c>
      <c r="H11" s="2370" t="s">
        <v>2475</v>
      </c>
      <c r="I11" s="2361" t="s">
        <v>2476</v>
      </c>
    </row>
    <row r="12" spans="1:9">
      <c r="A12" s="3581"/>
      <c r="B12" s="3582" t="s">
        <v>2477</v>
      </c>
      <c r="C12" s="3582"/>
      <c r="D12" s="2362"/>
      <c r="E12" s="2362"/>
      <c r="F12" s="2363"/>
      <c r="G12" s="2364"/>
      <c r="H12" s="2371"/>
      <c r="I12" s="2361">
        <f>ROUND(D12*E12*F12*G12/10000,0)</f>
        <v>0</v>
      </c>
    </row>
    <row r="13" spans="1:9">
      <c r="A13" s="3581"/>
      <c r="B13" s="3582" t="s">
        <v>2478</v>
      </c>
      <c r="C13" s="3582"/>
      <c r="D13" s="2362"/>
      <c r="E13" s="2362"/>
      <c r="F13" s="2363"/>
      <c r="G13" s="2364"/>
      <c r="H13" s="2371"/>
      <c r="I13" s="2361">
        <f>ROUND(D13*E13*F13*G13/10000,0)</f>
        <v>0</v>
      </c>
    </row>
    <row r="14" spans="1:9">
      <c r="A14" s="3581"/>
      <c r="B14" s="3582" t="s">
        <v>2479</v>
      </c>
      <c r="C14" s="3582"/>
      <c r="D14" s="2362"/>
      <c r="E14" s="2362"/>
      <c r="F14" s="2363"/>
      <c r="G14" s="2364"/>
      <c r="H14" s="2371"/>
      <c r="I14" s="2361">
        <f>ROUND(D14*E14*F14*G14/10000,0)</f>
        <v>0</v>
      </c>
    </row>
    <row r="15" spans="1:9">
      <c r="A15" s="3581"/>
      <c r="B15" s="3583" t="s">
        <v>2468</v>
      </c>
      <c r="C15" s="3583"/>
      <c r="D15" s="2366"/>
      <c r="E15" s="2366">
        <f>SUM(E12:E14)</f>
        <v>0</v>
      </c>
      <c r="F15" s="2367"/>
      <c r="G15" s="2364"/>
      <c r="H15" s="2371"/>
      <c r="I15" s="2372">
        <f>SUM(I12:I14)</f>
        <v>0</v>
      </c>
    </row>
    <row r="16" spans="1:9" ht="24">
      <c r="A16" s="3581" t="s">
        <v>2480</v>
      </c>
      <c r="B16" s="3582" t="s">
        <v>2481</v>
      </c>
      <c r="C16" s="3582"/>
      <c r="D16" s="2362" t="s">
        <v>2482</v>
      </c>
      <c r="E16" s="2373" t="s">
        <v>2483</v>
      </c>
      <c r="F16" s="2363" t="s">
        <v>2484</v>
      </c>
      <c r="G16" s="2364" t="s">
        <v>2474</v>
      </c>
      <c r="H16" s="2370" t="s">
        <v>2475</v>
      </c>
      <c r="I16" s="2361" t="s">
        <v>2476</v>
      </c>
    </row>
    <row r="17" spans="1:9" ht="14.25">
      <c r="A17" s="3581"/>
      <c r="B17" s="3582" t="s">
        <v>2485</v>
      </c>
      <c r="C17" s="3582"/>
      <c r="D17" s="2362"/>
      <c r="E17" s="2362"/>
      <c r="F17" s="2363"/>
      <c r="G17" s="2364"/>
      <c r="H17" s="2374"/>
      <c r="I17" s="2375">
        <f>ROUND(D17*E17*F17*G17/10000,0)</f>
        <v>0</v>
      </c>
    </row>
    <row r="18" spans="1:9" ht="14.25">
      <c r="A18" s="3581"/>
      <c r="B18" s="3582" t="s">
        <v>2486</v>
      </c>
      <c r="C18" s="3582"/>
      <c r="D18" s="2362"/>
      <c r="E18" s="2362"/>
      <c r="F18" s="2363"/>
      <c r="G18" s="2364"/>
      <c r="H18" s="2374"/>
      <c r="I18" s="2375">
        <f>ROUND(D18*E18*F18*G18/10000,0)</f>
        <v>0</v>
      </c>
    </row>
    <row r="19" spans="1:9" ht="14.25">
      <c r="A19" s="3581"/>
      <c r="B19" s="3582" t="s">
        <v>2487</v>
      </c>
      <c r="C19" s="3582"/>
      <c r="D19" s="2362"/>
      <c r="E19" s="2362"/>
      <c r="F19" s="2363"/>
      <c r="G19" s="2364"/>
      <c r="H19" s="2374"/>
      <c r="I19" s="2375">
        <f>ROUND(D19*E19*F19*G19/10000,0)</f>
        <v>0</v>
      </c>
    </row>
    <row r="20" spans="1:9">
      <c r="A20" s="3581"/>
      <c r="B20" s="3583" t="s">
        <v>2468</v>
      </c>
      <c r="C20" s="3583"/>
      <c r="D20" s="2366">
        <f>SUM(D17:D19)</f>
        <v>0</v>
      </c>
      <c r="E20" s="2366"/>
      <c r="F20" s="2367"/>
      <c r="G20" s="2364"/>
      <c r="H20" s="2371"/>
      <c r="I20" s="2372">
        <f>SUM(I17:I19)</f>
        <v>0</v>
      </c>
    </row>
    <row r="21" spans="1:9">
      <c r="A21" s="3581" t="s">
        <v>2488</v>
      </c>
      <c r="B21" s="3585"/>
      <c r="C21" s="3585"/>
      <c r="D21" s="3585"/>
      <c r="E21" s="3585"/>
      <c r="F21" s="3585"/>
      <c r="G21" s="3585"/>
      <c r="H21" s="2376">
        <v>0.1</v>
      </c>
      <c r="I21" s="2369">
        <f>ROUND(I10*H21,0)</f>
        <v>0</v>
      </c>
    </row>
    <row r="22" spans="1:9" ht="14.25">
      <c r="A22" s="3586" t="s">
        <v>2489</v>
      </c>
      <c r="B22" s="3587"/>
      <c r="C22" s="3588"/>
      <c r="D22" s="2377" t="s">
        <v>2490</v>
      </c>
      <c r="E22" s="2377" t="s">
        <v>2491</v>
      </c>
      <c r="F22" s="2378" t="s">
        <v>2492</v>
      </c>
      <c r="G22" s="2378" t="s">
        <v>2493</v>
      </c>
      <c r="H22" s="2370" t="s">
        <v>2494</v>
      </c>
      <c r="I22" s="2361" t="s">
        <v>2495</v>
      </c>
    </row>
    <row r="23" spans="1:9" ht="14.25" thickBot="1">
      <c r="A23" s="3589"/>
      <c r="B23" s="3590"/>
      <c r="C23" s="3591"/>
      <c r="D23" s="2379"/>
      <c r="E23" s="2379"/>
      <c r="F23" s="2379"/>
      <c r="G23" s="2380"/>
      <c r="H23" s="2381"/>
      <c r="I23" s="2382">
        <f>ROUND(E23*D23*F23*(1-G23)/10000,0)</f>
        <v>0</v>
      </c>
    </row>
    <row r="26" spans="1:9">
      <c r="A26" s="2383" t="s">
        <v>2496</v>
      </c>
      <c r="B26" s="2383"/>
      <c r="C26" s="2383"/>
      <c r="D26" s="2383"/>
      <c r="E26" s="3592">
        <f>C27-C30-C31-C32</f>
        <v>0</v>
      </c>
      <c r="F26" s="3592"/>
      <c r="G26" s="3592"/>
      <c r="H26" s="2756" t="s">
        <v>2822</v>
      </c>
    </row>
    <row r="27" spans="1:9">
      <c r="A27" s="2384">
        <v>1</v>
      </c>
      <c r="B27" s="2385" t="s">
        <v>2497</v>
      </c>
      <c r="C27" s="2385"/>
      <c r="D27" s="2385"/>
      <c r="E27" s="3593"/>
      <c r="F27" s="3593"/>
      <c r="G27" s="3593"/>
    </row>
    <row r="28" spans="1:9">
      <c r="A28" s="2386" t="s">
        <v>2498</v>
      </c>
      <c r="B28" s="2385" t="s">
        <v>2499</v>
      </c>
      <c r="C28" s="2385"/>
      <c r="D28" s="2385"/>
      <c r="E28" s="3593"/>
      <c r="F28" s="3593"/>
      <c r="G28" s="3593"/>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84"/>
      <c r="F32" s="3584"/>
      <c r="G32" s="3584"/>
    </row>
    <row r="33" spans="1:7" hidden="1">
      <c r="A33" s="3594" t="s">
        <v>2507</v>
      </c>
      <c r="B33" s="3595"/>
      <c r="C33" s="3595"/>
      <c r="D33" s="3596"/>
      <c r="E33" s="3592"/>
      <c r="F33" s="3592"/>
      <c r="G33" s="3592"/>
    </row>
    <row r="34" spans="1:7" hidden="1">
      <c r="A34" s="2388">
        <v>1</v>
      </c>
      <c r="B34" s="2385" t="s">
        <v>2508</v>
      </c>
      <c r="C34" s="2385"/>
      <c r="D34" s="2385"/>
      <c r="E34" s="3593"/>
      <c r="F34" s="3593"/>
      <c r="G34" s="3593"/>
    </row>
    <row r="35" spans="1:7" hidden="1">
      <c r="A35" s="2388">
        <v>2</v>
      </c>
      <c r="B35" s="2385" t="s">
        <v>2509</v>
      </c>
      <c r="C35" s="2385"/>
      <c r="D35" s="2385"/>
      <c r="E35" s="3593"/>
      <c r="F35" s="3593"/>
      <c r="G35" s="3593"/>
    </row>
    <row r="36" spans="1:7" hidden="1">
      <c r="A36" s="2388">
        <v>3</v>
      </c>
      <c r="B36" s="2385" t="s">
        <v>2510</v>
      </c>
      <c r="C36" s="2385"/>
      <c r="D36" s="2385"/>
      <c r="E36" s="3593"/>
      <c r="F36" s="3593"/>
      <c r="G36" s="3593"/>
    </row>
    <row r="37" spans="1:7" hidden="1">
      <c r="A37" s="2388">
        <v>4</v>
      </c>
      <c r="B37" s="2385" t="s">
        <v>2511</v>
      </c>
      <c r="C37" s="2385"/>
      <c r="D37" s="2385"/>
      <c r="E37" s="3593"/>
      <c r="F37" s="3593"/>
      <c r="G37" s="3593"/>
    </row>
    <row r="38" spans="1:7" hidden="1">
      <c r="A38" s="3594" t="s">
        <v>2512</v>
      </c>
      <c r="B38" s="3595"/>
      <c r="C38" s="3595"/>
      <c r="D38" s="3596"/>
      <c r="E38" s="3592"/>
      <c r="F38" s="3592"/>
      <c r="G38" s="35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690</v>
      </c>
      <c r="D12" s="3271">
        <f>'数据-汇总表'!E5</f>
        <v>65690.73</v>
      </c>
      <c r="E12" s="3271">
        <f>'数据-取费表'!B27</f>
        <v>105</v>
      </c>
      <c r="F12" s="746"/>
      <c r="G12" s="749"/>
    </row>
    <row r="13" spans="1:25" s="2064" customFormat="1" ht="13.5" customHeight="1">
      <c r="A13" s="2329" t="s">
        <v>2430</v>
      </c>
      <c r="B13" s="747" t="s">
        <v>606</v>
      </c>
      <c r="C13" s="748">
        <f>ROUND(D13*E13/10000,0)</f>
        <v>77</v>
      </c>
      <c r="D13" s="3271">
        <f>'数据-汇总表'!E6</f>
        <v>7298.9700000000012</v>
      </c>
      <c r="E13" s="3271">
        <f>'数据-取费表'!B28</f>
        <v>105</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0.92200000000000004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6" zoomScale="80" zoomScaleNormal="60" zoomScaleSheetLayoutView="80" workbookViewId="0">
      <selection activeCell="J73" sqref="J7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914</v>
      </c>
      <c r="E1" s="2009"/>
      <c r="F1" s="2524" t="s">
        <v>3226</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45622</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6945</v>
      </c>
      <c r="C3" s="841" t="s">
        <v>716</v>
      </c>
      <c r="D3" s="840">
        <f>SUMIF('数据-汇总表'!$C19:$C33,D1,'数据-汇总表'!$E19:$E33)</f>
        <v>65690.73</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85" t="s">
        <v>516</v>
      </c>
      <c r="D4" s="3486"/>
      <c r="E4" s="3520" t="s">
        <v>517</v>
      </c>
      <c r="F4" s="3521"/>
      <c r="G4" s="3485" t="s">
        <v>518</v>
      </c>
      <c r="H4" s="3486"/>
      <c r="I4" s="3485" t="s">
        <v>519</v>
      </c>
      <c r="J4" s="3486"/>
      <c r="K4" s="842" t="s">
        <v>520</v>
      </c>
      <c r="L4" s="2015"/>
      <c r="M4" s="2016"/>
      <c r="N4" s="2016"/>
      <c r="O4" s="2016"/>
      <c r="P4" s="3487" t="s">
        <v>521</v>
      </c>
      <c r="Q4" s="3488"/>
      <c r="R4" s="3493" t="s">
        <v>517</v>
      </c>
      <c r="S4" s="3494"/>
      <c r="T4" s="3493" t="s">
        <v>518</v>
      </c>
      <c r="U4" s="3494"/>
      <c r="V4" s="3480" t="s">
        <v>519</v>
      </c>
      <c r="W4" s="3480"/>
      <c r="X4" s="1501"/>
      <c r="Y4" s="3493" t="s">
        <v>521</v>
      </c>
      <c r="Z4" s="3494"/>
      <c r="AA4" s="3482" t="s">
        <v>517</v>
      </c>
      <c r="AB4" s="3482" t="s">
        <v>518</v>
      </c>
      <c r="AC4" s="3482" t="s">
        <v>519</v>
      </c>
    </row>
    <row r="5" spans="1:29" ht="15">
      <c r="A5" s="509"/>
      <c r="B5" s="510"/>
      <c r="C5" s="3503" t="s">
        <v>3206</v>
      </c>
      <c r="D5" s="3502"/>
      <c r="E5" s="3602" t="s">
        <v>3203</v>
      </c>
      <c r="F5" s="3603"/>
      <c r="G5" s="3600" t="s">
        <v>3204</v>
      </c>
      <c r="H5" s="3601"/>
      <c r="I5" s="3600" t="s">
        <v>3205</v>
      </c>
      <c r="J5" s="3601"/>
      <c r="K5" s="843"/>
      <c r="L5" s="2015"/>
      <c r="M5" s="2016"/>
      <c r="N5" s="2016"/>
      <c r="O5" s="2016"/>
      <c r="P5" s="3489"/>
      <c r="Q5" s="3490"/>
      <c r="R5" s="3495"/>
      <c r="S5" s="3496"/>
      <c r="T5" s="3495"/>
      <c r="U5" s="3496"/>
      <c r="V5" s="3480"/>
      <c r="W5" s="3480"/>
      <c r="X5" s="1501"/>
      <c r="Y5" s="3495"/>
      <c r="Z5" s="3496"/>
      <c r="AA5" s="3483"/>
      <c r="AB5" s="3483"/>
      <c r="AC5" s="3483"/>
    </row>
    <row r="6" spans="1:29" ht="15.75" thickBot="1">
      <c r="A6" s="511"/>
      <c r="B6" s="512"/>
      <c r="C6" s="3499" t="s">
        <v>2899</v>
      </c>
      <c r="D6" s="3500"/>
      <c r="E6" s="3518" t="s">
        <v>2899</v>
      </c>
      <c r="F6" s="3519"/>
      <c r="G6" s="3499" t="s">
        <v>2899</v>
      </c>
      <c r="H6" s="3500"/>
      <c r="I6" s="3499" t="s">
        <v>2899</v>
      </c>
      <c r="J6" s="3500"/>
      <c r="K6" s="843" t="s">
        <v>522</v>
      </c>
      <c r="L6" s="2015"/>
      <c r="M6" s="2016"/>
      <c r="N6" s="2016"/>
      <c r="O6" s="2016"/>
      <c r="P6" s="3491"/>
      <c r="Q6" s="3492"/>
      <c r="R6" s="3495"/>
      <c r="S6" s="3496"/>
      <c r="T6" s="3497"/>
      <c r="U6" s="3498"/>
      <c r="V6" s="3480"/>
      <c r="W6" s="3480"/>
      <c r="X6" s="1501"/>
      <c r="Y6" s="3497"/>
      <c r="Z6" s="3498"/>
      <c r="AA6" s="3484"/>
      <c r="AB6" s="3484"/>
      <c r="AC6" s="3484"/>
    </row>
    <row r="7" spans="1:29" s="1202" customFormat="1" ht="15.75" thickBot="1">
      <c r="A7" s="2629"/>
      <c r="B7" s="2636" t="s">
        <v>523</v>
      </c>
      <c r="C7" s="513">
        <f>'数据-取费表'!B2</f>
        <v>44257</v>
      </c>
      <c r="D7" s="514">
        <v>100</v>
      </c>
      <c r="E7" s="515">
        <v>44228</v>
      </c>
      <c r="F7" s="516">
        <f>SUMIF(58:58,YEAR(E7)&amp;"-"&amp;MONTH(E7),59:59)</f>
        <v>100</v>
      </c>
      <c r="G7" s="517">
        <v>44228</v>
      </c>
      <c r="H7" s="514">
        <f>SUMIF(58:58,YEAR(G7)&amp;"-"&amp;MONTH(G7),59:59)</f>
        <v>100</v>
      </c>
      <c r="I7" s="517">
        <v>44228</v>
      </c>
      <c r="J7" s="514">
        <f>SUMIF(58:58,YEAR(I7)&amp;"-"&amp;MONTH(I7),59:59)</f>
        <v>100</v>
      </c>
      <c r="K7" s="844"/>
      <c r="L7" s="2017"/>
      <c r="M7" s="2018"/>
      <c r="N7" s="2018"/>
      <c r="O7" s="2018"/>
      <c r="P7" s="3511" t="s">
        <v>524</v>
      </c>
      <c r="Q7" s="3513"/>
      <c r="R7" s="1502" t="s">
        <v>13</v>
      </c>
      <c r="S7" s="1503">
        <f t="shared" ref="S7:S15" si="0">F7</f>
        <v>100</v>
      </c>
      <c r="T7" s="1502" t="s">
        <v>13</v>
      </c>
      <c r="U7" s="1503">
        <f t="shared" ref="U7:U15" si="1">H7</f>
        <v>100</v>
      </c>
      <c r="V7" s="1502" t="s">
        <v>13</v>
      </c>
      <c r="W7" s="1503">
        <f t="shared" ref="W7:W15" si="2">J7</f>
        <v>100</v>
      </c>
      <c r="X7" s="1504"/>
      <c r="Y7" s="3511" t="s">
        <v>524</v>
      </c>
      <c r="Z7" s="3512"/>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7"/>
      <c r="M8" s="2018"/>
      <c r="N8" s="2018"/>
      <c r="O8" s="2018"/>
      <c r="P8" s="3511" t="s">
        <v>527</v>
      </c>
      <c r="Q8" s="3512"/>
      <c r="R8" s="1502" t="s">
        <v>13</v>
      </c>
      <c r="S8" s="1503">
        <f t="shared" si="0"/>
        <v>100</v>
      </c>
      <c r="T8" s="1502" t="s">
        <v>13</v>
      </c>
      <c r="U8" s="1503">
        <f t="shared" si="1"/>
        <v>100</v>
      </c>
      <c r="V8" s="1502" t="s">
        <v>13</v>
      </c>
      <c r="W8" s="1503">
        <f t="shared" si="2"/>
        <v>100</v>
      </c>
      <c r="X8" s="1504"/>
      <c r="Y8" s="3511" t="s">
        <v>527</v>
      </c>
      <c r="Z8" s="3512"/>
      <c r="AA8" s="1505">
        <f t="shared" ref="AA8:AA46" si="3">D8/F8</f>
        <v>1</v>
      </c>
      <c r="AB8" s="1505">
        <f t="shared" ref="AB8:AB46" si="4">D8/H8</f>
        <v>1</v>
      </c>
      <c r="AC8" s="1505">
        <f t="shared" ref="AC8:AC46" si="5">D8/J8</f>
        <v>1</v>
      </c>
    </row>
    <row r="9" spans="1:29" s="1202" customFormat="1" ht="15">
      <c r="A9" s="2631"/>
      <c r="B9" s="2638" t="s">
        <v>2736</v>
      </c>
      <c r="C9" s="3295" t="s">
        <v>3207</v>
      </c>
      <c r="D9" s="252">
        <v>100</v>
      </c>
      <c r="E9" s="3295" t="s">
        <v>3207</v>
      </c>
      <c r="F9" s="848">
        <f>SUMIF(63:63,E9,64:64)-SUMIF(63:63,C9,64:64)+100</f>
        <v>100</v>
      </c>
      <c r="G9" s="3295" t="s">
        <v>3207</v>
      </c>
      <c r="H9" s="252">
        <f>SUMIF(63:63,G9,64:64)-SUMIF(63:63,C9,64:64)+100</f>
        <v>100</v>
      </c>
      <c r="I9" s="3295" t="s">
        <v>3207</v>
      </c>
      <c r="J9" s="252">
        <f>SUMIF(63:63,I9,64:64)-SUMIF(63:63,C9,64:64)+100</f>
        <v>100</v>
      </c>
      <c r="K9" s="844"/>
      <c r="L9" s="2017"/>
      <c r="M9" s="2018"/>
      <c r="N9" s="2018"/>
      <c r="O9" s="2019"/>
      <c r="P9" s="3479" t="s">
        <v>529</v>
      </c>
      <c r="Q9" s="1133" t="str">
        <f t="shared" ref="Q9:Q15" si="6">B9</f>
        <v>用途</v>
      </c>
      <c r="R9" s="1502" t="s">
        <v>8</v>
      </c>
      <c r="S9" s="1503">
        <f t="shared" si="0"/>
        <v>100</v>
      </c>
      <c r="T9" s="1502" t="s">
        <v>8</v>
      </c>
      <c r="U9" s="1503">
        <f t="shared" si="1"/>
        <v>100</v>
      </c>
      <c r="V9" s="1502" t="s">
        <v>8</v>
      </c>
      <c r="W9" s="1503">
        <f t="shared" si="2"/>
        <v>100</v>
      </c>
      <c r="X9" s="1504"/>
      <c r="Y9" s="3425" t="s">
        <v>530</v>
      </c>
      <c r="Z9" s="1132" t="str">
        <f t="shared" ref="Z9:Z15" si="7">Q9</f>
        <v>用途</v>
      </c>
      <c r="AA9" s="1505">
        <f t="shared" si="3"/>
        <v>1</v>
      </c>
      <c r="AB9" s="1505">
        <f t="shared" si="4"/>
        <v>1</v>
      </c>
      <c r="AC9" s="1505">
        <f t="shared" si="5"/>
        <v>1</v>
      </c>
    </row>
    <row r="10" spans="1:29" s="1291" customFormat="1" ht="27">
      <c r="A10" s="2632"/>
      <c r="B10" s="2637" t="s">
        <v>2737</v>
      </c>
      <c r="C10" s="850" t="s">
        <v>3208</v>
      </c>
      <c r="D10" s="253">
        <v>100</v>
      </c>
      <c r="E10" s="850" t="s">
        <v>3208</v>
      </c>
      <c r="F10" s="852">
        <f>SUMIF(65:65,E10,66:66)-SUMIF(65:65,C10,66:66)+100</f>
        <v>100</v>
      </c>
      <c r="G10" s="850" t="s">
        <v>3208</v>
      </c>
      <c r="H10" s="253">
        <f>SUMIF(65:65,G10,66:66)-SUMIF(65:65,C10,66:66)+100</f>
        <v>100</v>
      </c>
      <c r="I10" s="850" t="s">
        <v>3208</v>
      </c>
      <c r="J10" s="253">
        <f>SUMIF(65:65,I10,66:66)-SUMIF(65:65,C10,66:66)+100</f>
        <v>100</v>
      </c>
      <c r="K10" s="853">
        <v>2</v>
      </c>
      <c r="L10" s="2020"/>
      <c r="M10" s="2059"/>
      <c r="N10" s="2059"/>
      <c r="O10" s="2021"/>
      <c r="P10" s="3479"/>
      <c r="Q10" s="1133" t="str">
        <f t="shared" si="6"/>
        <v>土地使用年限（年）</v>
      </c>
      <c r="R10" s="1502" t="s">
        <v>8</v>
      </c>
      <c r="S10" s="1503">
        <f t="shared" si="0"/>
        <v>100</v>
      </c>
      <c r="T10" s="1502" t="s">
        <v>8</v>
      </c>
      <c r="U10" s="1503">
        <f t="shared" si="1"/>
        <v>100</v>
      </c>
      <c r="V10" s="1502" t="s">
        <v>8</v>
      </c>
      <c r="W10" s="1503">
        <f t="shared" si="2"/>
        <v>100</v>
      </c>
      <c r="X10" s="1504"/>
      <c r="Y10" s="3425"/>
      <c r="Z10" s="1132" t="str">
        <f t="shared" si="7"/>
        <v>土地使用年限（年）</v>
      </c>
      <c r="AA10" s="1505">
        <f t="shared" si="3"/>
        <v>1</v>
      </c>
      <c r="AB10" s="1505">
        <f t="shared" si="4"/>
        <v>1</v>
      </c>
      <c r="AC10" s="1505">
        <f t="shared" si="5"/>
        <v>1</v>
      </c>
    </row>
    <row r="11" spans="1:29" ht="15">
      <c r="A11" s="2633"/>
      <c r="B11" s="2637" t="s">
        <v>2738</v>
      </c>
      <c r="C11" s="527">
        <f>'数据-汇总表'!I3</f>
        <v>3.5</v>
      </c>
      <c r="D11" s="253">
        <v>100</v>
      </c>
      <c r="E11" s="528">
        <v>3</v>
      </c>
      <c r="F11" s="852">
        <f>LOOKUP(E11,68:68,69:69)-LOOKUP(C11,68:68,69:69)+100</f>
        <v>100</v>
      </c>
      <c r="G11" s="527">
        <v>3.13</v>
      </c>
      <c r="H11" s="253">
        <f>LOOKUP(G11,68:68,69:69)-LOOKUP(C11,68:68,69:69)+100</f>
        <v>100</v>
      </c>
      <c r="I11" s="527">
        <v>3</v>
      </c>
      <c r="J11" s="253">
        <f>LOOKUP(I11,68:68,69:69)-LOOKUP(C11,68:68,69:69)+100</f>
        <v>100</v>
      </c>
      <c r="K11" s="853">
        <v>2</v>
      </c>
      <c r="L11" s="2022"/>
      <c r="M11" s="2016"/>
      <c r="N11" s="2016"/>
      <c r="O11" s="2023"/>
      <c r="P11" s="3479"/>
      <c r="Q11" s="1133" t="str">
        <f t="shared" si="6"/>
        <v>容积率</v>
      </c>
      <c r="R11" s="1502" t="s">
        <v>11</v>
      </c>
      <c r="S11" s="1503">
        <f t="shared" si="0"/>
        <v>100</v>
      </c>
      <c r="T11" s="1502" t="s">
        <v>11</v>
      </c>
      <c r="U11" s="1503">
        <f t="shared" si="1"/>
        <v>100</v>
      </c>
      <c r="V11" s="1502" t="s">
        <v>11</v>
      </c>
      <c r="W11" s="1503">
        <f t="shared" si="2"/>
        <v>100</v>
      </c>
      <c r="X11" s="1504"/>
      <c r="Y11" s="3425"/>
      <c r="Z11" s="1132" t="str">
        <f t="shared" si="7"/>
        <v>容积率</v>
      </c>
      <c r="AA11" s="1505">
        <f t="shared" si="3"/>
        <v>1</v>
      </c>
      <c r="AB11" s="1505">
        <f t="shared" si="4"/>
        <v>1</v>
      </c>
      <c r="AC11" s="1505">
        <f t="shared" si="5"/>
        <v>1</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9"/>
      <c r="Q12" s="1133">
        <f t="shared" si="6"/>
        <v>111</v>
      </c>
      <c r="R12" s="1502" t="s">
        <v>11</v>
      </c>
      <c r="S12" s="1503">
        <f t="shared" si="0"/>
        <v>100</v>
      </c>
      <c r="T12" s="1502" t="s">
        <v>11</v>
      </c>
      <c r="U12" s="1503">
        <f t="shared" si="1"/>
        <v>100</v>
      </c>
      <c r="V12" s="1502" t="s">
        <v>11</v>
      </c>
      <c r="W12" s="1503">
        <f t="shared" si="2"/>
        <v>100</v>
      </c>
      <c r="X12" s="1504"/>
      <c r="Y12" s="3425"/>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9"/>
      <c r="Q13" s="1133">
        <f t="shared" si="6"/>
        <v>111</v>
      </c>
      <c r="R13" s="1502" t="s">
        <v>11</v>
      </c>
      <c r="S13" s="1503">
        <f t="shared" si="0"/>
        <v>100</v>
      </c>
      <c r="T13" s="1502" t="s">
        <v>11</v>
      </c>
      <c r="U13" s="1503">
        <f t="shared" si="1"/>
        <v>100</v>
      </c>
      <c r="V13" s="1502" t="s">
        <v>11</v>
      </c>
      <c r="W13" s="1503">
        <f t="shared" si="2"/>
        <v>100</v>
      </c>
      <c r="X13" s="1504"/>
      <c r="Y13" s="3425"/>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9"/>
      <c r="Q14" s="1133">
        <f t="shared" si="6"/>
        <v>111</v>
      </c>
      <c r="R14" s="1502" t="s">
        <v>11</v>
      </c>
      <c r="S14" s="1503">
        <f t="shared" si="0"/>
        <v>100</v>
      </c>
      <c r="T14" s="1502" t="s">
        <v>11</v>
      </c>
      <c r="U14" s="1503">
        <f t="shared" si="1"/>
        <v>100</v>
      </c>
      <c r="V14" s="1502" t="s">
        <v>11</v>
      </c>
      <c r="W14" s="1503">
        <f t="shared" si="2"/>
        <v>100</v>
      </c>
      <c r="X14" s="1504"/>
      <c r="Y14" s="3425"/>
      <c r="Z14" s="1132">
        <f t="shared" si="7"/>
        <v>111</v>
      </c>
      <c r="AA14" s="1505">
        <f t="shared" si="3"/>
        <v>1</v>
      </c>
      <c r="AB14" s="1505">
        <f t="shared" si="4"/>
        <v>1</v>
      </c>
      <c r="AC14" s="1505">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105</v>
      </c>
      <c r="G15" s="546"/>
      <c r="H15" s="543">
        <f>SUMIF(76:76,G16,77:77)-SUMIF(76:76,C16,77:77)+100</f>
        <v>105</v>
      </c>
      <c r="I15" s="544"/>
      <c r="J15" s="543">
        <f>SUMIF(76:76,I16,77:77)-SUMIF(76:76,C16,77:77)+100</f>
        <v>105</v>
      </c>
      <c r="K15" s="857">
        <v>5</v>
      </c>
      <c r="L15" s="2024"/>
      <c r="M15" s="2016"/>
      <c r="N15" s="2016"/>
      <c r="O15" s="2023"/>
      <c r="P15" s="3514" t="s">
        <v>534</v>
      </c>
      <c r="Q15" s="1506" t="str">
        <f t="shared" si="6"/>
        <v>居住社区成熟度</v>
      </c>
      <c r="R15" s="1507" t="s">
        <v>11</v>
      </c>
      <c r="S15" s="1508">
        <f t="shared" si="0"/>
        <v>105</v>
      </c>
      <c r="T15" s="1507" t="s">
        <v>11</v>
      </c>
      <c r="U15" s="1508">
        <f t="shared" si="1"/>
        <v>105</v>
      </c>
      <c r="V15" s="1507" t="s">
        <v>11</v>
      </c>
      <c r="W15" s="1508">
        <f t="shared" si="2"/>
        <v>105</v>
      </c>
      <c r="X15" s="1501"/>
      <c r="Y15" s="3514" t="s">
        <v>534</v>
      </c>
      <c r="Z15" s="1509" t="str">
        <f t="shared" si="7"/>
        <v>居住社区成熟度</v>
      </c>
      <c r="AA15" s="1510">
        <f t="shared" si="3"/>
        <v>0.95238095238095233</v>
      </c>
      <c r="AB15" s="1510">
        <f t="shared" si="4"/>
        <v>0.95238095238095233</v>
      </c>
      <c r="AC15" s="1510">
        <f t="shared" si="5"/>
        <v>0.95238095238095233</v>
      </c>
    </row>
    <row r="16" spans="1:29" ht="15">
      <c r="A16" s="526"/>
      <c r="B16" s="858"/>
      <c r="C16" s="570" t="s">
        <v>3192</v>
      </c>
      <c r="D16" s="549"/>
      <c r="E16" s="550" t="s">
        <v>3193</v>
      </c>
      <c r="F16" s="551"/>
      <c r="G16" s="550" t="s">
        <v>3193</v>
      </c>
      <c r="H16" s="553"/>
      <c r="I16" s="550" t="s">
        <v>3193</v>
      </c>
      <c r="J16" s="549"/>
      <c r="K16" s="859"/>
      <c r="L16" s="2024"/>
      <c r="M16" s="2016"/>
      <c r="N16" s="2016"/>
      <c r="O16" s="2023"/>
      <c r="P16" s="3515"/>
      <c r="Q16" s="1506"/>
      <c r="R16" s="1507"/>
      <c r="S16" s="1508"/>
      <c r="T16" s="1507"/>
      <c r="U16" s="1508"/>
      <c r="V16" s="1507"/>
      <c r="W16" s="1508"/>
      <c r="X16" s="1501"/>
      <c r="Y16" s="351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4"/>
      <c r="M17" s="2016"/>
      <c r="N17" s="2016"/>
      <c r="O17" s="2023"/>
      <c r="P17" s="3515"/>
      <c r="Q17" s="1506" t="str">
        <f>B17</f>
        <v>交通便捷度</v>
      </c>
      <c r="R17" s="1507" t="s">
        <v>11</v>
      </c>
      <c r="S17" s="1508">
        <f>F17</f>
        <v>103</v>
      </c>
      <c r="T17" s="1507" t="s">
        <v>11</v>
      </c>
      <c r="U17" s="1508">
        <f>H17</f>
        <v>103</v>
      </c>
      <c r="V17" s="1507" t="s">
        <v>11</v>
      </c>
      <c r="W17" s="1508">
        <f>J17</f>
        <v>103</v>
      </c>
      <c r="X17" s="1501"/>
      <c r="Y17" s="3515"/>
      <c r="Z17" s="1509" t="str">
        <f>Q17</f>
        <v>交通便捷度</v>
      </c>
      <c r="AA17" s="1510">
        <f t="shared" si="3"/>
        <v>0.970873786407767</v>
      </c>
      <c r="AB17" s="1510">
        <f t="shared" si="4"/>
        <v>0.970873786407767</v>
      </c>
      <c r="AC17" s="1510">
        <f t="shared" si="5"/>
        <v>0.970873786407767</v>
      </c>
    </row>
    <row r="18" spans="1:29" ht="15">
      <c r="A18" s="526"/>
      <c r="B18" s="589"/>
      <c r="C18" s="862" t="s">
        <v>3192</v>
      </c>
      <c r="D18" s="553"/>
      <c r="E18" s="550" t="s">
        <v>3193</v>
      </c>
      <c r="F18" s="557"/>
      <c r="G18" s="550" t="s">
        <v>3193</v>
      </c>
      <c r="H18" s="549"/>
      <c r="I18" s="550" t="s">
        <v>3193</v>
      </c>
      <c r="J18" s="549"/>
      <c r="K18" s="859"/>
      <c r="L18" s="2024"/>
      <c r="M18" s="2016"/>
      <c r="N18" s="2016"/>
      <c r="O18" s="2023"/>
      <c r="P18" s="3515"/>
      <c r="Q18" s="1506"/>
      <c r="R18" s="1507"/>
      <c r="S18" s="1508"/>
      <c r="T18" s="1507"/>
      <c r="U18" s="1508"/>
      <c r="V18" s="1507"/>
      <c r="W18" s="1508"/>
      <c r="X18" s="1501"/>
      <c r="Y18" s="3515"/>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4"/>
      <c r="M19" s="2016"/>
      <c r="N19" s="2016"/>
      <c r="O19" s="2023"/>
      <c r="P19" s="3515"/>
      <c r="Q19" s="1506" t="str">
        <f>B19</f>
        <v>公共配套设施</v>
      </c>
      <c r="R19" s="1507" t="s">
        <v>11</v>
      </c>
      <c r="S19" s="1508">
        <f>F19</f>
        <v>102</v>
      </c>
      <c r="T19" s="1507" t="s">
        <v>11</v>
      </c>
      <c r="U19" s="1508">
        <f>H19</f>
        <v>102</v>
      </c>
      <c r="V19" s="1507" t="s">
        <v>11</v>
      </c>
      <c r="W19" s="1508">
        <f>J19</f>
        <v>102</v>
      </c>
      <c r="X19" s="1501"/>
      <c r="Y19" s="3515"/>
      <c r="Z19" s="1509" t="str">
        <f>Q19</f>
        <v>公共配套设施</v>
      </c>
      <c r="AA19" s="1510">
        <f t="shared" si="3"/>
        <v>0.98039215686274506</v>
      </c>
      <c r="AB19" s="1510">
        <f t="shared" si="4"/>
        <v>0.98039215686274506</v>
      </c>
      <c r="AC19" s="1510">
        <f t="shared" si="5"/>
        <v>0.98039215686274506</v>
      </c>
    </row>
    <row r="20" spans="1:29" ht="15">
      <c r="A20" s="526"/>
      <c r="B20" s="589"/>
      <c r="C20" s="570" t="s">
        <v>3192</v>
      </c>
      <c r="D20" s="549"/>
      <c r="E20" s="550" t="s">
        <v>3193</v>
      </c>
      <c r="F20" s="551"/>
      <c r="G20" s="550" t="s">
        <v>3193</v>
      </c>
      <c r="H20" s="549"/>
      <c r="I20" s="550" t="s">
        <v>3193</v>
      </c>
      <c r="J20" s="549"/>
      <c r="K20" s="859"/>
      <c r="L20" s="2024"/>
      <c r="M20" s="2016"/>
      <c r="N20" s="2016"/>
      <c r="O20" s="2023"/>
      <c r="P20" s="3515"/>
      <c r="Q20" s="1506"/>
      <c r="R20" s="1507"/>
      <c r="S20" s="1508"/>
      <c r="T20" s="1507"/>
      <c r="U20" s="1508"/>
      <c r="V20" s="1507"/>
      <c r="W20" s="1508"/>
      <c r="X20" s="1501"/>
      <c r="Y20" s="3515"/>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102</v>
      </c>
      <c r="G21" s="566"/>
      <c r="H21" s="559">
        <f>SUMIF(82:82,G22,83:83)-SUMIF(82:82,C22,83:83)+100</f>
        <v>102</v>
      </c>
      <c r="I21" s="564"/>
      <c r="J21" s="559">
        <f>SUMIF(82:82,I22,83:83)-SUMIF(82:82,C22,83:83)+100</f>
        <v>102</v>
      </c>
      <c r="K21" s="857">
        <v>2</v>
      </c>
      <c r="L21" s="2024"/>
      <c r="M21" s="2016"/>
      <c r="N21" s="2016"/>
      <c r="O21" s="2023"/>
      <c r="P21" s="3515"/>
      <c r="Q21" s="2429" t="str">
        <f>B21</f>
        <v>基础设施水平</v>
      </c>
      <c r="R21" s="1507" t="s">
        <v>11</v>
      </c>
      <c r="S21" s="1508">
        <f>F21</f>
        <v>102</v>
      </c>
      <c r="T21" s="1507" t="s">
        <v>11</v>
      </c>
      <c r="U21" s="1508">
        <f>H21</f>
        <v>102</v>
      </c>
      <c r="V21" s="1507" t="s">
        <v>11</v>
      </c>
      <c r="W21" s="1508">
        <f>J21</f>
        <v>102</v>
      </c>
      <c r="X21" s="2431"/>
      <c r="Y21" s="3515"/>
      <c r="Z21" s="2430" t="str">
        <f>Q21</f>
        <v>基础设施水平</v>
      </c>
      <c r="AA21" s="1510">
        <f t="shared" ref="AA21" si="8">D21/F21</f>
        <v>0.98039215686274506</v>
      </c>
      <c r="AB21" s="1510">
        <f t="shared" ref="AB21" si="9">D21/H21</f>
        <v>0.98039215686274506</v>
      </c>
      <c r="AC21" s="1510">
        <f t="shared" ref="AC21" si="10">D21/J21</f>
        <v>0.98039215686274506</v>
      </c>
    </row>
    <row r="22" spans="1:29" ht="15">
      <c r="A22" s="526"/>
      <c r="B22" s="910"/>
      <c r="C22" s="862" t="s">
        <v>3194</v>
      </c>
      <c r="D22" s="549"/>
      <c r="E22" s="550" t="s">
        <v>3209</v>
      </c>
      <c r="F22" s="551"/>
      <c r="G22" s="550" t="s">
        <v>3209</v>
      </c>
      <c r="H22" s="549"/>
      <c r="I22" s="550" t="s">
        <v>3209</v>
      </c>
      <c r="J22" s="549"/>
      <c r="K22" s="2443"/>
      <c r="L22" s="2024"/>
      <c r="M22" s="2016"/>
      <c r="N22" s="2016"/>
      <c r="O22" s="2023"/>
      <c r="P22" s="3515"/>
      <c r="Q22" s="2429"/>
      <c r="R22" s="1507"/>
      <c r="S22" s="1508"/>
      <c r="T22" s="1507"/>
      <c r="U22" s="1508"/>
      <c r="V22" s="1507"/>
      <c r="W22" s="1508"/>
      <c r="X22" s="2431"/>
      <c r="Y22" s="3515"/>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101</v>
      </c>
      <c r="G23" s="558"/>
      <c r="H23" s="553">
        <f>SUMIF(84:84,G24,85:85)-SUMIF(84:84,C24,85:85)+100</f>
        <v>101</v>
      </c>
      <c r="I23" s="556"/>
      <c r="J23" s="553">
        <f>SUMIF(84:84,I24,85:85)-SUMIF(84:84,C24,85:85)+100</f>
        <v>101</v>
      </c>
      <c r="K23" s="857">
        <v>1</v>
      </c>
      <c r="L23" s="2024"/>
      <c r="M23" s="2016"/>
      <c r="N23" s="2016"/>
      <c r="O23" s="2023"/>
      <c r="P23" s="3515"/>
      <c r="Q23" s="1506" t="str">
        <f>B23</f>
        <v>自然及人文环境</v>
      </c>
      <c r="R23" s="1507" t="s">
        <v>11</v>
      </c>
      <c r="S23" s="1508">
        <f>F23</f>
        <v>101</v>
      </c>
      <c r="T23" s="1507" t="s">
        <v>11</v>
      </c>
      <c r="U23" s="1508">
        <f>H23</f>
        <v>101</v>
      </c>
      <c r="V23" s="1507" t="s">
        <v>11</v>
      </c>
      <c r="W23" s="1508">
        <f>J23</f>
        <v>101</v>
      </c>
      <c r="X23" s="1501"/>
      <c r="Y23" s="3515"/>
      <c r="Z23" s="1509" t="str">
        <f>Q23</f>
        <v>自然及人文环境</v>
      </c>
      <c r="AA23" s="1510">
        <f t="shared" si="3"/>
        <v>0.99009900990099009</v>
      </c>
      <c r="AB23" s="1510">
        <f t="shared" si="4"/>
        <v>0.99009900990099009</v>
      </c>
      <c r="AC23" s="1510">
        <f t="shared" si="5"/>
        <v>0.99009900990099009</v>
      </c>
    </row>
    <row r="24" spans="1:29" ht="15">
      <c r="A24" s="526"/>
      <c r="B24" s="589"/>
      <c r="C24" s="570" t="s">
        <v>3192</v>
      </c>
      <c r="D24" s="549"/>
      <c r="E24" s="550" t="s">
        <v>3193</v>
      </c>
      <c r="F24" s="551"/>
      <c r="G24" s="550" t="s">
        <v>3193</v>
      </c>
      <c r="H24" s="549"/>
      <c r="I24" s="550" t="s">
        <v>3193</v>
      </c>
      <c r="J24" s="549"/>
      <c r="K24" s="859"/>
      <c r="L24" s="2024"/>
      <c r="M24" s="2016"/>
      <c r="N24" s="2016"/>
      <c r="O24" s="2023"/>
      <c r="P24" s="3515"/>
      <c r="Q24" s="1506"/>
      <c r="R24" s="1507"/>
      <c r="S24" s="1508"/>
      <c r="T24" s="1507"/>
      <c r="U24" s="1508"/>
      <c r="V24" s="1507"/>
      <c r="W24" s="1508"/>
      <c r="X24" s="1501"/>
      <c r="Y24" s="3515"/>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15"/>
      <c r="Q25" s="1506" t="str">
        <f t="shared" ref="Q25:Q46" si="11">B25</f>
        <v>楼层-1</v>
      </c>
      <c r="R25" s="1507" t="s">
        <v>11</v>
      </c>
      <c r="S25" s="1508">
        <f>F25</f>
        <v>100</v>
      </c>
      <c r="T25" s="1507" t="s">
        <v>11</v>
      </c>
      <c r="U25" s="1508">
        <f>H25</f>
        <v>100</v>
      </c>
      <c r="V25" s="1507" t="s">
        <v>11</v>
      </c>
      <c r="W25" s="1508">
        <f>J25</f>
        <v>100</v>
      </c>
      <c r="X25" s="1501"/>
      <c r="Y25" s="3515"/>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15"/>
      <c r="Q26" s="1506" t="str">
        <f t="shared" si="11"/>
        <v>朝向</v>
      </c>
      <c r="R26" s="1507" t="s">
        <v>11</v>
      </c>
      <c r="S26" s="1508">
        <f>F26</f>
        <v>100</v>
      </c>
      <c r="T26" s="1507" t="s">
        <v>11</v>
      </c>
      <c r="U26" s="1508">
        <f>H26</f>
        <v>100</v>
      </c>
      <c r="V26" s="1507" t="s">
        <v>11</v>
      </c>
      <c r="W26" s="1508">
        <f>J26</f>
        <v>100</v>
      </c>
      <c r="X26" s="1501"/>
      <c r="Y26" s="3515"/>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15"/>
      <c r="Q27" s="1133" t="str">
        <f t="shared" si="11"/>
        <v>道路级别</v>
      </c>
      <c r="R27" s="1502" t="s">
        <v>11</v>
      </c>
      <c r="S27" s="1503">
        <f>F27</f>
        <v>100</v>
      </c>
      <c r="T27" s="1502" t="s">
        <v>11</v>
      </c>
      <c r="U27" s="1503">
        <f>H27</f>
        <v>100</v>
      </c>
      <c r="V27" s="1502" t="s">
        <v>11</v>
      </c>
      <c r="W27" s="1503">
        <f>J27</f>
        <v>100</v>
      </c>
      <c r="X27" s="1504"/>
      <c r="Y27" s="3515"/>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15"/>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5"/>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15"/>
      <c r="Q29" s="1506">
        <f t="shared" si="11"/>
        <v>111</v>
      </c>
      <c r="R29" s="1507" t="s">
        <v>11</v>
      </c>
      <c r="S29" s="1508">
        <f t="shared" si="12"/>
        <v>100</v>
      </c>
      <c r="T29" s="1507" t="s">
        <v>11</v>
      </c>
      <c r="U29" s="1508">
        <f t="shared" si="13"/>
        <v>100</v>
      </c>
      <c r="V29" s="1507" t="s">
        <v>11</v>
      </c>
      <c r="W29" s="1508">
        <f t="shared" si="14"/>
        <v>100</v>
      </c>
      <c r="X29" s="1501"/>
      <c r="Y29" s="351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15"/>
      <c r="Q30" s="1506">
        <f t="shared" si="11"/>
        <v>111</v>
      </c>
      <c r="R30" s="1507" t="s">
        <v>11</v>
      </c>
      <c r="S30" s="1508">
        <f t="shared" si="12"/>
        <v>100</v>
      </c>
      <c r="T30" s="1507" t="s">
        <v>11</v>
      </c>
      <c r="U30" s="1508">
        <f t="shared" si="13"/>
        <v>100</v>
      </c>
      <c r="V30" s="1507" t="s">
        <v>11</v>
      </c>
      <c r="W30" s="1508">
        <f t="shared" si="14"/>
        <v>100</v>
      </c>
      <c r="X30" s="1501"/>
      <c r="Y30" s="3515"/>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15"/>
      <c r="Q31" s="1506">
        <f t="shared" si="11"/>
        <v>111</v>
      </c>
      <c r="R31" s="1507" t="s">
        <v>11</v>
      </c>
      <c r="S31" s="1508">
        <f t="shared" si="12"/>
        <v>100</v>
      </c>
      <c r="T31" s="1507" t="s">
        <v>11</v>
      </c>
      <c r="U31" s="1508">
        <f t="shared" si="13"/>
        <v>100</v>
      </c>
      <c r="V31" s="1507" t="s">
        <v>11</v>
      </c>
      <c r="W31" s="1508">
        <f t="shared" si="14"/>
        <v>100</v>
      </c>
      <c r="X31" s="1501"/>
      <c r="Y31" s="3515"/>
      <c r="Z31" s="1509">
        <f t="shared" si="15"/>
        <v>111</v>
      </c>
      <c r="AA31" s="1510">
        <f t="shared" si="3"/>
        <v>1</v>
      </c>
      <c r="AB31" s="1510">
        <f t="shared" si="4"/>
        <v>1</v>
      </c>
      <c r="AC31" s="1510">
        <f t="shared" si="5"/>
        <v>1</v>
      </c>
    </row>
    <row r="32" spans="1:29" ht="15">
      <c r="A32" s="2624" t="s">
        <v>2735</v>
      </c>
      <c r="B32" s="170" t="s">
        <v>719</v>
      </c>
      <c r="C32" s="867" t="s">
        <v>3211</v>
      </c>
      <c r="D32" s="591">
        <v>100</v>
      </c>
      <c r="E32" s="867" t="s">
        <v>3211</v>
      </c>
      <c r="F32" s="569">
        <f>SUMIF(100:100,E32,101:101)-SUMIF(100:100,C32,101:101)+100</f>
        <v>100</v>
      </c>
      <c r="G32" s="867" t="s">
        <v>3211</v>
      </c>
      <c r="H32" s="591">
        <f>SUMIF(100:100,G32,101:101)-SUMIF(100:100,C32,101:101)+100</f>
        <v>100</v>
      </c>
      <c r="I32" s="867" t="s">
        <v>3211</v>
      </c>
      <c r="J32" s="534">
        <f>SUMIF(100:100,I32,101:101)-SUMIF(100:100,C32,101:101)+100</f>
        <v>100</v>
      </c>
      <c r="K32" s="853">
        <v>2</v>
      </c>
      <c r="L32" s="2024"/>
      <c r="M32" s="2016"/>
      <c r="N32" s="2016"/>
      <c r="O32" s="2023"/>
      <c r="P32" s="3516" t="s">
        <v>544</v>
      </c>
      <c r="Q32" s="1506" t="str">
        <f t="shared" si="11"/>
        <v>建筑类型</v>
      </c>
      <c r="R32" s="1507" t="s">
        <v>11</v>
      </c>
      <c r="S32" s="1508">
        <f t="shared" si="12"/>
        <v>100</v>
      </c>
      <c r="T32" s="1507" t="s">
        <v>11</v>
      </c>
      <c r="U32" s="1508">
        <f t="shared" si="13"/>
        <v>100</v>
      </c>
      <c r="V32" s="1507" t="s">
        <v>11</v>
      </c>
      <c r="W32" s="1508">
        <f t="shared" si="14"/>
        <v>100</v>
      </c>
      <c r="X32" s="1501"/>
      <c r="Y32" s="3517" t="s">
        <v>544</v>
      </c>
      <c r="Z32" s="1509" t="str">
        <f t="shared" si="15"/>
        <v>建筑类型</v>
      </c>
      <c r="AA32" s="1510">
        <f t="shared" si="3"/>
        <v>1</v>
      </c>
      <c r="AB32" s="1510">
        <f t="shared" si="4"/>
        <v>1</v>
      </c>
      <c r="AC32" s="1510">
        <f t="shared" si="5"/>
        <v>1</v>
      </c>
    </row>
    <row r="33" spans="1:29" s="1292" customFormat="1" ht="15">
      <c r="A33" s="597"/>
      <c r="B33" s="521" t="s">
        <v>720</v>
      </c>
      <c r="C33" s="868">
        <f>'数据-汇总表'!E3</f>
        <v>72989.7</v>
      </c>
      <c r="D33" s="253">
        <v>100</v>
      </c>
      <c r="E33" s="528">
        <v>170000</v>
      </c>
      <c r="F33" s="852">
        <f>LOOKUP(E33,103:103,104:104)-LOOKUP(C33,103:103,104:104)+100</f>
        <v>99</v>
      </c>
      <c r="G33" s="527">
        <v>120000</v>
      </c>
      <c r="H33" s="253">
        <f>LOOKUP(G33,103:103,104:104)-LOOKUP(C33,103:103,104:104)+100</f>
        <v>99</v>
      </c>
      <c r="I33" s="528">
        <v>210000</v>
      </c>
      <c r="J33" s="253">
        <f>LOOKUP(I33,103:103,104:104)-LOOKUP(C33,103:103,104:104)+100</f>
        <v>98</v>
      </c>
      <c r="K33" s="854"/>
      <c r="L33" s="2022"/>
      <c r="M33" s="2052"/>
      <c r="N33" s="2052"/>
      <c r="O33" s="2025"/>
      <c r="P33" s="3517"/>
      <c r="Q33" s="1535" t="str">
        <f t="shared" si="11"/>
        <v>项目建筑规模</v>
      </c>
      <c r="R33" s="1511" t="s">
        <v>11</v>
      </c>
      <c r="S33" s="1512">
        <f t="shared" si="12"/>
        <v>99</v>
      </c>
      <c r="T33" s="1511" t="s">
        <v>11</v>
      </c>
      <c r="U33" s="1512">
        <f t="shared" si="13"/>
        <v>99</v>
      </c>
      <c r="V33" s="1511" t="s">
        <v>11</v>
      </c>
      <c r="W33" s="1512">
        <f t="shared" si="14"/>
        <v>98</v>
      </c>
      <c r="X33" s="1513"/>
      <c r="Y33" s="3517"/>
      <c r="Z33" s="1514" t="str">
        <f t="shared" si="15"/>
        <v>项目建筑规模</v>
      </c>
      <c r="AA33" s="1510">
        <f t="shared" si="3"/>
        <v>1.0101010101010102</v>
      </c>
      <c r="AB33" s="1510">
        <f t="shared" si="4"/>
        <v>1.0101010101010102</v>
      </c>
      <c r="AC33" s="1510">
        <f t="shared" si="5"/>
        <v>1.0204081632653061</v>
      </c>
    </row>
    <row r="34" spans="1:29" ht="15">
      <c r="A34" s="588"/>
      <c r="B34" s="521" t="s">
        <v>721</v>
      </c>
      <c r="C34" s="869" t="s">
        <v>3024</v>
      </c>
      <c r="D34" s="534">
        <v>100</v>
      </c>
      <c r="E34" s="869" t="s">
        <v>3024</v>
      </c>
      <c r="F34" s="569">
        <f>SUMIF(105:105,E34,106:106)-SUMIF(105:105,C34,106:106)+100</f>
        <v>100</v>
      </c>
      <c r="G34" s="869" t="s">
        <v>3024</v>
      </c>
      <c r="H34" s="534">
        <f>SUMIF(105:105,G34,106:106)-SUMIF(105:105,C34,106:106)+100</f>
        <v>100</v>
      </c>
      <c r="I34" s="869" t="s">
        <v>3024</v>
      </c>
      <c r="J34" s="534">
        <f>SUMIF(105:105,I34,106:106)-SUMIF(105:105,C34,106:106)+100</f>
        <v>100</v>
      </c>
      <c r="K34" s="853">
        <v>2</v>
      </c>
      <c r="L34" s="2024"/>
      <c r="M34" s="2016"/>
      <c r="N34" s="2016"/>
      <c r="O34" s="2023"/>
      <c r="P34" s="3517"/>
      <c r="Q34" s="1506" t="str">
        <f t="shared" si="11"/>
        <v>建筑结构</v>
      </c>
      <c r="R34" s="1507" t="s">
        <v>11</v>
      </c>
      <c r="S34" s="1508">
        <f t="shared" si="12"/>
        <v>100</v>
      </c>
      <c r="T34" s="1507" t="s">
        <v>11</v>
      </c>
      <c r="U34" s="1508">
        <f t="shared" si="13"/>
        <v>100</v>
      </c>
      <c r="V34" s="1507" t="s">
        <v>11</v>
      </c>
      <c r="W34" s="1508">
        <f t="shared" si="14"/>
        <v>100</v>
      </c>
      <c r="X34" s="1501"/>
      <c r="Y34" s="3517"/>
      <c r="Z34" s="1509" t="str">
        <f t="shared" si="15"/>
        <v>建筑结构</v>
      </c>
      <c r="AA34" s="1510">
        <f t="shared" si="3"/>
        <v>1</v>
      </c>
      <c r="AB34" s="1510">
        <f t="shared" si="4"/>
        <v>1</v>
      </c>
      <c r="AC34" s="1510">
        <f t="shared" si="5"/>
        <v>1</v>
      </c>
    </row>
    <row r="35" spans="1:29" ht="15">
      <c r="A35" s="588"/>
      <c r="B35" s="521" t="s">
        <v>722</v>
      </c>
      <c r="C35" s="593" t="s">
        <v>3213</v>
      </c>
      <c r="D35" s="534">
        <v>100</v>
      </c>
      <c r="E35" s="593" t="s">
        <v>3213</v>
      </c>
      <c r="F35" s="569">
        <f>SUMIF(107:107,E35,108:108)-SUMIF(107:107,C35,108:108)+100</f>
        <v>100</v>
      </c>
      <c r="G35" s="593" t="s">
        <v>3213</v>
      </c>
      <c r="H35" s="534">
        <f>SUMIF(107:107,G35,108:108)-SUMIF(107:107,C35,108:108)+100</f>
        <v>100</v>
      </c>
      <c r="I35" s="593" t="s">
        <v>3213</v>
      </c>
      <c r="J35" s="534">
        <f>SUMIF(107:107,I35,108:108)-SUMIF(107:107,C35,108:108)+100</f>
        <v>100</v>
      </c>
      <c r="K35" s="853">
        <v>2</v>
      </c>
      <c r="L35" s="2024"/>
      <c r="M35" s="2016"/>
      <c r="N35" s="2016"/>
      <c r="O35" s="2023"/>
      <c r="P35" s="3517"/>
      <c r="Q35" s="1506" t="str">
        <f t="shared" si="11"/>
        <v>建筑品质</v>
      </c>
      <c r="R35" s="1507" t="s">
        <v>11</v>
      </c>
      <c r="S35" s="1508">
        <f t="shared" si="12"/>
        <v>100</v>
      </c>
      <c r="T35" s="1507" t="s">
        <v>11</v>
      </c>
      <c r="U35" s="1508">
        <f t="shared" si="13"/>
        <v>100</v>
      </c>
      <c r="V35" s="1507" t="s">
        <v>11</v>
      </c>
      <c r="W35" s="1508">
        <f t="shared" si="14"/>
        <v>100</v>
      </c>
      <c r="X35" s="1501"/>
      <c r="Y35" s="3517"/>
      <c r="Z35" s="1509" t="str">
        <f t="shared" si="15"/>
        <v>建筑品质</v>
      </c>
      <c r="AA35" s="1510">
        <f t="shared" si="3"/>
        <v>1</v>
      </c>
      <c r="AB35" s="1510">
        <f t="shared" si="4"/>
        <v>1</v>
      </c>
      <c r="AC35" s="1510">
        <f t="shared" si="5"/>
        <v>1</v>
      </c>
    </row>
    <row r="36" spans="1:29" ht="15">
      <c r="A36" s="588"/>
      <c r="B36" s="521" t="s">
        <v>723</v>
      </c>
      <c r="C36" s="593" t="s">
        <v>3216</v>
      </c>
      <c r="D36" s="534">
        <v>100</v>
      </c>
      <c r="E36" s="593" t="s">
        <v>3216</v>
      </c>
      <c r="F36" s="569">
        <f>SUMIF(109:109,E36,110:110)-SUMIF(109:109,C36,110:110)+100</f>
        <v>100</v>
      </c>
      <c r="G36" s="593" t="s">
        <v>3216</v>
      </c>
      <c r="H36" s="534">
        <f>SUMIF(109:109,G36,110:110)-SUMIF(109:109,C36,110:110)+100</f>
        <v>100</v>
      </c>
      <c r="I36" s="593" t="s">
        <v>3216</v>
      </c>
      <c r="J36" s="534">
        <f>SUMIF(109:109,I36,110:110)-SUMIF(109:109,C36,110:110)+100</f>
        <v>100</v>
      </c>
      <c r="K36" s="853">
        <v>2</v>
      </c>
      <c r="L36" s="2024"/>
      <c r="M36" s="2016"/>
      <c r="N36" s="2016"/>
      <c r="O36" s="2023"/>
      <c r="P36" s="3517"/>
      <c r="Q36" s="1506" t="str">
        <f t="shared" si="11"/>
        <v>公共部分装修</v>
      </c>
      <c r="R36" s="1507" t="s">
        <v>11</v>
      </c>
      <c r="S36" s="1508">
        <f t="shared" si="12"/>
        <v>100</v>
      </c>
      <c r="T36" s="1507" t="s">
        <v>11</v>
      </c>
      <c r="U36" s="1508">
        <f t="shared" si="13"/>
        <v>100</v>
      </c>
      <c r="V36" s="1507" t="s">
        <v>11</v>
      </c>
      <c r="W36" s="1508">
        <f t="shared" si="14"/>
        <v>100</v>
      </c>
      <c r="X36" s="1501"/>
      <c r="Y36" s="3517"/>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2</v>
      </c>
      <c r="L37" s="2017"/>
      <c r="M37" s="2018"/>
      <c r="N37" s="2018"/>
      <c r="O37" s="2019"/>
      <c r="P37" s="3517"/>
      <c r="Q37" s="1133" t="str">
        <f t="shared" si="11"/>
        <v>成新度</v>
      </c>
      <c r="R37" s="1502" t="s">
        <v>11</v>
      </c>
      <c r="S37" s="1503">
        <f t="shared" si="12"/>
        <v>100</v>
      </c>
      <c r="T37" s="1502" t="s">
        <v>11</v>
      </c>
      <c r="U37" s="1503">
        <f t="shared" si="13"/>
        <v>100</v>
      </c>
      <c r="V37" s="1502" t="s">
        <v>11</v>
      </c>
      <c r="W37" s="1503">
        <f t="shared" si="14"/>
        <v>100</v>
      </c>
      <c r="X37" s="1504"/>
      <c r="Y37" s="3517"/>
      <c r="Z37" s="1132" t="str">
        <f t="shared" si="15"/>
        <v>成新度</v>
      </c>
      <c r="AA37" s="1505">
        <f t="shared" si="3"/>
        <v>1</v>
      </c>
      <c r="AB37" s="1505">
        <f t="shared" si="4"/>
        <v>1</v>
      </c>
      <c r="AC37" s="1505">
        <f t="shared" si="5"/>
        <v>1</v>
      </c>
    </row>
    <row r="38" spans="1:29" ht="15">
      <c r="A38" s="588"/>
      <c r="B38" s="521" t="s">
        <v>725</v>
      </c>
      <c r="C38" s="593" t="s">
        <v>3221</v>
      </c>
      <c r="D38" s="534">
        <v>100</v>
      </c>
      <c r="E38" s="593" t="s">
        <v>3221</v>
      </c>
      <c r="F38" s="569">
        <f>SUMIF(114:114,E38,115:115)-SUMIF(114:114,C38,115:115)+100</f>
        <v>100</v>
      </c>
      <c r="G38" s="593" t="s">
        <v>3221</v>
      </c>
      <c r="H38" s="534">
        <f>SUMIF(114:114,G38,115:115)-SUMIF(114:114,C38,115:115)+100</f>
        <v>100</v>
      </c>
      <c r="I38" s="593" t="s">
        <v>3221</v>
      </c>
      <c r="J38" s="534">
        <f>SUMIF(114:114,I38,115:115)-SUMIF(114:114,C38,115:115)+100</f>
        <v>100</v>
      </c>
      <c r="K38" s="853">
        <v>2</v>
      </c>
      <c r="L38" s="2024"/>
      <c r="M38" s="2016"/>
      <c r="N38" s="2016"/>
      <c r="O38" s="2023"/>
      <c r="P38" s="3517" t="s">
        <v>544</v>
      </c>
      <c r="Q38" s="1506" t="str">
        <f t="shared" si="11"/>
        <v>物业管理</v>
      </c>
      <c r="R38" s="1507" t="s">
        <v>11</v>
      </c>
      <c r="S38" s="1508">
        <f t="shared" si="12"/>
        <v>100</v>
      </c>
      <c r="T38" s="1507" t="s">
        <v>11</v>
      </c>
      <c r="U38" s="1508">
        <f t="shared" si="13"/>
        <v>100</v>
      </c>
      <c r="V38" s="1507" t="s">
        <v>11</v>
      </c>
      <c r="W38" s="1508">
        <f t="shared" si="14"/>
        <v>100</v>
      </c>
      <c r="X38" s="1501"/>
      <c r="Y38" s="3517" t="s">
        <v>544</v>
      </c>
      <c r="Z38" s="1509" t="str">
        <f t="shared" si="15"/>
        <v>物业管理</v>
      </c>
      <c r="AA38" s="1510">
        <f t="shared" si="3"/>
        <v>1</v>
      </c>
      <c r="AB38" s="1510">
        <f t="shared" si="4"/>
        <v>1</v>
      </c>
      <c r="AC38" s="1510">
        <f t="shared" si="5"/>
        <v>1</v>
      </c>
    </row>
    <row r="39" spans="1:29" ht="15">
      <c r="A39" s="588"/>
      <c r="B39" s="1809" t="s">
        <v>2545</v>
      </c>
      <c r="C39" s="593" t="s">
        <v>3194</v>
      </c>
      <c r="D39" s="534">
        <v>100</v>
      </c>
      <c r="E39" s="593" t="s">
        <v>3209</v>
      </c>
      <c r="F39" s="569">
        <f>SUMIF(116:116,E39,117:117)-SUMIF(116:116,C39,117:117)+100</f>
        <v>102</v>
      </c>
      <c r="G39" s="593" t="s">
        <v>3209</v>
      </c>
      <c r="H39" s="534">
        <f>SUMIF(116:116,G39,117:117)-SUMIF(116:116,C39,117:117)+100</f>
        <v>102</v>
      </c>
      <c r="I39" s="593" t="s">
        <v>3209</v>
      </c>
      <c r="J39" s="534">
        <f>SUMIF(116:116,I39,117:117)-SUMIF(116:116,C39,117:117)+100</f>
        <v>102</v>
      </c>
      <c r="K39" s="853">
        <v>2</v>
      </c>
      <c r="L39" s="2024"/>
      <c r="M39" s="2016"/>
      <c r="N39" s="2016"/>
      <c r="O39" s="2023"/>
      <c r="P39" s="3517"/>
      <c r="Q39" s="1506" t="str">
        <f t="shared" si="11"/>
        <v>市政基础设施</v>
      </c>
      <c r="R39" s="1507" t="s">
        <v>11</v>
      </c>
      <c r="S39" s="1508">
        <f t="shared" si="12"/>
        <v>102</v>
      </c>
      <c r="T39" s="1507" t="s">
        <v>11</v>
      </c>
      <c r="U39" s="1508">
        <f t="shared" si="13"/>
        <v>102</v>
      </c>
      <c r="V39" s="1507" t="s">
        <v>11</v>
      </c>
      <c r="W39" s="1508">
        <f t="shared" si="14"/>
        <v>102</v>
      </c>
      <c r="X39" s="1501"/>
      <c r="Y39" s="3517"/>
      <c r="Z39" s="1509" t="str">
        <f t="shared" si="15"/>
        <v>市政基础设施</v>
      </c>
      <c r="AA39" s="1510">
        <f t="shared" si="3"/>
        <v>0.98039215686274506</v>
      </c>
      <c r="AB39" s="1510">
        <f t="shared" si="4"/>
        <v>0.98039215686274506</v>
      </c>
      <c r="AC39" s="1510">
        <f t="shared" si="5"/>
        <v>0.98039215686274506</v>
      </c>
    </row>
    <row r="40" spans="1:29" ht="15">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v>2</v>
      </c>
      <c r="L40" s="2024"/>
      <c r="M40" s="2016"/>
      <c r="N40" s="2016"/>
      <c r="O40" s="2023"/>
      <c r="P40" s="3517"/>
      <c r="Q40" s="1506" t="str">
        <f t="shared" si="11"/>
        <v>房型</v>
      </c>
      <c r="R40" s="1507" t="s">
        <v>11</v>
      </c>
      <c r="S40" s="1508">
        <f t="shared" si="12"/>
        <v>100</v>
      </c>
      <c r="T40" s="1507" t="s">
        <v>11</v>
      </c>
      <c r="U40" s="1508">
        <f t="shared" si="13"/>
        <v>100</v>
      </c>
      <c r="V40" s="1507" t="s">
        <v>11</v>
      </c>
      <c r="W40" s="1508">
        <f t="shared" si="14"/>
        <v>100</v>
      </c>
      <c r="X40" s="1501"/>
      <c r="Y40" s="3517"/>
      <c r="Z40" s="1509" t="str">
        <f t="shared" si="15"/>
        <v>房型</v>
      </c>
      <c r="AA40" s="1510">
        <f t="shared" si="3"/>
        <v>1</v>
      </c>
      <c r="AB40" s="1510">
        <f t="shared" si="4"/>
        <v>1</v>
      </c>
      <c r="AC40" s="1510">
        <f t="shared" si="5"/>
        <v>1</v>
      </c>
    </row>
    <row r="41" spans="1:29" s="1292" customFormat="1" ht="28.5">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2"/>
      <c r="M41" s="2052"/>
      <c r="N41" s="2052"/>
      <c r="O41" s="2025"/>
      <c r="P41" s="3517"/>
      <c r="Q41" s="1535" t="str">
        <f t="shared" si="11"/>
        <v>单套/主力户型建筑面积</v>
      </c>
      <c r="R41" s="1511" t="s">
        <v>11</v>
      </c>
      <c r="S41" s="1512">
        <f t="shared" si="12"/>
        <v>100</v>
      </c>
      <c r="T41" s="1511" t="s">
        <v>11</v>
      </c>
      <c r="U41" s="1512">
        <f t="shared" si="13"/>
        <v>100</v>
      </c>
      <c r="V41" s="1511" t="s">
        <v>11</v>
      </c>
      <c r="W41" s="1512">
        <f t="shared" si="14"/>
        <v>100</v>
      </c>
      <c r="X41" s="1513"/>
      <c r="Y41" s="3517"/>
      <c r="Z41" s="1514" t="str">
        <f t="shared" si="15"/>
        <v>单套/主力户型建筑面积</v>
      </c>
      <c r="AA41" s="1510">
        <f t="shared" si="3"/>
        <v>1</v>
      </c>
      <c r="AB41" s="1510">
        <f t="shared" si="4"/>
        <v>1</v>
      </c>
      <c r="AC41" s="1510">
        <f t="shared" si="5"/>
        <v>1</v>
      </c>
    </row>
    <row r="42" spans="1:29" ht="15">
      <c r="A42" s="588"/>
      <c r="B42" s="521" t="s">
        <v>728</v>
      </c>
      <c r="C42" s="593" t="s">
        <v>3219</v>
      </c>
      <c r="D42" s="534">
        <v>100</v>
      </c>
      <c r="E42" s="593" t="s">
        <v>3219</v>
      </c>
      <c r="F42" s="569">
        <f>SUMIF(122:122,E42,123:123)-SUMIF(122:122,C42,123:123)+100</f>
        <v>100</v>
      </c>
      <c r="G42" s="593" t="s">
        <v>3219</v>
      </c>
      <c r="H42" s="534">
        <f>SUMIF(122:122,G42,123:123)-SUMIF(122:122,C42,123:123)+100</f>
        <v>100</v>
      </c>
      <c r="I42" s="593" t="s">
        <v>3219</v>
      </c>
      <c r="J42" s="534">
        <f>SUMIF(122:122,I42,123:123)-SUMIF(122:122,C42,123:123)+100</f>
        <v>100</v>
      </c>
      <c r="K42" s="853">
        <v>2</v>
      </c>
      <c r="L42" s="2024"/>
      <c r="M42" s="2016"/>
      <c r="N42" s="2016"/>
      <c r="O42" s="2023"/>
      <c r="P42" s="3517"/>
      <c r="Q42" s="1506" t="str">
        <f t="shared" si="11"/>
        <v>内部装修</v>
      </c>
      <c r="R42" s="1507" t="s">
        <v>11</v>
      </c>
      <c r="S42" s="1508">
        <f t="shared" si="12"/>
        <v>100</v>
      </c>
      <c r="T42" s="1507" t="s">
        <v>11</v>
      </c>
      <c r="U42" s="1508">
        <f t="shared" si="13"/>
        <v>100</v>
      </c>
      <c r="V42" s="1507" t="s">
        <v>11</v>
      </c>
      <c r="W42" s="1508">
        <f t="shared" si="14"/>
        <v>100</v>
      </c>
      <c r="X42" s="1501"/>
      <c r="Y42" s="3517"/>
      <c r="Z42" s="1509" t="str">
        <f t="shared" si="15"/>
        <v>内部装修</v>
      </c>
      <c r="AA42" s="1510">
        <f t="shared" si="3"/>
        <v>1</v>
      </c>
      <c r="AB42" s="1510">
        <f t="shared" si="4"/>
        <v>1</v>
      </c>
      <c r="AC42" s="1510">
        <f t="shared" si="5"/>
        <v>1</v>
      </c>
    </row>
    <row r="43" spans="1:29" ht="27">
      <c r="A43" s="588"/>
      <c r="B43" s="521" t="s">
        <v>729</v>
      </c>
      <c r="C43" s="593" t="s">
        <v>3193</v>
      </c>
      <c r="D43" s="534">
        <v>100</v>
      </c>
      <c r="E43" s="593" t="s">
        <v>3193</v>
      </c>
      <c r="F43" s="569">
        <f>SUMIF(124:124,E43,125:125)-SUMIF(124:124,C43,125:125)+100</f>
        <v>100</v>
      </c>
      <c r="G43" s="593" t="s">
        <v>3193</v>
      </c>
      <c r="H43" s="534">
        <f>SUMIF(124:124,G43,125:125)-SUMIF(124:124,C43,125:125)+100</f>
        <v>100</v>
      </c>
      <c r="I43" s="593" t="s">
        <v>3193</v>
      </c>
      <c r="J43" s="534">
        <f>SUMIF(124:124,I43,125:125)-SUMIF(124:124,C43,125:125)+100</f>
        <v>100</v>
      </c>
      <c r="K43" s="853">
        <v>2</v>
      </c>
      <c r="L43" s="2024"/>
      <c r="M43" s="2016"/>
      <c r="N43" s="2016"/>
      <c r="O43" s="2023"/>
      <c r="P43" s="3517"/>
      <c r="Q43" s="1506" t="str">
        <f t="shared" si="11"/>
        <v>内部装修维护情况</v>
      </c>
      <c r="R43" s="1507" t="s">
        <v>11</v>
      </c>
      <c r="S43" s="1508">
        <f t="shared" si="12"/>
        <v>100</v>
      </c>
      <c r="T43" s="1507" t="s">
        <v>11</v>
      </c>
      <c r="U43" s="1508">
        <f t="shared" si="13"/>
        <v>100</v>
      </c>
      <c r="V43" s="1507" t="s">
        <v>11</v>
      </c>
      <c r="W43" s="1508">
        <f t="shared" si="14"/>
        <v>100</v>
      </c>
      <c r="X43" s="1501"/>
      <c r="Y43" s="351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17"/>
      <c r="Q44" s="1133">
        <f t="shared" si="11"/>
        <v>111</v>
      </c>
      <c r="R44" s="1502" t="s">
        <v>11</v>
      </c>
      <c r="S44" s="1503">
        <f t="shared" si="12"/>
        <v>100</v>
      </c>
      <c r="T44" s="1502" t="s">
        <v>11</v>
      </c>
      <c r="U44" s="1503">
        <f t="shared" si="13"/>
        <v>100</v>
      </c>
      <c r="V44" s="1502" t="s">
        <v>11</v>
      </c>
      <c r="W44" s="1503">
        <f t="shared" si="14"/>
        <v>100</v>
      </c>
      <c r="X44" s="1504"/>
      <c r="Y44" s="351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7"/>
      <c r="Q45" s="1506">
        <f t="shared" si="11"/>
        <v>111</v>
      </c>
      <c r="R45" s="1507" t="s">
        <v>11</v>
      </c>
      <c r="S45" s="1508">
        <f t="shared" si="12"/>
        <v>100</v>
      </c>
      <c r="T45" s="1507" t="s">
        <v>11</v>
      </c>
      <c r="U45" s="1508">
        <f t="shared" si="13"/>
        <v>100</v>
      </c>
      <c r="V45" s="1507" t="s">
        <v>11</v>
      </c>
      <c r="W45" s="1508">
        <f t="shared" si="14"/>
        <v>100</v>
      </c>
      <c r="X45" s="1501"/>
      <c r="Y45" s="3517"/>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9"/>
      <c r="Q46" s="1506">
        <f t="shared" si="11"/>
        <v>111</v>
      </c>
      <c r="R46" s="1507" t="s">
        <v>10</v>
      </c>
      <c r="S46" s="1508">
        <f t="shared" si="12"/>
        <v>100</v>
      </c>
      <c r="T46" s="1507" t="s">
        <v>10</v>
      </c>
      <c r="U46" s="1508">
        <f t="shared" si="13"/>
        <v>100</v>
      </c>
      <c r="V46" s="1507" t="s">
        <v>10</v>
      </c>
      <c r="W46" s="1508">
        <f t="shared" si="14"/>
        <v>100</v>
      </c>
      <c r="X46" s="1501"/>
      <c r="Y46" s="3599"/>
      <c r="Z46" s="1509">
        <f t="shared" si="15"/>
        <v>111</v>
      </c>
      <c r="AA46" s="1510">
        <f t="shared" si="3"/>
        <v>1</v>
      </c>
      <c r="AB46" s="1510">
        <f t="shared" si="4"/>
        <v>1</v>
      </c>
      <c r="AC46" s="1510">
        <f t="shared" si="5"/>
        <v>1</v>
      </c>
    </row>
    <row r="47" spans="1:29" ht="15">
      <c r="A47" s="601" t="s">
        <v>730</v>
      </c>
      <c r="B47" s="875"/>
      <c r="C47" s="2470" t="s">
        <v>9</v>
      </c>
      <c r="D47" s="2471"/>
      <c r="E47" s="2472">
        <f>ROUND(8675*C50,0)</f>
        <v>7981</v>
      </c>
      <c r="F47" s="2473"/>
      <c r="G47" s="2474">
        <f>ROUND(8200*C50,0)</f>
        <v>7544</v>
      </c>
      <c r="H47" s="2475"/>
      <c r="I47" s="2472">
        <f>ROUND(9022*C50,0)</f>
        <v>8300</v>
      </c>
      <c r="J47" s="2475"/>
      <c r="K47" s="1536"/>
      <c r="L47" s="2026"/>
      <c r="M47" s="2027"/>
      <c r="N47" s="2016"/>
      <c r="O47" s="2027"/>
      <c r="P47" s="3479" t="str">
        <f>A47</f>
        <v>成交单价（元/平方米）</v>
      </c>
      <c r="Q47" s="3479"/>
      <c r="R47" s="3598">
        <f>E47</f>
        <v>7981</v>
      </c>
      <c r="S47" s="3598"/>
      <c r="T47" s="3598">
        <f>G47</f>
        <v>7544</v>
      </c>
      <c r="U47" s="3598"/>
      <c r="V47" s="3598">
        <f>I47</f>
        <v>8300</v>
      </c>
      <c r="W47" s="3598"/>
      <c r="X47" s="1496"/>
      <c r="Y47" s="1515"/>
      <c r="Z47" s="1496"/>
      <c r="AA47" s="1496"/>
      <c r="AB47" s="1496"/>
      <c r="AC47" s="1496"/>
    </row>
    <row r="48" spans="1:29" ht="15.75" thickBot="1">
      <c r="A48" s="609" t="s">
        <v>2740</v>
      </c>
      <c r="B48" s="876"/>
      <c r="C48" s="2476">
        <f>R49</f>
        <v>6945</v>
      </c>
      <c r="D48" s="3014" t="s">
        <v>2969</v>
      </c>
      <c r="E48" s="2477">
        <f>R48</f>
        <v>6955</v>
      </c>
      <c r="F48" s="3015"/>
      <c r="G48" s="2476">
        <f>T48</f>
        <v>6574</v>
      </c>
      <c r="H48" s="3015"/>
      <c r="I48" s="2477">
        <f>V48</f>
        <v>7306</v>
      </c>
      <c r="J48" s="3015"/>
      <c r="K48" s="3023">
        <f>F48+H48+J48</f>
        <v>0</v>
      </c>
      <c r="L48" s="2026"/>
      <c r="M48" s="2027"/>
      <c r="N48" s="2027"/>
      <c r="O48" s="2027"/>
      <c r="P48" s="3479" t="str">
        <f>A48</f>
        <v>比较价格（元/平方米）</v>
      </c>
      <c r="Q48" s="3479"/>
      <c r="R48" s="3598">
        <f>IF(F1="售价",ROUND(PRODUCT(R47,AA7:AA46),0),ROUND(PRODUCT(R47,AA7:AA46),1))</f>
        <v>6955</v>
      </c>
      <c r="S48" s="3598"/>
      <c r="T48" s="3598">
        <f>IF(F1="售价",ROUND(PRODUCT(T47,AB7:AB46),0),ROUND(PRODUCT(T47,AB7:AB46),1))</f>
        <v>6574</v>
      </c>
      <c r="U48" s="3598"/>
      <c r="V48" s="3598">
        <f>IF(F1="售价",ROUND(PRODUCT(V47,AC7:AC46),0),ROUND(PRODUCT(V47,AC7:AC46),1))</f>
        <v>7306</v>
      </c>
      <c r="W48" s="3598"/>
      <c r="X48" s="1496"/>
      <c r="Y48" s="1496"/>
      <c r="Z48" s="1496"/>
      <c r="AA48" s="1496"/>
      <c r="AB48" s="1496"/>
      <c r="AC48" s="1496"/>
    </row>
    <row r="49" spans="1:29" ht="15.75" thickBot="1">
      <c r="A49" s="613" t="s">
        <v>2901</v>
      </c>
      <c r="B49" s="614"/>
      <c r="C49" s="2478">
        <f>R49</f>
        <v>6945</v>
      </c>
      <c r="D49" s="2478"/>
      <c r="E49" s="2478"/>
      <c r="F49" s="2478"/>
      <c r="G49" s="2478"/>
      <c r="H49" s="2478"/>
      <c r="I49" s="2478"/>
      <c r="J49" s="2478"/>
      <c r="K49" s="1537"/>
      <c r="L49" s="2026"/>
      <c r="M49" s="2027"/>
      <c r="N49" s="2027"/>
      <c r="O49" s="2027"/>
      <c r="P49" s="3476" t="str">
        <f>A49</f>
        <v>估价对象XX用房的比较价格（楼面单价，元/平方米）</v>
      </c>
      <c r="Q49" s="3477"/>
      <c r="R49" s="3597">
        <f>IF(F1="售价",ROUND(IF(D48="简单平均",AVERAGE(R48:V48),R48*F48+T48*H48+V48*J48),0),ROUND(IF(D48="简单平均",AVERAGE(R48:V48),R48*F48+T48*H48+V48*J48),1))</f>
        <v>6945</v>
      </c>
      <c r="S49" s="3597"/>
      <c r="T49" s="3597"/>
      <c r="U49" s="3597"/>
      <c r="V49" s="3597"/>
      <c r="W49" s="3597"/>
      <c r="X49" s="1496"/>
      <c r="Y49" s="1496"/>
      <c r="Z49" s="1496"/>
      <c r="AA49" s="1496"/>
      <c r="AB49" s="1496"/>
      <c r="AC49" s="1496"/>
    </row>
    <row r="50" spans="1:29">
      <c r="A50" s="3214"/>
      <c r="B50" s="3214"/>
      <c r="C50" s="3214">
        <v>0.92</v>
      </c>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0.14751976994967642</v>
      </c>
      <c r="F52" s="619" t="str">
        <f>IF(OR(E52&gt;=0.3,E52&lt;=-0.3),"超过30%","")</f>
        <v/>
      </c>
      <c r="G52" s="618">
        <f>IF(G47&lt;G48,G48/G47-1,G47/G48-1)</f>
        <v>0.14755095832065712</v>
      </c>
      <c r="H52" s="619" t="str">
        <f>IF(OR(G52&gt;=0.3,G52&lt;=-0.3),"超过30%","")</f>
        <v/>
      </c>
      <c r="I52" s="618">
        <f>IF(I47&lt;I48,I48/I47-1,I47/I48-1)</f>
        <v>0.13605255954010409</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5.7955582598113731E-2</v>
      </c>
      <c r="F53" s="619" t="str">
        <f>IF(OR(E53&gt;=0.2,E53&lt;=-0.2),"超过20%","")</f>
        <v/>
      </c>
      <c r="G53" s="618">
        <f>IF(G48&lt;I48,I48/G48-1,G48/I48-1)</f>
        <v>0.11134773349558857</v>
      </c>
      <c r="H53" s="619" t="str">
        <f>IF(OR(G53&gt;=0.2,G53&lt;=-0.2),"超过20%","")</f>
        <v/>
      </c>
      <c r="I53" s="618">
        <f>IF(I48&lt;E48,E48/I48-1,I48/E48-1)</f>
        <v>5.0467289719626107E-2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5.7926829268292623E-2</v>
      </c>
      <c r="F54" s="619" t="str">
        <f>IF(OR(E54&gt;=0.3,E54&lt;=-0.3),"超过30%","")</f>
        <v/>
      </c>
      <c r="G54" s="618">
        <f>IF(G47&lt;I47,I47/G47-1,G47/I47-1)</f>
        <v>0.10021208907741253</v>
      </c>
      <c r="H54" s="619" t="str">
        <f>IF(OR(G54&gt;=0.3,G54&lt;=-0.3),"超过30%","")</f>
        <v/>
      </c>
      <c r="I54" s="618">
        <f>IF(I47&lt;E47,E47/I47-1,I47/E47-1)</f>
        <v>3.9969928580378289E-2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f>C59</f>
        <v>100</v>
      </c>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95</v>
      </c>
      <c r="E77" s="671">
        <f>D77-$K15</f>
        <v>90</v>
      </c>
      <c r="F77" s="671">
        <f>E77-$K15</f>
        <v>85</v>
      </c>
      <c r="G77" s="671">
        <f>F77-$K15</f>
        <v>80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97</v>
      </c>
      <c r="E79" s="671">
        <f>D79-$K17</f>
        <v>94</v>
      </c>
      <c r="F79" s="671">
        <f>E79-$K17</f>
        <v>91</v>
      </c>
      <c r="G79" s="671">
        <f>F79-$K17</f>
        <v>88</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99</v>
      </c>
      <c r="E85" s="671">
        <f>D85-$K23</f>
        <v>98</v>
      </c>
      <c r="F85" s="671">
        <f>E85-$K23</f>
        <v>97</v>
      </c>
      <c r="G85" s="671">
        <f>F85-$K23</f>
        <v>96</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93" t="s">
        <v>3212</v>
      </c>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6">
        <v>0</v>
      </c>
      <c r="D103" s="3296">
        <v>100000</v>
      </c>
      <c r="E103" s="3296">
        <v>200000</v>
      </c>
      <c r="F103" s="3296">
        <v>300000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97">
        <v>100</v>
      </c>
      <c r="D104" s="3298">
        <v>99</v>
      </c>
      <c r="E104" s="3298">
        <v>98</v>
      </c>
      <c r="F104" s="3298">
        <v>97</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99" t="s">
        <v>3210</v>
      </c>
      <c r="D105" s="3300"/>
      <c r="E105" s="3301"/>
      <c r="F105" s="3301"/>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294" t="s">
        <v>3214</v>
      </c>
      <c r="D107" s="3294" t="s">
        <v>3215</v>
      </c>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302" t="s">
        <v>3217</v>
      </c>
      <c r="D109" s="3302" t="s">
        <v>3218</v>
      </c>
      <c r="E109" s="3302" t="s">
        <v>3220</v>
      </c>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302" t="s">
        <v>3222</v>
      </c>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t="s">
        <v>3223</v>
      </c>
      <c r="D116" s="680" t="s">
        <v>3209</v>
      </c>
      <c r="E116" s="680" t="s">
        <v>3194</v>
      </c>
      <c r="F116" s="680" t="s">
        <v>3224</v>
      </c>
      <c r="G116" s="680" t="s">
        <v>3225</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98</v>
      </c>
      <c r="E119" s="671">
        <f t="shared" si="28"/>
        <v>96</v>
      </c>
      <c r="F119" s="671">
        <f t="shared" si="28"/>
        <v>94</v>
      </c>
      <c r="G119" s="671">
        <f t="shared" si="28"/>
        <v>92</v>
      </c>
      <c r="H119" s="671">
        <f t="shared" si="28"/>
        <v>90</v>
      </c>
      <c r="I119" s="671">
        <f t="shared" si="28"/>
        <v>88</v>
      </c>
      <c r="J119" s="671">
        <f t="shared" si="28"/>
        <v>86</v>
      </c>
      <c r="K119" s="671">
        <f t="shared" si="28"/>
        <v>84</v>
      </c>
      <c r="L119" s="671">
        <f t="shared" si="28"/>
        <v>82</v>
      </c>
      <c r="M119" s="671">
        <f t="shared" si="28"/>
        <v>80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02" t="s">
        <v>3217</v>
      </c>
      <c r="D122" s="3302" t="s">
        <v>3218</v>
      </c>
      <c r="E122" s="3302" t="s">
        <v>3220</v>
      </c>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5" t="s">
        <v>516</v>
      </c>
      <c r="D4" s="3486"/>
      <c r="E4" s="3520" t="s">
        <v>517</v>
      </c>
      <c r="F4" s="3521"/>
      <c r="G4" s="3485" t="s">
        <v>518</v>
      </c>
      <c r="H4" s="3486"/>
      <c r="I4" s="3485" t="s">
        <v>519</v>
      </c>
      <c r="J4" s="3486"/>
      <c r="K4" s="508" t="s">
        <v>520</v>
      </c>
      <c r="L4" s="2015"/>
      <c r="M4" s="2016"/>
      <c r="N4" s="2016"/>
      <c r="O4" s="2016"/>
      <c r="P4" s="3487" t="s">
        <v>521</v>
      </c>
      <c r="Q4" s="3488"/>
      <c r="R4" s="3493" t="s">
        <v>517</v>
      </c>
      <c r="S4" s="3494"/>
      <c r="T4" s="3493" t="s">
        <v>518</v>
      </c>
      <c r="U4" s="3494"/>
      <c r="V4" s="3480" t="s">
        <v>519</v>
      </c>
      <c r="W4" s="3480"/>
      <c r="X4" s="1501"/>
      <c r="Y4" s="3493" t="s">
        <v>521</v>
      </c>
      <c r="Z4" s="3494"/>
      <c r="AA4" s="3482" t="s">
        <v>517</v>
      </c>
      <c r="AB4" s="3480" t="s">
        <v>518</v>
      </c>
      <c r="AC4" s="3482" t="s">
        <v>519</v>
      </c>
    </row>
    <row r="5" spans="1:29" ht="15">
      <c r="A5" s="509"/>
      <c r="B5" s="510"/>
      <c r="C5" s="3501" t="s">
        <v>2895</v>
      </c>
      <c r="D5" s="3502"/>
      <c r="E5" s="3522" t="s">
        <v>2896</v>
      </c>
      <c r="F5" s="3523"/>
      <c r="G5" s="3501" t="s">
        <v>2897</v>
      </c>
      <c r="H5" s="3502"/>
      <c r="I5" s="3501" t="s">
        <v>2898</v>
      </c>
      <c r="J5" s="3502"/>
      <c r="K5" s="508"/>
      <c r="L5" s="2015"/>
      <c r="M5" s="2016"/>
      <c r="N5" s="2016"/>
      <c r="O5" s="2016"/>
      <c r="P5" s="3489"/>
      <c r="Q5" s="3490"/>
      <c r="R5" s="3495"/>
      <c r="S5" s="3496"/>
      <c r="T5" s="3495"/>
      <c r="U5" s="3496"/>
      <c r="V5" s="3480"/>
      <c r="W5" s="3480"/>
      <c r="X5" s="1501"/>
      <c r="Y5" s="3495"/>
      <c r="Z5" s="3496"/>
      <c r="AA5" s="3483"/>
      <c r="AB5" s="3480"/>
      <c r="AC5" s="3483"/>
    </row>
    <row r="6" spans="1:29" ht="15.75" thickBot="1">
      <c r="A6" s="511"/>
      <c r="B6" s="512"/>
      <c r="C6" s="3499" t="s">
        <v>2899</v>
      </c>
      <c r="D6" s="3500"/>
      <c r="E6" s="3518" t="s">
        <v>2899</v>
      </c>
      <c r="F6" s="3519"/>
      <c r="G6" s="3499" t="s">
        <v>2899</v>
      </c>
      <c r="H6" s="3500"/>
      <c r="I6" s="3499" t="s">
        <v>2899</v>
      </c>
      <c r="J6" s="3500"/>
      <c r="K6" s="508" t="s">
        <v>522</v>
      </c>
      <c r="L6" s="2015"/>
      <c r="M6" s="2016"/>
      <c r="N6" s="2016"/>
      <c r="O6" s="2016"/>
      <c r="P6" s="3491"/>
      <c r="Q6" s="3492"/>
      <c r="R6" s="3495"/>
      <c r="S6" s="3496"/>
      <c r="T6" s="3497"/>
      <c r="U6" s="3498"/>
      <c r="V6" s="3480"/>
      <c r="W6" s="3480"/>
      <c r="X6" s="1501"/>
      <c r="Y6" s="3497"/>
      <c r="Z6" s="3498"/>
      <c r="AA6" s="3484"/>
      <c r="AB6" s="3480"/>
      <c r="AC6" s="3484"/>
    </row>
    <row r="7" spans="1:29" s="1202" customFormat="1" ht="15.75" thickBot="1">
      <c r="A7" s="2629"/>
      <c r="B7" s="2636" t="s">
        <v>523</v>
      </c>
      <c r="C7" s="513">
        <f>'数据-取费表'!B2</f>
        <v>44257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1" t="s">
        <v>524</v>
      </c>
      <c r="Q7" s="3513"/>
      <c r="R7" s="1502" t="s">
        <v>8</v>
      </c>
      <c r="S7" s="1503">
        <f t="shared" ref="S7:S15" si="0">F7</f>
        <v>0</v>
      </c>
      <c r="T7" s="1502" t="s">
        <v>8</v>
      </c>
      <c r="U7" s="1503">
        <f t="shared" ref="U7:U15" si="1">H7</f>
        <v>0</v>
      </c>
      <c r="V7" s="1502" t="s">
        <v>8</v>
      </c>
      <c r="W7" s="1503">
        <f t="shared" ref="W7:W15" si="2">J7</f>
        <v>0</v>
      </c>
      <c r="X7" s="1504"/>
      <c r="Y7" s="3511" t="s">
        <v>524</v>
      </c>
      <c r="Z7" s="3512"/>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1" t="s">
        <v>527</v>
      </c>
      <c r="Q8" s="3512"/>
      <c r="R8" s="1502" t="s">
        <v>8</v>
      </c>
      <c r="S8" s="1503">
        <f t="shared" si="0"/>
        <v>0</v>
      </c>
      <c r="T8" s="1502" t="s">
        <v>8</v>
      </c>
      <c r="U8" s="1503">
        <f t="shared" si="1"/>
        <v>0</v>
      </c>
      <c r="V8" s="1502" t="s">
        <v>8</v>
      </c>
      <c r="W8" s="1503">
        <f t="shared" si="2"/>
        <v>0</v>
      </c>
      <c r="X8" s="1504"/>
      <c r="Y8" s="3511" t="s">
        <v>527</v>
      </c>
      <c r="Z8" s="3512"/>
      <c r="AA8" s="1505" t="e">
        <f t="shared" ref="AA8:AA46" si="3">D8/F8</f>
        <v>#DIV/0!</v>
      </c>
      <c r="AB8" s="1505" t="e">
        <f t="shared" ref="AB8:AB46" si="4">D8/H8</f>
        <v>#DIV/0!</v>
      </c>
      <c r="AC8" s="1505" t="e">
        <f t="shared" ref="AC8:AC46" si="5">D8/J8</f>
        <v>#DIV/0!</v>
      </c>
    </row>
    <row r="9" spans="1:29" s="1202"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9" t="s">
        <v>529</v>
      </c>
      <c r="Q9" s="1133" t="str">
        <f t="shared" ref="Q9:Q15" si="6">B9</f>
        <v>用途</v>
      </c>
      <c r="R9" s="1502" t="s">
        <v>8</v>
      </c>
      <c r="S9" s="1503">
        <f t="shared" si="0"/>
        <v>100</v>
      </c>
      <c r="T9" s="1502" t="s">
        <v>8</v>
      </c>
      <c r="U9" s="1503">
        <f t="shared" si="1"/>
        <v>100</v>
      </c>
      <c r="V9" s="1502" t="s">
        <v>8</v>
      </c>
      <c r="W9" s="1503">
        <f t="shared" si="2"/>
        <v>100</v>
      </c>
      <c r="X9" s="1504"/>
      <c r="Y9" s="3425"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9"/>
      <c r="Q10" s="1133" t="str">
        <f t="shared" si="6"/>
        <v>土地使用年限（年）</v>
      </c>
      <c r="R10" s="1502" t="s">
        <v>8</v>
      </c>
      <c r="S10" s="1503">
        <f t="shared" si="0"/>
        <v>100</v>
      </c>
      <c r="T10" s="1502" t="s">
        <v>8</v>
      </c>
      <c r="U10" s="1503">
        <f t="shared" si="1"/>
        <v>100</v>
      </c>
      <c r="V10" s="1502" t="s">
        <v>8</v>
      </c>
      <c r="W10" s="1503">
        <f t="shared" si="2"/>
        <v>100</v>
      </c>
      <c r="X10" s="1504"/>
      <c r="Y10" s="3425"/>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9"/>
      <c r="Q11" s="1133" t="str">
        <f t="shared" si="6"/>
        <v>容积率</v>
      </c>
      <c r="R11" s="1502" t="s">
        <v>8</v>
      </c>
      <c r="S11" s="1503" t="e">
        <f t="shared" si="0"/>
        <v>#N/A</v>
      </c>
      <c r="T11" s="1502" t="s">
        <v>8</v>
      </c>
      <c r="U11" s="1503" t="e">
        <f t="shared" si="1"/>
        <v>#N/A</v>
      </c>
      <c r="V11" s="1502" t="s">
        <v>8</v>
      </c>
      <c r="W11" s="1503" t="e">
        <f t="shared" si="2"/>
        <v>#N/A</v>
      </c>
      <c r="X11" s="1504"/>
      <c r="Y11" s="342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79"/>
      <c r="Q12" s="1133">
        <f t="shared" si="6"/>
        <v>111</v>
      </c>
      <c r="R12" s="1502" t="s">
        <v>8</v>
      </c>
      <c r="S12" s="1503">
        <f t="shared" si="0"/>
        <v>100</v>
      </c>
      <c r="T12" s="1502" t="s">
        <v>8</v>
      </c>
      <c r="U12" s="1503">
        <f t="shared" si="1"/>
        <v>100</v>
      </c>
      <c r="V12" s="1502" t="s">
        <v>8</v>
      </c>
      <c r="W12" s="1503">
        <f t="shared" si="2"/>
        <v>100</v>
      </c>
      <c r="X12" s="1504"/>
      <c r="Y12" s="342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79"/>
      <c r="Q13" s="1133">
        <f t="shared" si="6"/>
        <v>111</v>
      </c>
      <c r="R13" s="1502" t="s">
        <v>8</v>
      </c>
      <c r="S13" s="1503">
        <f t="shared" si="0"/>
        <v>100</v>
      </c>
      <c r="T13" s="1502" t="s">
        <v>8</v>
      </c>
      <c r="U13" s="1503">
        <f t="shared" si="1"/>
        <v>100</v>
      </c>
      <c r="V13" s="1502" t="s">
        <v>8</v>
      </c>
      <c r="W13" s="1503">
        <f t="shared" si="2"/>
        <v>100</v>
      </c>
      <c r="X13" s="1504"/>
      <c r="Y13" s="342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79"/>
      <c r="Q14" s="1133">
        <f t="shared" si="6"/>
        <v>111</v>
      </c>
      <c r="R14" s="1502" t="s">
        <v>8</v>
      </c>
      <c r="S14" s="1503">
        <f t="shared" si="0"/>
        <v>100</v>
      </c>
      <c r="T14" s="1502" t="s">
        <v>8</v>
      </c>
      <c r="U14" s="1503">
        <f t="shared" si="1"/>
        <v>100</v>
      </c>
      <c r="V14" s="1502" t="s">
        <v>8</v>
      </c>
      <c r="W14" s="1503">
        <f t="shared" si="2"/>
        <v>100</v>
      </c>
      <c r="X14" s="1504"/>
      <c r="Y14" s="3425"/>
      <c r="Z14" s="1132">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14" t="s">
        <v>534</v>
      </c>
      <c r="Q15" s="1506" t="str">
        <f t="shared" si="6"/>
        <v>商业繁华度</v>
      </c>
      <c r="R15" s="1507" t="s">
        <v>8</v>
      </c>
      <c r="S15" s="1508">
        <f t="shared" si="0"/>
        <v>100</v>
      </c>
      <c r="T15" s="1507" t="s">
        <v>8</v>
      </c>
      <c r="U15" s="1508">
        <f t="shared" si="1"/>
        <v>100</v>
      </c>
      <c r="V15" s="1507" t="s">
        <v>8</v>
      </c>
      <c r="W15" s="1508">
        <f t="shared" si="2"/>
        <v>100</v>
      </c>
      <c r="X15" s="1501"/>
      <c r="Y15" s="3514"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5"/>
      <c r="Q16" s="1506"/>
      <c r="R16" s="1507"/>
      <c r="S16" s="1508"/>
      <c r="T16" s="1507"/>
      <c r="U16" s="1508"/>
      <c r="V16" s="1507"/>
      <c r="W16" s="1508"/>
      <c r="X16" s="1501"/>
      <c r="Y16" s="351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15"/>
      <c r="Q17" s="1506" t="str">
        <f>B17</f>
        <v>交通便捷度</v>
      </c>
      <c r="R17" s="1507" t="s">
        <v>8</v>
      </c>
      <c r="S17" s="1508">
        <f>F17</f>
        <v>100</v>
      </c>
      <c r="T17" s="1507" t="s">
        <v>8</v>
      </c>
      <c r="U17" s="1508">
        <f>H17</f>
        <v>100</v>
      </c>
      <c r="V17" s="1507" t="s">
        <v>8</v>
      </c>
      <c r="W17" s="1508">
        <f>J17</f>
        <v>100</v>
      </c>
      <c r="X17" s="1501"/>
      <c r="Y17" s="351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5"/>
      <c r="Q18" s="1506"/>
      <c r="R18" s="1507"/>
      <c r="S18" s="1508"/>
      <c r="T18" s="1507"/>
      <c r="U18" s="1508"/>
      <c r="V18" s="1507"/>
      <c r="W18" s="1508"/>
      <c r="X18" s="1501"/>
      <c r="Y18" s="3515"/>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15"/>
      <c r="Q19" s="1506" t="str">
        <f>B19</f>
        <v>公共配套设施</v>
      </c>
      <c r="R19" s="1507" t="s">
        <v>8</v>
      </c>
      <c r="S19" s="1508">
        <f>F19</f>
        <v>100</v>
      </c>
      <c r="T19" s="1507" t="s">
        <v>8</v>
      </c>
      <c r="U19" s="1508">
        <f>H19</f>
        <v>100</v>
      </c>
      <c r="V19" s="1507" t="s">
        <v>8</v>
      </c>
      <c r="W19" s="1508">
        <f>J19</f>
        <v>100</v>
      </c>
      <c r="X19" s="1501"/>
      <c r="Y19" s="3515"/>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15"/>
      <c r="Q20" s="1506"/>
      <c r="R20" s="1507"/>
      <c r="S20" s="1508"/>
      <c r="T20" s="1507"/>
      <c r="U20" s="1508"/>
      <c r="V20" s="1507"/>
      <c r="W20" s="1508"/>
      <c r="X20" s="1501"/>
      <c r="Y20" s="3515"/>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15"/>
      <c r="Q21" s="2429" t="str">
        <f>B21</f>
        <v>基础设施水平</v>
      </c>
      <c r="R21" s="1507" t="s">
        <v>8</v>
      </c>
      <c r="S21" s="1508">
        <f>F21</f>
        <v>100</v>
      </c>
      <c r="T21" s="1507" t="s">
        <v>8</v>
      </c>
      <c r="U21" s="1508">
        <f>H21</f>
        <v>100</v>
      </c>
      <c r="V21" s="1507" t="s">
        <v>8</v>
      </c>
      <c r="W21" s="1508">
        <f>J21</f>
        <v>100</v>
      </c>
      <c r="X21" s="2431"/>
      <c r="Y21" s="3515"/>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15"/>
      <c r="Q22" s="2429"/>
      <c r="R22" s="1507"/>
      <c r="S22" s="1508"/>
      <c r="T22" s="1507"/>
      <c r="U22" s="1508"/>
      <c r="V22" s="1507"/>
      <c r="W22" s="1508"/>
      <c r="X22" s="2431"/>
      <c r="Y22" s="3515"/>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15"/>
      <c r="Q23" s="1506" t="str">
        <f>B23</f>
        <v>自然及人文环境</v>
      </c>
      <c r="R23" s="1507" t="s">
        <v>8</v>
      </c>
      <c r="S23" s="1508">
        <f>F23</f>
        <v>100</v>
      </c>
      <c r="T23" s="1507" t="s">
        <v>8</v>
      </c>
      <c r="U23" s="1508">
        <f>H23</f>
        <v>100</v>
      </c>
      <c r="V23" s="1507" t="s">
        <v>8</v>
      </c>
      <c r="W23" s="1508">
        <f>J23</f>
        <v>100</v>
      </c>
      <c r="X23" s="1501"/>
      <c r="Y23" s="3515"/>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15"/>
      <c r="Q24" s="1506"/>
      <c r="R24" s="1507"/>
      <c r="S24" s="1508"/>
      <c r="T24" s="1507"/>
      <c r="U24" s="1508"/>
      <c r="V24" s="1507"/>
      <c r="W24" s="1508"/>
      <c r="X24" s="1501"/>
      <c r="Y24" s="3515"/>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15"/>
      <c r="Q25" s="1506" t="str">
        <f t="shared" ref="Q25:Q46" si="11">B25</f>
        <v>临街状况</v>
      </c>
      <c r="R25" s="1507" t="s">
        <v>8</v>
      </c>
      <c r="S25" s="1508">
        <f>F25</f>
        <v>100</v>
      </c>
      <c r="T25" s="1507" t="s">
        <v>8</v>
      </c>
      <c r="U25" s="1508">
        <f>H25</f>
        <v>100</v>
      </c>
      <c r="V25" s="1507" t="s">
        <v>8</v>
      </c>
      <c r="W25" s="1508">
        <f>J25</f>
        <v>100</v>
      </c>
      <c r="X25" s="1501"/>
      <c r="Y25" s="3515"/>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15"/>
      <c r="Q26" s="1506" t="str">
        <f t="shared" si="11"/>
        <v>平面位置/可视性</v>
      </c>
      <c r="R26" s="1507" t="s">
        <v>8</v>
      </c>
      <c r="S26" s="1508">
        <f>F26</f>
        <v>100</v>
      </c>
      <c r="T26" s="1507" t="s">
        <v>8</v>
      </c>
      <c r="U26" s="1508">
        <f>H26</f>
        <v>100</v>
      </c>
      <c r="V26" s="1507" t="s">
        <v>8</v>
      </c>
      <c r="W26" s="1508">
        <f>J26</f>
        <v>100</v>
      </c>
      <c r="X26" s="1501"/>
      <c r="Y26" s="3515"/>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15"/>
      <c r="Q27" s="1133" t="str">
        <f t="shared" si="11"/>
        <v>人流量</v>
      </c>
      <c r="R27" s="1502" t="s">
        <v>8</v>
      </c>
      <c r="S27" s="1503">
        <f>F27</f>
        <v>100</v>
      </c>
      <c r="T27" s="1502" t="s">
        <v>8</v>
      </c>
      <c r="U27" s="1503">
        <f>H27</f>
        <v>100</v>
      </c>
      <c r="V27" s="1502" t="s">
        <v>8</v>
      </c>
      <c r="W27" s="1503">
        <f>J27</f>
        <v>100</v>
      </c>
      <c r="X27" s="1504"/>
      <c r="Y27" s="3515"/>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15"/>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5"/>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15"/>
      <c r="Q29" s="1506">
        <f t="shared" si="11"/>
        <v>111</v>
      </c>
      <c r="R29" s="1507" t="s">
        <v>8</v>
      </c>
      <c r="S29" s="1508">
        <f t="shared" si="12"/>
        <v>100</v>
      </c>
      <c r="T29" s="1507" t="s">
        <v>8</v>
      </c>
      <c r="U29" s="1508">
        <f t="shared" si="13"/>
        <v>100</v>
      </c>
      <c r="V29" s="1507" t="s">
        <v>8</v>
      </c>
      <c r="W29" s="1508">
        <f t="shared" si="14"/>
        <v>100</v>
      </c>
      <c r="X29" s="1501"/>
      <c r="Y29" s="351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15"/>
      <c r="Q30" s="1506">
        <f t="shared" si="11"/>
        <v>111</v>
      </c>
      <c r="R30" s="1507" t="s">
        <v>8</v>
      </c>
      <c r="S30" s="1508">
        <f t="shared" si="12"/>
        <v>100</v>
      </c>
      <c r="T30" s="1507" t="s">
        <v>8</v>
      </c>
      <c r="U30" s="1508">
        <f t="shared" si="13"/>
        <v>100</v>
      </c>
      <c r="V30" s="1507" t="s">
        <v>8</v>
      </c>
      <c r="W30" s="1508">
        <f t="shared" si="14"/>
        <v>100</v>
      </c>
      <c r="X30" s="1501"/>
      <c r="Y30" s="3515"/>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15"/>
      <c r="Q31" s="1506">
        <f t="shared" si="11"/>
        <v>111</v>
      </c>
      <c r="R31" s="1507" t="s">
        <v>8</v>
      </c>
      <c r="S31" s="1508">
        <f t="shared" si="12"/>
        <v>100</v>
      </c>
      <c r="T31" s="1507" t="s">
        <v>8</v>
      </c>
      <c r="U31" s="1508">
        <f t="shared" si="13"/>
        <v>100</v>
      </c>
      <c r="V31" s="1507" t="s">
        <v>8</v>
      </c>
      <c r="W31" s="1508">
        <f t="shared" si="14"/>
        <v>100</v>
      </c>
      <c r="X31" s="1501"/>
      <c r="Y31" s="3515"/>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6" t="s">
        <v>544</v>
      </c>
      <c r="Q32" s="1506" t="str">
        <f t="shared" si="11"/>
        <v>商业类型</v>
      </c>
      <c r="R32" s="1507" t="s">
        <v>8</v>
      </c>
      <c r="S32" s="1508">
        <f t="shared" si="12"/>
        <v>100</v>
      </c>
      <c r="T32" s="1507" t="s">
        <v>8</v>
      </c>
      <c r="U32" s="1508">
        <f t="shared" si="13"/>
        <v>100</v>
      </c>
      <c r="V32" s="1507" t="s">
        <v>8</v>
      </c>
      <c r="W32" s="1508">
        <f t="shared" si="14"/>
        <v>100</v>
      </c>
      <c r="X32" s="1501"/>
      <c r="Y32" s="3517"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7"/>
      <c r="Q33" s="1535" t="str">
        <f t="shared" si="11"/>
        <v>项目建筑规模</v>
      </c>
      <c r="R33" s="1511" t="s">
        <v>8</v>
      </c>
      <c r="S33" s="1512" t="e">
        <f t="shared" si="12"/>
        <v>#N/A</v>
      </c>
      <c r="T33" s="1511" t="s">
        <v>8</v>
      </c>
      <c r="U33" s="1512" t="e">
        <f t="shared" si="13"/>
        <v>#N/A</v>
      </c>
      <c r="V33" s="1511" t="s">
        <v>8</v>
      </c>
      <c r="W33" s="1512" t="e">
        <f t="shared" si="14"/>
        <v>#N/A</v>
      </c>
      <c r="X33" s="1513"/>
      <c r="Y33" s="3517"/>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17"/>
      <c r="Q34" s="1506" t="str">
        <f t="shared" si="11"/>
        <v>建筑结构</v>
      </c>
      <c r="R34" s="1507" t="s">
        <v>8</v>
      </c>
      <c r="S34" s="1508">
        <f t="shared" si="12"/>
        <v>100</v>
      </c>
      <c r="T34" s="1507" t="s">
        <v>8</v>
      </c>
      <c r="U34" s="1508">
        <f t="shared" si="13"/>
        <v>100</v>
      </c>
      <c r="V34" s="1507" t="s">
        <v>8</v>
      </c>
      <c r="W34" s="1508">
        <f t="shared" si="14"/>
        <v>100</v>
      </c>
      <c r="X34" s="1501"/>
      <c r="Y34" s="3517"/>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7"/>
      <c r="Q35" s="1506" t="str">
        <f t="shared" si="11"/>
        <v>公共部分装修</v>
      </c>
      <c r="R35" s="1507" t="s">
        <v>8</v>
      </c>
      <c r="S35" s="1508">
        <f t="shared" si="12"/>
        <v>100</v>
      </c>
      <c r="T35" s="1507" t="s">
        <v>8</v>
      </c>
      <c r="U35" s="1508">
        <f t="shared" si="13"/>
        <v>100</v>
      </c>
      <c r="V35" s="1507" t="s">
        <v>8</v>
      </c>
      <c r="W35" s="1508">
        <f t="shared" si="14"/>
        <v>100</v>
      </c>
      <c r="X35" s="1501"/>
      <c r="Y35" s="3517"/>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17"/>
      <c r="Q36" s="1506" t="str">
        <f t="shared" si="11"/>
        <v>成新度</v>
      </c>
      <c r="R36" s="1507" t="s">
        <v>8</v>
      </c>
      <c r="S36" s="1508" t="e">
        <f t="shared" si="12"/>
        <v>#N/A</v>
      </c>
      <c r="T36" s="1507" t="s">
        <v>8</v>
      </c>
      <c r="U36" s="1508" t="e">
        <f t="shared" si="13"/>
        <v>#N/A</v>
      </c>
      <c r="V36" s="1507" t="s">
        <v>8</v>
      </c>
      <c r="W36" s="1508" t="e">
        <f t="shared" si="14"/>
        <v>#N/A</v>
      </c>
      <c r="X36" s="1501"/>
      <c r="Y36" s="3517"/>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7"/>
      <c r="Q37" s="1133" t="str">
        <f t="shared" si="11"/>
        <v>市政基础设施</v>
      </c>
      <c r="R37" s="1502" t="s">
        <v>8</v>
      </c>
      <c r="S37" s="1503">
        <f t="shared" si="12"/>
        <v>100</v>
      </c>
      <c r="T37" s="1502" t="s">
        <v>8</v>
      </c>
      <c r="U37" s="1503">
        <f t="shared" si="13"/>
        <v>100</v>
      </c>
      <c r="V37" s="1502" t="s">
        <v>8</v>
      </c>
      <c r="W37" s="1503">
        <f t="shared" si="14"/>
        <v>100</v>
      </c>
      <c r="X37" s="1504"/>
      <c r="Y37" s="3517"/>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7" t="s">
        <v>760</v>
      </c>
      <c r="Q38" s="1506" t="str">
        <f t="shared" si="11"/>
        <v>业态</v>
      </c>
      <c r="R38" s="1507" t="s">
        <v>8</v>
      </c>
      <c r="S38" s="1508">
        <f t="shared" si="12"/>
        <v>100</v>
      </c>
      <c r="T38" s="1507" t="s">
        <v>8</v>
      </c>
      <c r="U38" s="1508">
        <f t="shared" si="13"/>
        <v>100</v>
      </c>
      <c r="V38" s="1507" t="s">
        <v>8</v>
      </c>
      <c r="W38" s="1508">
        <f t="shared" si="14"/>
        <v>100</v>
      </c>
      <c r="X38" s="1501"/>
      <c r="Y38" s="3517"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7"/>
      <c r="Q39" s="1506" t="str">
        <f t="shared" si="11"/>
        <v>层高</v>
      </c>
      <c r="R39" s="1507" t="s">
        <v>8</v>
      </c>
      <c r="S39" s="1508">
        <f t="shared" si="12"/>
        <v>100</v>
      </c>
      <c r="T39" s="1507" t="s">
        <v>8</v>
      </c>
      <c r="U39" s="1508">
        <f t="shared" si="13"/>
        <v>100</v>
      </c>
      <c r="V39" s="1507" t="s">
        <v>8</v>
      </c>
      <c r="W39" s="1508">
        <f t="shared" si="14"/>
        <v>100</v>
      </c>
      <c r="X39" s="1501"/>
      <c r="Y39" s="3517"/>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17"/>
      <c r="Q40" s="1506" t="str">
        <f t="shared" si="11"/>
        <v>单套建筑面积</v>
      </c>
      <c r="R40" s="1507" t="s">
        <v>8</v>
      </c>
      <c r="S40" s="1508">
        <f t="shared" si="12"/>
        <v>100</v>
      </c>
      <c r="T40" s="1507" t="s">
        <v>8</v>
      </c>
      <c r="U40" s="1508">
        <f t="shared" si="13"/>
        <v>100</v>
      </c>
      <c r="V40" s="1507" t="s">
        <v>8</v>
      </c>
      <c r="W40" s="1508">
        <f t="shared" si="14"/>
        <v>100</v>
      </c>
      <c r="X40" s="1501"/>
      <c r="Y40" s="3517"/>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7"/>
      <c r="Q41" s="1535" t="str">
        <f t="shared" si="11"/>
        <v>进深比</v>
      </c>
      <c r="R41" s="1511" t="s">
        <v>8</v>
      </c>
      <c r="S41" s="1512">
        <f t="shared" si="12"/>
        <v>100</v>
      </c>
      <c r="T41" s="1511" t="s">
        <v>8</v>
      </c>
      <c r="U41" s="1512">
        <f t="shared" si="13"/>
        <v>100</v>
      </c>
      <c r="V41" s="1511" t="s">
        <v>8</v>
      </c>
      <c r="W41" s="1512">
        <f t="shared" si="14"/>
        <v>100</v>
      </c>
      <c r="X41" s="1513"/>
      <c r="Y41" s="3517"/>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7"/>
      <c r="Q42" s="1506" t="str">
        <f t="shared" si="11"/>
        <v>内部装修</v>
      </c>
      <c r="R42" s="1507" t="s">
        <v>8</v>
      </c>
      <c r="S42" s="1508">
        <f t="shared" si="12"/>
        <v>100</v>
      </c>
      <c r="T42" s="1507" t="s">
        <v>8</v>
      </c>
      <c r="U42" s="1508">
        <f t="shared" si="13"/>
        <v>100</v>
      </c>
      <c r="V42" s="1507" t="s">
        <v>8</v>
      </c>
      <c r="W42" s="1508">
        <f t="shared" si="14"/>
        <v>100</v>
      </c>
      <c r="X42" s="1501"/>
      <c r="Y42" s="3517"/>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7"/>
      <c r="Q43" s="1506" t="str">
        <f t="shared" si="11"/>
        <v>内部装修维护情况</v>
      </c>
      <c r="R43" s="1507" t="s">
        <v>8</v>
      </c>
      <c r="S43" s="1508">
        <f t="shared" si="12"/>
        <v>100</v>
      </c>
      <c r="T43" s="1507" t="s">
        <v>8</v>
      </c>
      <c r="U43" s="1508">
        <f t="shared" si="13"/>
        <v>100</v>
      </c>
      <c r="V43" s="1507" t="s">
        <v>8</v>
      </c>
      <c r="W43" s="1508">
        <f t="shared" si="14"/>
        <v>100</v>
      </c>
      <c r="X43" s="1501"/>
      <c r="Y43" s="351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7"/>
      <c r="Q44" s="1133">
        <f t="shared" si="11"/>
        <v>111</v>
      </c>
      <c r="R44" s="1502" t="s">
        <v>8</v>
      </c>
      <c r="S44" s="1503">
        <f t="shared" si="12"/>
        <v>100</v>
      </c>
      <c r="T44" s="1502" t="s">
        <v>8</v>
      </c>
      <c r="U44" s="1503">
        <f t="shared" si="13"/>
        <v>100</v>
      </c>
      <c r="V44" s="1502" t="s">
        <v>8</v>
      </c>
      <c r="W44" s="1503">
        <f t="shared" si="14"/>
        <v>100</v>
      </c>
      <c r="X44" s="1504"/>
      <c r="Y44" s="351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7"/>
      <c r="Q45" s="1506">
        <f t="shared" si="11"/>
        <v>111</v>
      </c>
      <c r="R45" s="1507" t="s">
        <v>8</v>
      </c>
      <c r="S45" s="1508">
        <f t="shared" si="12"/>
        <v>100</v>
      </c>
      <c r="T45" s="1507" t="s">
        <v>8</v>
      </c>
      <c r="U45" s="1508">
        <f t="shared" si="13"/>
        <v>100</v>
      </c>
      <c r="V45" s="1507" t="s">
        <v>8</v>
      </c>
      <c r="W45" s="1508">
        <f t="shared" si="14"/>
        <v>100</v>
      </c>
      <c r="X45" s="1501"/>
      <c r="Y45" s="3517"/>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9"/>
      <c r="Q46" s="1506">
        <f t="shared" si="11"/>
        <v>111</v>
      </c>
      <c r="R46" s="1507" t="s">
        <v>8</v>
      </c>
      <c r="S46" s="1508">
        <f t="shared" si="12"/>
        <v>100</v>
      </c>
      <c r="T46" s="1507" t="s">
        <v>8</v>
      </c>
      <c r="U46" s="1508">
        <f t="shared" si="13"/>
        <v>100</v>
      </c>
      <c r="V46" s="1507" t="s">
        <v>8</v>
      </c>
      <c r="W46" s="1508">
        <f t="shared" si="14"/>
        <v>100</v>
      </c>
      <c r="X46" s="1501"/>
      <c r="Y46" s="3599"/>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79" t="str">
        <f>A47</f>
        <v>成交单价（元/平方米）</v>
      </c>
      <c r="Q47" s="3479"/>
      <c r="R47" s="3598">
        <f>E47</f>
        <v>0</v>
      </c>
      <c r="S47" s="3598"/>
      <c r="T47" s="3598">
        <f>G47</f>
        <v>0</v>
      </c>
      <c r="U47" s="3598"/>
      <c r="V47" s="3598">
        <f>I47</f>
        <v>0</v>
      </c>
      <c r="W47" s="3598"/>
      <c r="X47" s="1496"/>
      <c r="Y47" s="1515"/>
      <c r="Z47" s="1496"/>
      <c r="AA47" s="1496"/>
      <c r="AB47" s="1496"/>
      <c r="AC47" s="1496"/>
    </row>
    <row r="48" spans="1:29" ht="15.75" thickBot="1">
      <c r="A48" s="609" t="s">
        <v>2740</v>
      </c>
      <c r="B48" s="876"/>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479" t="str">
        <f>A48</f>
        <v>比较价格（元/平方米）</v>
      </c>
      <c r="Q48" s="3479"/>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6"/>
      <c r="Y48" s="1496"/>
      <c r="Z48" s="1496"/>
      <c r="AA48" s="1496"/>
      <c r="AB48" s="1496"/>
      <c r="AC48" s="1496"/>
    </row>
    <row r="49" spans="1:29" ht="15.75" thickBot="1">
      <c r="A49" s="613" t="s">
        <v>2901</v>
      </c>
      <c r="B49" s="614"/>
      <c r="C49" s="2478" t="e">
        <f>R49</f>
        <v>#DIV/0!</v>
      </c>
      <c r="D49" s="2478"/>
      <c r="E49" s="2478"/>
      <c r="F49" s="2478"/>
      <c r="G49" s="2478"/>
      <c r="H49" s="2478"/>
      <c r="I49" s="2478"/>
      <c r="J49" s="2478"/>
      <c r="K49" s="1541"/>
      <c r="L49" s="2026"/>
      <c r="M49" s="2027"/>
      <c r="N49" s="2016"/>
      <c r="O49" s="2027"/>
      <c r="P49" s="3476" t="str">
        <f>A49</f>
        <v>估价对象XX用房的比较价格（楼面单价，元/平方米）</v>
      </c>
      <c r="Q49" s="3477"/>
      <c r="R49" s="3597" t="e">
        <f>IF(F1="售价",ROUND(IF(D48="简单平均",AVERAGE(R48:V48),R48*F48+T48*H48+V48*J48),0),ROUND(IF(D48="简单平均",AVERAGE(R48:V48),R48*F48+T48*H48+V48*J48),1))</f>
        <v>#DIV/0!</v>
      </c>
      <c r="S49" s="3597"/>
      <c r="T49" s="3597"/>
      <c r="U49" s="3597"/>
      <c r="V49" s="3597"/>
      <c r="W49" s="3597"/>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85" t="s">
        <v>516</v>
      </c>
      <c r="D4" s="3486"/>
      <c r="E4" s="3520" t="s">
        <v>517</v>
      </c>
      <c r="F4" s="3521"/>
      <c r="G4" s="3485" t="s">
        <v>518</v>
      </c>
      <c r="H4" s="3486"/>
      <c r="I4" s="3485" t="s">
        <v>519</v>
      </c>
      <c r="J4" s="3486"/>
      <c r="K4" s="508" t="s">
        <v>520</v>
      </c>
      <c r="L4" s="2015"/>
      <c r="M4" s="2016"/>
      <c r="N4" s="2016"/>
      <c r="O4" s="2016"/>
      <c r="P4" s="3605" t="s">
        <v>521</v>
      </c>
      <c r="Q4" s="3488"/>
      <c r="R4" s="3493" t="s">
        <v>517</v>
      </c>
      <c r="S4" s="3494"/>
      <c r="T4" s="3493" t="s">
        <v>518</v>
      </c>
      <c r="U4" s="3494"/>
      <c r="V4" s="3480" t="s">
        <v>519</v>
      </c>
      <c r="W4" s="3480"/>
      <c r="X4" s="1501"/>
      <c r="Y4" s="3493" t="s">
        <v>521</v>
      </c>
      <c r="Z4" s="3494"/>
      <c r="AA4" s="3482" t="s">
        <v>517</v>
      </c>
      <c r="AB4" s="3482" t="s">
        <v>518</v>
      </c>
      <c r="AC4" s="3482" t="s">
        <v>519</v>
      </c>
    </row>
    <row r="5" spans="1:29" ht="15">
      <c r="A5" s="509"/>
      <c r="B5" s="510"/>
      <c r="C5" s="3501" t="s">
        <v>2895</v>
      </c>
      <c r="D5" s="3502"/>
      <c r="E5" s="3522" t="s">
        <v>2896</v>
      </c>
      <c r="F5" s="3523"/>
      <c r="G5" s="3501" t="s">
        <v>2897</v>
      </c>
      <c r="H5" s="3502"/>
      <c r="I5" s="3501" t="s">
        <v>2898</v>
      </c>
      <c r="J5" s="3502"/>
      <c r="K5" s="508"/>
      <c r="L5" s="2015"/>
      <c r="M5" s="2016"/>
      <c r="N5" s="2016"/>
      <c r="O5" s="2016"/>
      <c r="P5" s="3606"/>
      <c r="Q5" s="3490"/>
      <c r="R5" s="3495"/>
      <c r="S5" s="3496"/>
      <c r="T5" s="3495"/>
      <c r="U5" s="3496"/>
      <c r="V5" s="3480"/>
      <c r="W5" s="3480"/>
      <c r="X5" s="1501"/>
      <c r="Y5" s="3495"/>
      <c r="Z5" s="3496"/>
      <c r="AA5" s="3483"/>
      <c r="AB5" s="3483"/>
      <c r="AC5" s="3483"/>
    </row>
    <row r="6" spans="1:29" ht="15.75" thickBot="1">
      <c r="A6" s="511"/>
      <c r="B6" s="512"/>
      <c r="C6" s="3499" t="s">
        <v>2899</v>
      </c>
      <c r="D6" s="3500"/>
      <c r="E6" s="3518" t="s">
        <v>2899</v>
      </c>
      <c r="F6" s="3519"/>
      <c r="G6" s="3499" t="s">
        <v>2899</v>
      </c>
      <c r="H6" s="3500"/>
      <c r="I6" s="3499" t="s">
        <v>2899</v>
      </c>
      <c r="J6" s="3500"/>
      <c r="K6" s="508" t="s">
        <v>522</v>
      </c>
      <c r="L6" s="2015"/>
      <c r="M6" s="2016"/>
      <c r="N6" s="2016"/>
      <c r="O6" s="2016"/>
      <c r="P6" s="3607"/>
      <c r="Q6" s="3492"/>
      <c r="R6" s="3495"/>
      <c r="S6" s="3496"/>
      <c r="T6" s="3497"/>
      <c r="U6" s="3498"/>
      <c r="V6" s="3480"/>
      <c r="W6" s="3480"/>
      <c r="X6" s="1501"/>
      <c r="Y6" s="3497"/>
      <c r="Z6" s="3498"/>
      <c r="AA6" s="3484"/>
      <c r="AB6" s="3484"/>
      <c r="AC6" s="3484"/>
    </row>
    <row r="7" spans="1:29" s="1202" customFormat="1" ht="15.75" thickBot="1">
      <c r="A7" s="2629"/>
      <c r="B7" s="2636" t="s">
        <v>523</v>
      </c>
      <c r="C7" s="513">
        <f>'数据-取费表'!B2</f>
        <v>44257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3" t="s">
        <v>524</v>
      </c>
      <c r="Q7" s="3513"/>
      <c r="R7" s="1502" t="s">
        <v>8</v>
      </c>
      <c r="S7" s="1503">
        <f t="shared" ref="S7:S15" si="0">F7</f>
        <v>0</v>
      </c>
      <c r="T7" s="1502" t="s">
        <v>8</v>
      </c>
      <c r="U7" s="1503">
        <f t="shared" ref="U7:U15" si="1">H7</f>
        <v>0</v>
      </c>
      <c r="V7" s="1502" t="s">
        <v>8</v>
      </c>
      <c r="W7" s="1503">
        <f t="shared" ref="W7:W15" si="2">J7</f>
        <v>0</v>
      </c>
      <c r="X7" s="1504"/>
      <c r="Y7" s="3511" t="s">
        <v>524</v>
      </c>
      <c r="Z7" s="3512"/>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3" t="s">
        <v>527</v>
      </c>
      <c r="Q8" s="3512"/>
      <c r="R8" s="1502" t="s">
        <v>8</v>
      </c>
      <c r="S8" s="1503">
        <f t="shared" si="0"/>
        <v>0</v>
      </c>
      <c r="T8" s="1502" t="s">
        <v>8</v>
      </c>
      <c r="U8" s="1503">
        <f t="shared" si="1"/>
        <v>0</v>
      </c>
      <c r="V8" s="1502" t="s">
        <v>8</v>
      </c>
      <c r="W8" s="1503">
        <f t="shared" si="2"/>
        <v>0</v>
      </c>
      <c r="X8" s="1504"/>
      <c r="Y8" s="3511" t="s">
        <v>527</v>
      </c>
      <c r="Z8" s="3512"/>
      <c r="AA8" s="1505" t="e">
        <f t="shared" ref="AA8:AA47" si="3">D8/F8</f>
        <v>#DIV/0!</v>
      </c>
      <c r="AB8" s="1505" t="e">
        <f t="shared" ref="AB8:AB47" si="4">D8/H8</f>
        <v>#DIV/0!</v>
      </c>
      <c r="AC8" s="1505" t="e">
        <f t="shared" ref="AC8:AC47" si="5">D8/J8</f>
        <v>#DIV/0!</v>
      </c>
    </row>
    <row r="9" spans="1:29" s="1202"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9" t="s">
        <v>529</v>
      </c>
      <c r="Q9" s="1133" t="str">
        <f t="shared" ref="Q9:Q15" si="6">B9</f>
        <v>用途</v>
      </c>
      <c r="R9" s="1502" t="s">
        <v>8</v>
      </c>
      <c r="S9" s="1503">
        <f t="shared" si="0"/>
        <v>100</v>
      </c>
      <c r="T9" s="1502" t="s">
        <v>8</v>
      </c>
      <c r="U9" s="1503">
        <f t="shared" si="1"/>
        <v>100</v>
      </c>
      <c r="V9" s="1502" t="s">
        <v>8</v>
      </c>
      <c r="W9" s="1503">
        <f t="shared" si="2"/>
        <v>100</v>
      </c>
      <c r="X9" s="1504"/>
      <c r="Y9" s="3425"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9"/>
      <c r="Q10" s="1133" t="str">
        <f t="shared" si="6"/>
        <v>土地使用年限（年）</v>
      </c>
      <c r="R10" s="1502" t="s">
        <v>8</v>
      </c>
      <c r="S10" s="1503">
        <f t="shared" si="0"/>
        <v>100</v>
      </c>
      <c r="T10" s="1502" t="s">
        <v>8</v>
      </c>
      <c r="U10" s="1503">
        <f t="shared" si="1"/>
        <v>100</v>
      </c>
      <c r="V10" s="1502" t="s">
        <v>8</v>
      </c>
      <c r="W10" s="1503">
        <f t="shared" si="2"/>
        <v>100</v>
      </c>
      <c r="X10" s="1504"/>
      <c r="Y10" s="3425"/>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9"/>
      <c r="Q11" s="1133" t="str">
        <f t="shared" si="6"/>
        <v>容积率</v>
      </c>
      <c r="R11" s="1502" t="s">
        <v>8</v>
      </c>
      <c r="S11" s="1503" t="e">
        <f t="shared" si="0"/>
        <v>#N/A</v>
      </c>
      <c r="T11" s="1502" t="s">
        <v>8</v>
      </c>
      <c r="U11" s="1503" t="e">
        <f t="shared" si="1"/>
        <v>#N/A</v>
      </c>
      <c r="V11" s="1502" t="s">
        <v>8</v>
      </c>
      <c r="W11" s="1503" t="e">
        <f t="shared" si="2"/>
        <v>#N/A</v>
      </c>
      <c r="X11" s="1504"/>
      <c r="Y11" s="342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79"/>
      <c r="Q12" s="1133">
        <f t="shared" si="6"/>
        <v>111</v>
      </c>
      <c r="R12" s="1502" t="s">
        <v>8</v>
      </c>
      <c r="S12" s="1503">
        <f t="shared" si="0"/>
        <v>100</v>
      </c>
      <c r="T12" s="1502" t="s">
        <v>8</v>
      </c>
      <c r="U12" s="1503">
        <f t="shared" si="1"/>
        <v>100</v>
      </c>
      <c r="V12" s="1502" t="s">
        <v>8</v>
      </c>
      <c r="W12" s="1503">
        <f t="shared" si="2"/>
        <v>100</v>
      </c>
      <c r="X12" s="1504"/>
      <c r="Y12" s="342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79"/>
      <c r="Q13" s="1133">
        <f t="shared" si="6"/>
        <v>111</v>
      </c>
      <c r="R13" s="1502" t="s">
        <v>8</v>
      </c>
      <c r="S13" s="1503">
        <f t="shared" si="0"/>
        <v>100</v>
      </c>
      <c r="T13" s="1502" t="s">
        <v>8</v>
      </c>
      <c r="U13" s="1503">
        <f t="shared" si="1"/>
        <v>100</v>
      </c>
      <c r="V13" s="1502" t="s">
        <v>8</v>
      </c>
      <c r="W13" s="1503">
        <f t="shared" si="2"/>
        <v>100</v>
      </c>
      <c r="X13" s="1504"/>
      <c r="Y13" s="342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79"/>
      <c r="Q14" s="1133">
        <f t="shared" si="6"/>
        <v>111</v>
      </c>
      <c r="R14" s="1502" t="s">
        <v>8</v>
      </c>
      <c r="S14" s="1503">
        <f t="shared" si="0"/>
        <v>100</v>
      </c>
      <c r="T14" s="1502" t="s">
        <v>8</v>
      </c>
      <c r="U14" s="1503">
        <f t="shared" si="1"/>
        <v>100</v>
      </c>
      <c r="V14" s="1502" t="s">
        <v>8</v>
      </c>
      <c r="W14" s="1503">
        <f t="shared" si="2"/>
        <v>100</v>
      </c>
      <c r="X14" s="1504"/>
      <c r="Y14" s="3425"/>
      <c r="Z14" s="1132">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14" t="s">
        <v>534</v>
      </c>
      <c r="Q15" s="1506" t="str">
        <f t="shared" si="6"/>
        <v>办公集聚程度</v>
      </c>
      <c r="R15" s="1507" t="s">
        <v>8</v>
      </c>
      <c r="S15" s="1508">
        <f t="shared" si="0"/>
        <v>100</v>
      </c>
      <c r="T15" s="1507" t="s">
        <v>8</v>
      </c>
      <c r="U15" s="1508">
        <f t="shared" si="1"/>
        <v>100</v>
      </c>
      <c r="V15" s="1507" t="s">
        <v>8</v>
      </c>
      <c r="W15" s="1508">
        <f t="shared" si="2"/>
        <v>100</v>
      </c>
      <c r="X15" s="1501"/>
      <c r="Y15" s="3514"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15"/>
      <c r="Q16" s="1506"/>
      <c r="R16" s="1507"/>
      <c r="S16" s="1508"/>
      <c r="T16" s="1507"/>
      <c r="U16" s="1508"/>
      <c r="V16" s="1507"/>
      <c r="W16" s="1508"/>
      <c r="X16" s="1501"/>
      <c r="Y16" s="3515"/>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15"/>
      <c r="Q17" s="1506" t="str">
        <f>B17</f>
        <v>交通便捷度</v>
      </c>
      <c r="R17" s="1507" t="s">
        <v>8</v>
      </c>
      <c r="S17" s="1508">
        <f>F17</f>
        <v>100</v>
      </c>
      <c r="T17" s="1507" t="s">
        <v>8</v>
      </c>
      <c r="U17" s="1508">
        <f>H17</f>
        <v>100</v>
      </c>
      <c r="V17" s="1507" t="s">
        <v>8</v>
      </c>
      <c r="W17" s="1508">
        <f>J17</f>
        <v>100</v>
      </c>
      <c r="X17" s="1501"/>
      <c r="Y17" s="3515"/>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15"/>
      <c r="Q18" s="1506"/>
      <c r="R18" s="1507"/>
      <c r="S18" s="1508"/>
      <c r="T18" s="1507"/>
      <c r="U18" s="1508"/>
      <c r="V18" s="1507"/>
      <c r="W18" s="1508"/>
      <c r="X18" s="1501"/>
      <c r="Y18" s="3515"/>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15"/>
      <c r="Q19" s="1506" t="str">
        <f>B19</f>
        <v>公共配套设施</v>
      </c>
      <c r="R19" s="1507" t="s">
        <v>8</v>
      </c>
      <c r="S19" s="1508">
        <f>F19</f>
        <v>100</v>
      </c>
      <c r="T19" s="1507" t="s">
        <v>8</v>
      </c>
      <c r="U19" s="1508">
        <f>H19</f>
        <v>100</v>
      </c>
      <c r="V19" s="1507" t="s">
        <v>8</v>
      </c>
      <c r="W19" s="1508">
        <f>J19</f>
        <v>100</v>
      </c>
      <c r="X19" s="1501"/>
      <c r="Y19" s="3515"/>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15"/>
      <c r="Q20" s="1506"/>
      <c r="R20" s="1507"/>
      <c r="S20" s="1508"/>
      <c r="T20" s="1507"/>
      <c r="U20" s="1508"/>
      <c r="V20" s="1507"/>
      <c r="W20" s="1508"/>
      <c r="X20" s="1501"/>
      <c r="Y20" s="3515"/>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15"/>
      <c r="Q21" s="2429" t="str">
        <f>B21</f>
        <v>基础设施水平</v>
      </c>
      <c r="R21" s="1507" t="s">
        <v>8</v>
      </c>
      <c r="S21" s="1508">
        <f>F21</f>
        <v>100</v>
      </c>
      <c r="T21" s="1507" t="s">
        <v>8</v>
      </c>
      <c r="U21" s="1508">
        <f>H21</f>
        <v>100</v>
      </c>
      <c r="V21" s="1507" t="s">
        <v>8</v>
      </c>
      <c r="W21" s="1508">
        <f>J21</f>
        <v>100</v>
      </c>
      <c r="X21" s="2431"/>
      <c r="Y21" s="3515"/>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15"/>
      <c r="Q22" s="2429"/>
      <c r="R22" s="1507"/>
      <c r="S22" s="1508"/>
      <c r="T22" s="1507"/>
      <c r="U22" s="1508"/>
      <c r="V22" s="1507"/>
      <c r="W22" s="1508"/>
      <c r="X22" s="2431"/>
      <c r="Y22" s="3515"/>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15"/>
      <c r="Q23" s="1506" t="str">
        <f>B23</f>
        <v>环境质量</v>
      </c>
      <c r="R23" s="1507" t="s">
        <v>8</v>
      </c>
      <c r="S23" s="1508">
        <f>F23</f>
        <v>100</v>
      </c>
      <c r="T23" s="1507" t="s">
        <v>8</v>
      </c>
      <c r="U23" s="1508">
        <f>H23</f>
        <v>100</v>
      </c>
      <c r="V23" s="1507" t="s">
        <v>8</v>
      </c>
      <c r="W23" s="1508">
        <f>J23</f>
        <v>100</v>
      </c>
      <c r="X23" s="1501"/>
      <c r="Y23" s="3515"/>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15"/>
      <c r="Q24" s="1506"/>
      <c r="R24" s="1507"/>
      <c r="S24" s="1508"/>
      <c r="T24" s="1507"/>
      <c r="U24" s="1508"/>
      <c r="V24" s="1507"/>
      <c r="W24" s="1508"/>
      <c r="X24" s="1501"/>
      <c r="Y24" s="3515"/>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15"/>
      <c r="Q25" s="1506" t="str">
        <f>B25</f>
        <v>毗邻道路的类型与等级</v>
      </c>
      <c r="R25" s="1507" t="s">
        <v>8</v>
      </c>
      <c r="S25" s="1508">
        <f>F25</f>
        <v>100</v>
      </c>
      <c r="T25" s="1507" t="s">
        <v>8</v>
      </c>
      <c r="U25" s="1508">
        <f>H25</f>
        <v>100</v>
      </c>
      <c r="V25" s="1507" t="s">
        <v>8</v>
      </c>
      <c r="W25" s="1508">
        <f>J25</f>
        <v>100</v>
      </c>
      <c r="X25" s="1501"/>
      <c r="Y25" s="3515"/>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15"/>
      <c r="Q26" s="1506"/>
      <c r="R26" s="1507"/>
      <c r="S26" s="1508"/>
      <c r="T26" s="1507"/>
      <c r="U26" s="1508"/>
      <c r="V26" s="1507"/>
      <c r="W26" s="1508"/>
      <c r="X26" s="1501"/>
      <c r="Y26" s="3515"/>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15"/>
      <c r="Q27" s="1506" t="str">
        <f t="shared" ref="Q27:Q47" si="11">B27</f>
        <v>楼层</v>
      </c>
      <c r="R27" s="1507" t="s">
        <v>8</v>
      </c>
      <c r="S27" s="1508">
        <f>F27</f>
        <v>100</v>
      </c>
      <c r="T27" s="1507" t="s">
        <v>8</v>
      </c>
      <c r="U27" s="1508">
        <f>H27</f>
        <v>100</v>
      </c>
      <c r="V27" s="1507" t="s">
        <v>8</v>
      </c>
      <c r="W27" s="1508">
        <f>J27</f>
        <v>100</v>
      </c>
      <c r="X27" s="1501"/>
      <c r="Y27" s="3515"/>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15"/>
      <c r="Q28" s="1133" t="str">
        <f t="shared" si="11"/>
        <v>朝向</v>
      </c>
      <c r="R28" s="1502" t="s">
        <v>8</v>
      </c>
      <c r="S28" s="1503">
        <f>F28</f>
        <v>100</v>
      </c>
      <c r="T28" s="1502" t="s">
        <v>8</v>
      </c>
      <c r="U28" s="1503">
        <f>H28</f>
        <v>100</v>
      </c>
      <c r="V28" s="1502" t="s">
        <v>8</v>
      </c>
      <c r="W28" s="1503">
        <f>J28</f>
        <v>100</v>
      </c>
      <c r="X28" s="1504"/>
      <c r="Y28" s="3515"/>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15"/>
      <c r="Q29" s="1506">
        <f t="shared" si="11"/>
        <v>111</v>
      </c>
      <c r="R29" s="1507" t="s">
        <v>8</v>
      </c>
      <c r="S29" s="1508">
        <f t="shared" ref="S29:S47" si="12">F29</f>
        <v>100</v>
      </c>
      <c r="T29" s="1507" t="s">
        <v>8</v>
      </c>
      <c r="U29" s="1508">
        <f t="shared" ref="U29:U47" si="13">H29</f>
        <v>100</v>
      </c>
      <c r="V29" s="1507" t="s">
        <v>8</v>
      </c>
      <c r="W29" s="1508">
        <f t="shared" ref="W29:W47" si="14">J29</f>
        <v>100</v>
      </c>
      <c r="X29" s="1501"/>
      <c r="Y29" s="3515"/>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15"/>
      <c r="Q30" s="1506">
        <f t="shared" si="11"/>
        <v>111</v>
      </c>
      <c r="R30" s="1507" t="s">
        <v>8</v>
      </c>
      <c r="S30" s="1508">
        <f t="shared" si="12"/>
        <v>100</v>
      </c>
      <c r="T30" s="1507" t="s">
        <v>8</v>
      </c>
      <c r="U30" s="1508">
        <f t="shared" si="13"/>
        <v>100</v>
      </c>
      <c r="V30" s="1507" t="s">
        <v>8</v>
      </c>
      <c r="W30" s="1508">
        <f t="shared" si="14"/>
        <v>100</v>
      </c>
      <c r="X30" s="1501"/>
      <c r="Y30" s="3515"/>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15"/>
      <c r="Q31" s="1506">
        <f t="shared" si="11"/>
        <v>111</v>
      </c>
      <c r="R31" s="1507" t="s">
        <v>8</v>
      </c>
      <c r="S31" s="1508">
        <f t="shared" si="12"/>
        <v>100</v>
      </c>
      <c r="T31" s="1507" t="s">
        <v>8</v>
      </c>
      <c r="U31" s="1508">
        <f t="shared" si="13"/>
        <v>100</v>
      </c>
      <c r="V31" s="1507" t="s">
        <v>8</v>
      </c>
      <c r="W31" s="1508">
        <f t="shared" si="14"/>
        <v>100</v>
      </c>
      <c r="X31" s="1501"/>
      <c r="Y31" s="3515"/>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15"/>
      <c r="Q32" s="1506">
        <f t="shared" si="11"/>
        <v>111</v>
      </c>
      <c r="R32" s="1507" t="s">
        <v>8</v>
      </c>
      <c r="S32" s="1508">
        <f t="shared" si="12"/>
        <v>100</v>
      </c>
      <c r="T32" s="1507" t="s">
        <v>8</v>
      </c>
      <c r="U32" s="1508">
        <f t="shared" si="13"/>
        <v>100</v>
      </c>
      <c r="V32" s="1507" t="s">
        <v>8</v>
      </c>
      <c r="W32" s="1508">
        <f t="shared" si="14"/>
        <v>100</v>
      </c>
      <c r="X32" s="1501"/>
      <c r="Y32" s="3515"/>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16" t="s">
        <v>544</v>
      </c>
      <c r="Q33" s="1506" t="str">
        <f t="shared" si="11"/>
        <v>建筑类型</v>
      </c>
      <c r="R33" s="1507" t="s">
        <v>8</v>
      </c>
      <c r="S33" s="1508">
        <f t="shared" si="12"/>
        <v>100</v>
      </c>
      <c r="T33" s="1507" t="s">
        <v>8</v>
      </c>
      <c r="U33" s="1508">
        <f t="shared" si="13"/>
        <v>100</v>
      </c>
      <c r="V33" s="1507" t="s">
        <v>8</v>
      </c>
      <c r="W33" s="1508">
        <f t="shared" si="14"/>
        <v>100</v>
      </c>
      <c r="X33" s="1501"/>
      <c r="Y33" s="3517"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7"/>
      <c r="Q34" s="1535" t="str">
        <f t="shared" si="11"/>
        <v>项目建筑规模</v>
      </c>
      <c r="R34" s="1511" t="s">
        <v>8</v>
      </c>
      <c r="S34" s="1512" t="e">
        <f t="shared" si="12"/>
        <v>#N/A</v>
      </c>
      <c r="T34" s="1511" t="s">
        <v>8</v>
      </c>
      <c r="U34" s="1512" t="e">
        <f t="shared" si="13"/>
        <v>#N/A</v>
      </c>
      <c r="V34" s="1511" t="s">
        <v>8</v>
      </c>
      <c r="W34" s="1512" t="e">
        <f t="shared" si="14"/>
        <v>#N/A</v>
      </c>
      <c r="X34" s="1513"/>
      <c r="Y34" s="3517"/>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7"/>
      <c r="Q35" s="1506" t="str">
        <f t="shared" si="11"/>
        <v>建筑结构</v>
      </c>
      <c r="R35" s="1507" t="s">
        <v>8</v>
      </c>
      <c r="S35" s="1508">
        <f t="shared" si="12"/>
        <v>100</v>
      </c>
      <c r="T35" s="1507" t="s">
        <v>8</v>
      </c>
      <c r="U35" s="1508">
        <f t="shared" si="13"/>
        <v>100</v>
      </c>
      <c r="V35" s="1507" t="s">
        <v>8</v>
      </c>
      <c r="W35" s="1508">
        <f t="shared" si="14"/>
        <v>100</v>
      </c>
      <c r="X35" s="1501"/>
      <c r="Y35" s="3517"/>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7"/>
      <c r="Q36" s="1506" t="str">
        <f t="shared" si="11"/>
        <v>公共部分装修</v>
      </c>
      <c r="R36" s="1507" t="s">
        <v>8</v>
      </c>
      <c r="S36" s="1508">
        <f t="shared" si="12"/>
        <v>100</v>
      </c>
      <c r="T36" s="1507" t="s">
        <v>8</v>
      </c>
      <c r="U36" s="1508">
        <f t="shared" si="13"/>
        <v>100</v>
      </c>
      <c r="V36" s="1507" t="s">
        <v>8</v>
      </c>
      <c r="W36" s="1508">
        <f t="shared" si="14"/>
        <v>100</v>
      </c>
      <c r="X36" s="1501"/>
      <c r="Y36" s="3517"/>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17"/>
      <c r="Q37" s="1506" t="str">
        <f t="shared" si="11"/>
        <v>成新度</v>
      </c>
      <c r="R37" s="1507" t="s">
        <v>8</v>
      </c>
      <c r="S37" s="1508" t="e">
        <f t="shared" si="12"/>
        <v>#N/A</v>
      </c>
      <c r="T37" s="1507" t="s">
        <v>8</v>
      </c>
      <c r="U37" s="1508" t="e">
        <f t="shared" si="13"/>
        <v>#N/A</v>
      </c>
      <c r="V37" s="1507" t="s">
        <v>8</v>
      </c>
      <c r="W37" s="1508" t="e">
        <f t="shared" si="14"/>
        <v>#N/A</v>
      </c>
      <c r="X37" s="1501"/>
      <c r="Y37" s="3517"/>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7"/>
      <c r="Q38" s="1133" t="str">
        <f t="shared" si="11"/>
        <v>写字楼等级</v>
      </c>
      <c r="R38" s="1502" t="s">
        <v>8</v>
      </c>
      <c r="S38" s="1503">
        <f t="shared" si="12"/>
        <v>100</v>
      </c>
      <c r="T38" s="1502" t="s">
        <v>8</v>
      </c>
      <c r="U38" s="1503">
        <f t="shared" si="13"/>
        <v>100</v>
      </c>
      <c r="V38" s="1502" t="s">
        <v>8</v>
      </c>
      <c r="W38" s="1503">
        <f t="shared" si="14"/>
        <v>100</v>
      </c>
      <c r="X38" s="1504"/>
      <c r="Y38" s="3517"/>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7" t="s">
        <v>544</v>
      </c>
      <c r="Q39" s="1506" t="str">
        <f t="shared" si="11"/>
        <v>物业管理</v>
      </c>
      <c r="R39" s="1507" t="s">
        <v>8</v>
      </c>
      <c r="S39" s="1508">
        <f t="shared" si="12"/>
        <v>100</v>
      </c>
      <c r="T39" s="1507" t="s">
        <v>8</v>
      </c>
      <c r="U39" s="1508">
        <f t="shared" si="13"/>
        <v>100</v>
      </c>
      <c r="V39" s="1507" t="s">
        <v>8</v>
      </c>
      <c r="W39" s="1508">
        <f t="shared" si="14"/>
        <v>100</v>
      </c>
      <c r="X39" s="1501"/>
      <c r="Y39" s="3517"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7"/>
      <c r="Q40" s="1506" t="str">
        <f t="shared" si="11"/>
        <v>市政基础设施</v>
      </c>
      <c r="R40" s="1507" t="s">
        <v>8</v>
      </c>
      <c r="S40" s="1508">
        <f t="shared" si="12"/>
        <v>100</v>
      </c>
      <c r="T40" s="1507" t="s">
        <v>8</v>
      </c>
      <c r="U40" s="1508">
        <f t="shared" si="13"/>
        <v>100</v>
      </c>
      <c r="V40" s="1507" t="s">
        <v>8</v>
      </c>
      <c r="W40" s="1508">
        <f t="shared" si="14"/>
        <v>100</v>
      </c>
      <c r="X40" s="1501"/>
      <c r="Y40" s="3517"/>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7"/>
      <c r="Q41" s="1506" t="str">
        <f t="shared" si="11"/>
        <v>层高</v>
      </c>
      <c r="R41" s="1507" t="s">
        <v>8</v>
      </c>
      <c r="S41" s="1508">
        <f t="shared" si="12"/>
        <v>100</v>
      </c>
      <c r="T41" s="1507" t="s">
        <v>8</v>
      </c>
      <c r="U41" s="1508">
        <f t="shared" si="13"/>
        <v>100</v>
      </c>
      <c r="V41" s="1507" t="s">
        <v>8</v>
      </c>
      <c r="W41" s="1508">
        <f t="shared" si="14"/>
        <v>100</v>
      </c>
      <c r="X41" s="1501"/>
      <c r="Y41" s="3517"/>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7"/>
      <c r="Q42" s="1535" t="str">
        <f t="shared" si="11"/>
        <v>单套建筑面积</v>
      </c>
      <c r="R42" s="1511" t="s">
        <v>8</v>
      </c>
      <c r="S42" s="1512">
        <f t="shared" si="12"/>
        <v>100</v>
      </c>
      <c r="T42" s="1511" t="s">
        <v>8</v>
      </c>
      <c r="U42" s="1512">
        <f t="shared" si="13"/>
        <v>100</v>
      </c>
      <c r="V42" s="1511" t="s">
        <v>8</v>
      </c>
      <c r="W42" s="1512">
        <f t="shared" si="14"/>
        <v>100</v>
      </c>
      <c r="X42" s="1513"/>
      <c r="Y42" s="3517"/>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7"/>
      <c r="Q43" s="1506" t="str">
        <f t="shared" si="11"/>
        <v>内部装修</v>
      </c>
      <c r="R43" s="1507" t="s">
        <v>8</v>
      </c>
      <c r="S43" s="1508">
        <f t="shared" si="12"/>
        <v>100</v>
      </c>
      <c r="T43" s="1507" t="s">
        <v>8</v>
      </c>
      <c r="U43" s="1508">
        <f t="shared" si="13"/>
        <v>100</v>
      </c>
      <c r="V43" s="1507" t="s">
        <v>8</v>
      </c>
      <c r="W43" s="1508">
        <f t="shared" si="14"/>
        <v>100</v>
      </c>
      <c r="X43" s="1501"/>
      <c r="Y43" s="3517"/>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7"/>
      <c r="Q44" s="1506" t="str">
        <f t="shared" si="11"/>
        <v>内部装修维护情况</v>
      </c>
      <c r="R44" s="1507" t="s">
        <v>8</v>
      </c>
      <c r="S44" s="1508">
        <f t="shared" si="12"/>
        <v>100</v>
      </c>
      <c r="T44" s="1507" t="s">
        <v>8</v>
      </c>
      <c r="U44" s="1508">
        <f t="shared" si="13"/>
        <v>100</v>
      </c>
      <c r="V44" s="1507" t="s">
        <v>8</v>
      </c>
      <c r="W44" s="1508">
        <f t="shared" si="14"/>
        <v>100</v>
      </c>
      <c r="X44" s="1501"/>
      <c r="Y44" s="3517"/>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7"/>
      <c r="Q45" s="1133">
        <f t="shared" si="11"/>
        <v>111</v>
      </c>
      <c r="R45" s="1502" t="s">
        <v>8</v>
      </c>
      <c r="S45" s="1503">
        <f t="shared" si="12"/>
        <v>100</v>
      </c>
      <c r="T45" s="1502" t="s">
        <v>8</v>
      </c>
      <c r="U45" s="1503">
        <f t="shared" si="13"/>
        <v>100</v>
      </c>
      <c r="V45" s="1502" t="s">
        <v>8</v>
      </c>
      <c r="W45" s="1503">
        <f t="shared" si="14"/>
        <v>100</v>
      </c>
      <c r="X45" s="1504"/>
      <c r="Y45" s="3517"/>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7"/>
      <c r="Q46" s="1506">
        <f t="shared" si="11"/>
        <v>111</v>
      </c>
      <c r="R46" s="1507" t="s">
        <v>8</v>
      </c>
      <c r="S46" s="1508">
        <f t="shared" si="12"/>
        <v>100</v>
      </c>
      <c r="T46" s="1507" t="s">
        <v>8</v>
      </c>
      <c r="U46" s="1508">
        <f t="shared" si="13"/>
        <v>100</v>
      </c>
      <c r="V46" s="1507" t="s">
        <v>8</v>
      </c>
      <c r="W46" s="1508">
        <f t="shared" si="14"/>
        <v>100</v>
      </c>
      <c r="X46" s="1501"/>
      <c r="Y46" s="3517"/>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9"/>
      <c r="Q47" s="1506">
        <f t="shared" si="11"/>
        <v>111</v>
      </c>
      <c r="R47" s="1507" t="s">
        <v>8</v>
      </c>
      <c r="S47" s="1508">
        <f t="shared" si="12"/>
        <v>100</v>
      </c>
      <c r="T47" s="1507" t="s">
        <v>8</v>
      </c>
      <c r="U47" s="1508">
        <f t="shared" si="13"/>
        <v>100</v>
      </c>
      <c r="V47" s="1507" t="s">
        <v>8</v>
      </c>
      <c r="W47" s="1508">
        <f t="shared" si="14"/>
        <v>100</v>
      </c>
      <c r="X47" s="1501"/>
      <c r="Y47" s="3599"/>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477" t="str">
        <f>A48</f>
        <v>成交单价（元/平方米）</v>
      </c>
      <c r="Q48" s="3479"/>
      <c r="R48" s="3598">
        <f>E48</f>
        <v>0</v>
      </c>
      <c r="S48" s="3598"/>
      <c r="T48" s="3598">
        <f>G48</f>
        <v>0</v>
      </c>
      <c r="U48" s="3598"/>
      <c r="V48" s="3598">
        <f>I48</f>
        <v>0</v>
      </c>
      <c r="W48" s="3598"/>
      <c r="X48" s="1496"/>
      <c r="Y48" s="1515"/>
      <c r="Z48" s="1496"/>
      <c r="AA48" s="1496"/>
      <c r="AB48" s="1496"/>
      <c r="AC48" s="1496"/>
    </row>
    <row r="49" spans="1:29" ht="15.75" thickBot="1">
      <c r="A49" s="609" t="s">
        <v>2740</v>
      </c>
      <c r="B49" s="876"/>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477" t="str">
        <f>A49</f>
        <v>比较价格（元/平方米）</v>
      </c>
      <c r="Q49" s="3479"/>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1496"/>
      <c r="Y49" s="1496"/>
      <c r="Z49" s="1496"/>
      <c r="AA49" s="1496"/>
      <c r="AB49" s="1496"/>
      <c r="AC49" s="1496"/>
    </row>
    <row r="50" spans="1:29" ht="15.75" thickBot="1">
      <c r="A50" s="613" t="s">
        <v>2901</v>
      </c>
      <c r="B50" s="614"/>
      <c r="C50" s="2478" t="e">
        <f>R50</f>
        <v>#DIV/0!</v>
      </c>
      <c r="D50" s="2478"/>
      <c r="E50" s="2478"/>
      <c r="F50" s="2478"/>
      <c r="G50" s="2478"/>
      <c r="H50" s="2478"/>
      <c r="I50" s="2478"/>
      <c r="J50" s="2478"/>
      <c r="K50" s="1541"/>
      <c r="L50" s="2026"/>
      <c r="M50" s="2016"/>
      <c r="N50" s="2016"/>
      <c r="O50" s="2016"/>
      <c r="P50" s="3604" t="str">
        <f>A50</f>
        <v>估价对象XX用房的比较价格（楼面单价，元/平方米）</v>
      </c>
      <c r="Q50" s="3477"/>
      <c r="R50" s="3597" t="e">
        <f>IF(F1="售价",ROUND(IF(D49="简单平均",AVERAGE(R49:V49),R49*F49+T49*H49+V49*J49),0),ROUND(IF(D49="简单平均",AVERAGE(R49:V49),R49*F49+T49*H49+V49*J49),1))</f>
        <v>#DIV/0!</v>
      </c>
      <c r="S50" s="3597"/>
      <c r="T50" s="3597"/>
      <c r="U50" s="3597"/>
      <c r="V50" s="3597"/>
      <c r="W50" s="3597"/>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85" t="s">
        <v>516</v>
      </c>
      <c r="D4" s="3486"/>
      <c r="E4" s="3520" t="s">
        <v>517</v>
      </c>
      <c r="F4" s="3521"/>
      <c r="G4" s="3485" t="s">
        <v>518</v>
      </c>
      <c r="H4" s="3486"/>
      <c r="I4" s="3485" t="s">
        <v>519</v>
      </c>
      <c r="J4" s="3486"/>
      <c r="K4" s="508" t="s">
        <v>520</v>
      </c>
      <c r="L4" s="2015"/>
      <c r="M4" s="2016"/>
      <c r="N4" s="2016"/>
      <c r="O4" s="2016"/>
      <c r="P4" s="3487" t="s">
        <v>521</v>
      </c>
      <c r="Q4" s="3488"/>
      <c r="R4" s="3493" t="s">
        <v>517</v>
      </c>
      <c r="S4" s="3494"/>
      <c r="T4" s="3493" t="s">
        <v>518</v>
      </c>
      <c r="U4" s="3494"/>
      <c r="V4" s="3480" t="s">
        <v>519</v>
      </c>
      <c r="W4" s="3480"/>
      <c r="X4" s="1501"/>
      <c r="Y4" s="3493" t="s">
        <v>521</v>
      </c>
      <c r="Z4" s="3494"/>
      <c r="AA4" s="3482" t="s">
        <v>517</v>
      </c>
      <c r="AB4" s="3483" t="s">
        <v>518</v>
      </c>
      <c r="AC4" s="3482" t="s">
        <v>519</v>
      </c>
    </row>
    <row r="5" spans="1:29" ht="15">
      <c r="A5" s="509"/>
      <c r="B5" s="510"/>
      <c r="C5" s="3501" t="s">
        <v>2895</v>
      </c>
      <c r="D5" s="3502"/>
      <c r="E5" s="3522" t="s">
        <v>2896</v>
      </c>
      <c r="F5" s="3523"/>
      <c r="G5" s="3501" t="s">
        <v>2897</v>
      </c>
      <c r="H5" s="3502"/>
      <c r="I5" s="3501" t="s">
        <v>2898</v>
      </c>
      <c r="J5" s="3502"/>
      <c r="K5" s="508"/>
      <c r="L5" s="2015"/>
      <c r="M5" s="2016"/>
      <c r="N5" s="2016"/>
      <c r="O5" s="2016"/>
      <c r="P5" s="3489"/>
      <c r="Q5" s="3490"/>
      <c r="R5" s="3495"/>
      <c r="S5" s="3496"/>
      <c r="T5" s="3495"/>
      <c r="U5" s="3496"/>
      <c r="V5" s="3480"/>
      <c r="W5" s="3480"/>
      <c r="X5" s="1501"/>
      <c r="Y5" s="3495"/>
      <c r="Z5" s="3496"/>
      <c r="AA5" s="3483"/>
      <c r="AB5" s="3483"/>
      <c r="AC5" s="3483"/>
    </row>
    <row r="6" spans="1:29" ht="15.75" thickBot="1">
      <c r="A6" s="511"/>
      <c r="B6" s="512"/>
      <c r="C6" s="3499" t="s">
        <v>2899</v>
      </c>
      <c r="D6" s="3500"/>
      <c r="E6" s="3518" t="s">
        <v>2899</v>
      </c>
      <c r="F6" s="3519"/>
      <c r="G6" s="3499" t="s">
        <v>2899</v>
      </c>
      <c r="H6" s="3500"/>
      <c r="I6" s="3499" t="s">
        <v>2899</v>
      </c>
      <c r="J6" s="3500"/>
      <c r="K6" s="508" t="s">
        <v>522</v>
      </c>
      <c r="L6" s="2015"/>
      <c r="M6" s="2016"/>
      <c r="N6" s="2016"/>
      <c r="O6" s="2016"/>
      <c r="P6" s="3491"/>
      <c r="Q6" s="3492"/>
      <c r="R6" s="3495"/>
      <c r="S6" s="3496"/>
      <c r="T6" s="3497"/>
      <c r="U6" s="3498"/>
      <c r="V6" s="3480"/>
      <c r="W6" s="3480"/>
      <c r="X6" s="1501"/>
      <c r="Y6" s="3497"/>
      <c r="Z6" s="3498"/>
      <c r="AA6" s="3484"/>
      <c r="AB6" s="3484"/>
      <c r="AC6" s="3484"/>
    </row>
    <row r="7" spans="1:29" s="1202" customFormat="1" ht="15.75" thickBot="1">
      <c r="A7" s="2629"/>
      <c r="B7" s="2636" t="s">
        <v>523</v>
      </c>
      <c r="C7" s="513">
        <f>'数据-取费表'!B2</f>
        <v>44257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1" t="s">
        <v>524</v>
      </c>
      <c r="Q7" s="3513"/>
      <c r="R7" s="1502" t="s">
        <v>8</v>
      </c>
      <c r="S7" s="1503">
        <f t="shared" ref="S7:S15" si="0">F7</f>
        <v>0</v>
      </c>
      <c r="T7" s="1502" t="s">
        <v>8</v>
      </c>
      <c r="U7" s="1503">
        <f t="shared" ref="U7:U15" si="1">H7</f>
        <v>0</v>
      </c>
      <c r="V7" s="1502" t="s">
        <v>8</v>
      </c>
      <c r="W7" s="1503">
        <f t="shared" ref="W7:W15" si="2">J7</f>
        <v>0</v>
      </c>
      <c r="X7" s="1504"/>
      <c r="Y7" s="3511" t="s">
        <v>524</v>
      </c>
      <c r="Z7" s="3512"/>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1" t="s">
        <v>527</v>
      </c>
      <c r="Q8" s="3512"/>
      <c r="R8" s="1502" t="s">
        <v>8</v>
      </c>
      <c r="S8" s="1503">
        <f t="shared" si="0"/>
        <v>0</v>
      </c>
      <c r="T8" s="1502" t="s">
        <v>8</v>
      </c>
      <c r="U8" s="1503">
        <f t="shared" si="1"/>
        <v>0</v>
      </c>
      <c r="V8" s="1502" t="s">
        <v>8</v>
      </c>
      <c r="W8" s="1503">
        <f t="shared" si="2"/>
        <v>0</v>
      </c>
      <c r="X8" s="1504"/>
      <c r="Y8" s="3511" t="s">
        <v>527</v>
      </c>
      <c r="Z8" s="3512"/>
      <c r="AA8" s="1505" t="e">
        <f t="shared" ref="AA8:AA40" si="3">D8/F8</f>
        <v>#DIV/0!</v>
      </c>
      <c r="AB8" s="1505" t="e">
        <f t="shared" ref="AB8:AB40" si="4">D8/H8</f>
        <v>#DIV/0!</v>
      </c>
      <c r="AC8" s="1505" t="e">
        <f t="shared" ref="AC8:AC40" si="5">D8/J8</f>
        <v>#DIV/0!</v>
      </c>
    </row>
    <row r="9" spans="1:29" s="1202"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9" t="s">
        <v>529</v>
      </c>
      <c r="Q9" s="1133" t="str">
        <f t="shared" ref="Q9:Q15" si="6">B9</f>
        <v>用途</v>
      </c>
      <c r="R9" s="1502" t="s">
        <v>8</v>
      </c>
      <c r="S9" s="1503">
        <f t="shared" si="0"/>
        <v>100</v>
      </c>
      <c r="T9" s="1502" t="s">
        <v>8</v>
      </c>
      <c r="U9" s="1503">
        <f t="shared" si="1"/>
        <v>100</v>
      </c>
      <c r="V9" s="1502" t="s">
        <v>8</v>
      </c>
      <c r="W9" s="1503">
        <f t="shared" si="2"/>
        <v>100</v>
      </c>
      <c r="X9" s="1504"/>
      <c r="Y9" s="3425"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9"/>
      <c r="Q10" s="1133" t="str">
        <f t="shared" si="6"/>
        <v>土地使用年限（年）</v>
      </c>
      <c r="R10" s="1502" t="s">
        <v>8</v>
      </c>
      <c r="S10" s="1503">
        <f t="shared" si="0"/>
        <v>100</v>
      </c>
      <c r="T10" s="1502" t="s">
        <v>8</v>
      </c>
      <c r="U10" s="1503">
        <f t="shared" si="1"/>
        <v>100</v>
      </c>
      <c r="V10" s="1502" t="s">
        <v>8</v>
      </c>
      <c r="W10" s="1503">
        <f t="shared" si="2"/>
        <v>100</v>
      </c>
      <c r="X10" s="1504"/>
      <c r="Y10" s="3425"/>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9"/>
      <c r="Q11" s="1133" t="str">
        <f t="shared" si="6"/>
        <v>容积率</v>
      </c>
      <c r="R11" s="1502" t="s">
        <v>8</v>
      </c>
      <c r="S11" s="1503" t="e">
        <f t="shared" si="0"/>
        <v>#N/A</v>
      </c>
      <c r="T11" s="1502" t="s">
        <v>8</v>
      </c>
      <c r="U11" s="1503" t="e">
        <f t="shared" si="1"/>
        <v>#N/A</v>
      </c>
      <c r="V11" s="1502" t="s">
        <v>8</v>
      </c>
      <c r="W11" s="1503" t="e">
        <f t="shared" si="2"/>
        <v>#N/A</v>
      </c>
      <c r="X11" s="1504"/>
      <c r="Y11" s="342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79"/>
      <c r="Q12" s="1133">
        <f t="shared" si="6"/>
        <v>111</v>
      </c>
      <c r="R12" s="1502" t="s">
        <v>8</v>
      </c>
      <c r="S12" s="1503">
        <f t="shared" si="0"/>
        <v>100</v>
      </c>
      <c r="T12" s="1502" t="s">
        <v>8</v>
      </c>
      <c r="U12" s="1503">
        <f t="shared" si="1"/>
        <v>100</v>
      </c>
      <c r="V12" s="1502" t="s">
        <v>8</v>
      </c>
      <c r="W12" s="1503">
        <f t="shared" si="2"/>
        <v>100</v>
      </c>
      <c r="X12" s="1504"/>
      <c r="Y12" s="342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79"/>
      <c r="Q13" s="1133">
        <f t="shared" si="6"/>
        <v>111</v>
      </c>
      <c r="R13" s="1502" t="s">
        <v>8</v>
      </c>
      <c r="S13" s="1503">
        <f t="shared" si="0"/>
        <v>100</v>
      </c>
      <c r="T13" s="1502" t="s">
        <v>8</v>
      </c>
      <c r="U13" s="1503">
        <f t="shared" si="1"/>
        <v>100</v>
      </c>
      <c r="V13" s="1502" t="s">
        <v>8</v>
      </c>
      <c r="W13" s="1503">
        <f t="shared" si="2"/>
        <v>100</v>
      </c>
      <c r="X13" s="1504"/>
      <c r="Y13" s="342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79"/>
      <c r="Q14" s="1133">
        <f t="shared" si="6"/>
        <v>111</v>
      </c>
      <c r="R14" s="1502" t="s">
        <v>8</v>
      </c>
      <c r="S14" s="1503">
        <f t="shared" si="0"/>
        <v>100</v>
      </c>
      <c r="T14" s="1502" t="s">
        <v>8</v>
      </c>
      <c r="U14" s="1503">
        <f t="shared" si="1"/>
        <v>100</v>
      </c>
      <c r="V14" s="1502" t="s">
        <v>8</v>
      </c>
      <c r="W14" s="1503">
        <f t="shared" si="2"/>
        <v>100</v>
      </c>
      <c r="X14" s="1504"/>
      <c r="Y14" s="3425"/>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14" t="s">
        <v>534</v>
      </c>
      <c r="Q15" s="1506" t="str">
        <f t="shared" si="6"/>
        <v>产业集聚程度</v>
      </c>
      <c r="R15" s="1507" t="s">
        <v>8</v>
      </c>
      <c r="S15" s="1508">
        <f t="shared" si="0"/>
        <v>100</v>
      </c>
      <c r="T15" s="1507" t="s">
        <v>8</v>
      </c>
      <c r="U15" s="1508">
        <f t="shared" si="1"/>
        <v>100</v>
      </c>
      <c r="V15" s="1507" t="s">
        <v>8</v>
      </c>
      <c r="W15" s="1508">
        <f t="shared" si="2"/>
        <v>100</v>
      </c>
      <c r="X15" s="1501"/>
      <c r="Y15" s="3514"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5"/>
      <c r="Q16" s="1506"/>
      <c r="R16" s="1507"/>
      <c r="S16" s="1508"/>
      <c r="T16" s="1507"/>
      <c r="U16" s="1508"/>
      <c r="V16" s="1507"/>
      <c r="W16" s="1508"/>
      <c r="X16" s="1501"/>
      <c r="Y16" s="3515"/>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15"/>
      <c r="Q17" s="1506" t="str">
        <f>B17</f>
        <v>交通便捷度</v>
      </c>
      <c r="R17" s="1507" t="s">
        <v>8</v>
      </c>
      <c r="S17" s="1508">
        <f>F17</f>
        <v>100</v>
      </c>
      <c r="T17" s="1507" t="s">
        <v>8</v>
      </c>
      <c r="U17" s="1508">
        <f>H17</f>
        <v>100</v>
      </c>
      <c r="V17" s="1507" t="s">
        <v>8</v>
      </c>
      <c r="W17" s="1508">
        <f>J17</f>
        <v>100</v>
      </c>
      <c r="X17" s="1501"/>
      <c r="Y17" s="351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5"/>
      <c r="Q18" s="1506"/>
      <c r="R18" s="1507"/>
      <c r="S18" s="1508"/>
      <c r="T18" s="1507"/>
      <c r="U18" s="1508"/>
      <c r="V18" s="1507"/>
      <c r="W18" s="1508"/>
      <c r="X18" s="1501"/>
      <c r="Y18" s="3515"/>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15"/>
      <c r="Q19" s="1506" t="str">
        <f>B19</f>
        <v>公共配套设施</v>
      </c>
      <c r="R19" s="1507" t="s">
        <v>8</v>
      </c>
      <c r="S19" s="1508">
        <f>F19</f>
        <v>100</v>
      </c>
      <c r="T19" s="1507" t="s">
        <v>8</v>
      </c>
      <c r="U19" s="1508">
        <f>H19</f>
        <v>100</v>
      </c>
      <c r="V19" s="1507" t="s">
        <v>8</v>
      </c>
      <c r="W19" s="1508">
        <f>J19</f>
        <v>100</v>
      </c>
      <c r="X19" s="1501"/>
      <c r="Y19" s="3515"/>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15"/>
      <c r="Q20" s="1506"/>
      <c r="R20" s="1507"/>
      <c r="S20" s="1508"/>
      <c r="T20" s="1507"/>
      <c r="U20" s="1508"/>
      <c r="V20" s="1507"/>
      <c r="W20" s="1508"/>
      <c r="X20" s="1501"/>
      <c r="Y20" s="3515"/>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15"/>
      <c r="Q21" s="2429" t="str">
        <f>B21</f>
        <v>基础设施水平</v>
      </c>
      <c r="R21" s="1507" t="s">
        <v>8</v>
      </c>
      <c r="S21" s="1508">
        <f>F21</f>
        <v>100</v>
      </c>
      <c r="T21" s="1507" t="s">
        <v>8</v>
      </c>
      <c r="U21" s="1508">
        <f>H21</f>
        <v>100</v>
      </c>
      <c r="V21" s="1507" t="s">
        <v>8</v>
      </c>
      <c r="W21" s="1508">
        <f>J21</f>
        <v>100</v>
      </c>
      <c r="X21" s="2431"/>
      <c r="Y21" s="3515"/>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15"/>
      <c r="Q22" s="2429"/>
      <c r="R22" s="1507"/>
      <c r="S22" s="1508"/>
      <c r="T22" s="1507"/>
      <c r="U22" s="1508"/>
      <c r="V22" s="1507"/>
      <c r="W22" s="1508"/>
      <c r="X22" s="2431"/>
      <c r="Y22" s="3515"/>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15"/>
      <c r="Q23" s="1506" t="str">
        <f>B23</f>
        <v>环境质量</v>
      </c>
      <c r="R23" s="1507" t="s">
        <v>8</v>
      </c>
      <c r="S23" s="1508">
        <f>F23</f>
        <v>100</v>
      </c>
      <c r="T23" s="1507" t="s">
        <v>8</v>
      </c>
      <c r="U23" s="1508">
        <f>H23</f>
        <v>100</v>
      </c>
      <c r="V23" s="1507" t="s">
        <v>8</v>
      </c>
      <c r="W23" s="1508">
        <f>J23</f>
        <v>100</v>
      </c>
      <c r="X23" s="1501"/>
      <c r="Y23" s="3515"/>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15"/>
      <c r="Q24" s="1506"/>
      <c r="R24" s="1507"/>
      <c r="S24" s="1508"/>
      <c r="T24" s="1507"/>
      <c r="U24" s="1508"/>
      <c r="V24" s="1507"/>
      <c r="W24" s="1508"/>
      <c r="X24" s="1501"/>
      <c r="Y24" s="3515"/>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15"/>
      <c r="Q25" s="1506">
        <f>B25</f>
        <v>111</v>
      </c>
      <c r="R25" s="1507" t="s">
        <v>8</v>
      </c>
      <c r="S25" s="1508">
        <f>F25</f>
        <v>100</v>
      </c>
      <c r="T25" s="1507" t="s">
        <v>8</v>
      </c>
      <c r="U25" s="1508">
        <f>H25</f>
        <v>100</v>
      </c>
      <c r="V25" s="1507" t="s">
        <v>8</v>
      </c>
      <c r="W25" s="1508">
        <f>J25</f>
        <v>100</v>
      </c>
      <c r="X25" s="1501"/>
      <c r="Y25" s="3515"/>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15"/>
      <c r="Q26" s="1506">
        <f t="shared" ref="Q26:Q40" si="11">B26</f>
        <v>111</v>
      </c>
      <c r="R26" s="1507" t="s">
        <v>8</v>
      </c>
      <c r="S26" s="1508">
        <f>F26</f>
        <v>100</v>
      </c>
      <c r="T26" s="1507" t="s">
        <v>8</v>
      </c>
      <c r="U26" s="1508">
        <f>H26</f>
        <v>100</v>
      </c>
      <c r="V26" s="1507" t="s">
        <v>8</v>
      </c>
      <c r="W26" s="1508">
        <f>J26</f>
        <v>100</v>
      </c>
      <c r="X26" s="1501"/>
      <c r="Y26" s="3515"/>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15"/>
      <c r="Q27" s="1133">
        <f t="shared" si="11"/>
        <v>111</v>
      </c>
      <c r="R27" s="1502" t="s">
        <v>8</v>
      </c>
      <c r="S27" s="1503">
        <f>F27</f>
        <v>100</v>
      </c>
      <c r="T27" s="1502" t="s">
        <v>8</v>
      </c>
      <c r="U27" s="1503">
        <f>H27</f>
        <v>100</v>
      </c>
      <c r="V27" s="1502" t="s">
        <v>8</v>
      </c>
      <c r="W27" s="1503">
        <f>J27</f>
        <v>100</v>
      </c>
      <c r="X27" s="1504"/>
      <c r="Y27" s="3515"/>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15"/>
      <c r="Q28" s="1506">
        <f t="shared" si="11"/>
        <v>111</v>
      </c>
      <c r="R28" s="1507" t="s">
        <v>8</v>
      </c>
      <c r="S28" s="1508">
        <f t="shared" ref="S28:S40" si="12">F28</f>
        <v>100</v>
      </c>
      <c r="T28" s="1507" t="s">
        <v>8</v>
      </c>
      <c r="U28" s="1508">
        <f t="shared" ref="U28:U40" si="13">H28</f>
        <v>100</v>
      </c>
      <c r="V28" s="1507" t="s">
        <v>8</v>
      </c>
      <c r="W28" s="1508">
        <f t="shared" ref="W28:W40" si="14">J28</f>
        <v>100</v>
      </c>
      <c r="X28" s="1501"/>
      <c r="Y28" s="3515"/>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16" t="s">
        <v>544</v>
      </c>
      <c r="Q29" s="1506" t="str">
        <f t="shared" si="11"/>
        <v>建筑类型</v>
      </c>
      <c r="R29" s="1507" t="s">
        <v>8</v>
      </c>
      <c r="S29" s="1508">
        <f t="shared" si="12"/>
        <v>100</v>
      </c>
      <c r="T29" s="1507" t="s">
        <v>8</v>
      </c>
      <c r="U29" s="1508">
        <f t="shared" si="13"/>
        <v>100</v>
      </c>
      <c r="V29" s="1507" t="s">
        <v>8</v>
      </c>
      <c r="W29" s="1508">
        <f t="shared" si="14"/>
        <v>100</v>
      </c>
      <c r="X29" s="1501"/>
      <c r="Y29" s="3517"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7"/>
      <c r="Q30" s="1535" t="str">
        <f t="shared" si="11"/>
        <v>项目建筑规模</v>
      </c>
      <c r="R30" s="1511" t="s">
        <v>8</v>
      </c>
      <c r="S30" s="1512" t="e">
        <f t="shared" si="12"/>
        <v>#N/A</v>
      </c>
      <c r="T30" s="1511" t="s">
        <v>8</v>
      </c>
      <c r="U30" s="1512" t="e">
        <f t="shared" si="13"/>
        <v>#N/A</v>
      </c>
      <c r="V30" s="1511" t="s">
        <v>8</v>
      </c>
      <c r="W30" s="1512" t="e">
        <f t="shared" si="14"/>
        <v>#N/A</v>
      </c>
      <c r="X30" s="1513"/>
      <c r="Y30" s="3517"/>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7"/>
      <c r="Q31" s="1506" t="str">
        <f t="shared" si="11"/>
        <v>建筑结构</v>
      </c>
      <c r="R31" s="1507" t="s">
        <v>8</v>
      </c>
      <c r="S31" s="1508">
        <f t="shared" si="12"/>
        <v>100</v>
      </c>
      <c r="T31" s="1507" t="s">
        <v>8</v>
      </c>
      <c r="U31" s="1508">
        <f t="shared" si="13"/>
        <v>100</v>
      </c>
      <c r="V31" s="1507" t="s">
        <v>8</v>
      </c>
      <c r="W31" s="1508">
        <f t="shared" si="14"/>
        <v>100</v>
      </c>
      <c r="X31" s="1501"/>
      <c r="Y31" s="3517"/>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7"/>
      <c r="Q32" s="1506" t="str">
        <f t="shared" si="11"/>
        <v>公共部分装修</v>
      </c>
      <c r="R32" s="1507" t="s">
        <v>8</v>
      </c>
      <c r="S32" s="1508">
        <f t="shared" si="12"/>
        <v>100</v>
      </c>
      <c r="T32" s="1507" t="s">
        <v>8</v>
      </c>
      <c r="U32" s="1508">
        <f t="shared" si="13"/>
        <v>100</v>
      </c>
      <c r="V32" s="1507" t="s">
        <v>8</v>
      </c>
      <c r="W32" s="1508">
        <f t="shared" si="14"/>
        <v>100</v>
      </c>
      <c r="X32" s="1501"/>
      <c r="Y32" s="3517"/>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17"/>
      <c r="Q33" s="1506" t="str">
        <f t="shared" si="11"/>
        <v>成新度</v>
      </c>
      <c r="R33" s="1507" t="s">
        <v>8</v>
      </c>
      <c r="S33" s="1508" t="e">
        <f t="shared" si="12"/>
        <v>#N/A</v>
      </c>
      <c r="T33" s="1507" t="s">
        <v>8</v>
      </c>
      <c r="U33" s="1508" t="e">
        <f t="shared" si="13"/>
        <v>#N/A</v>
      </c>
      <c r="V33" s="1507" t="s">
        <v>8</v>
      </c>
      <c r="W33" s="1508" t="e">
        <f t="shared" si="14"/>
        <v>#N/A</v>
      </c>
      <c r="X33" s="1501"/>
      <c r="Y33" s="3517"/>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7"/>
      <c r="Q34" s="1133" t="str">
        <f t="shared" si="11"/>
        <v>物业管理</v>
      </c>
      <c r="R34" s="1502" t="s">
        <v>8</v>
      </c>
      <c r="S34" s="1503">
        <f t="shared" si="12"/>
        <v>100</v>
      </c>
      <c r="T34" s="1502" t="s">
        <v>8</v>
      </c>
      <c r="U34" s="1503">
        <f t="shared" si="13"/>
        <v>100</v>
      </c>
      <c r="V34" s="1502" t="s">
        <v>8</v>
      </c>
      <c r="W34" s="1503">
        <f t="shared" si="14"/>
        <v>100</v>
      </c>
      <c r="X34" s="1504"/>
      <c r="Y34" s="3517"/>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7" t="s">
        <v>544</v>
      </c>
      <c r="Q35" s="1506" t="str">
        <f t="shared" si="11"/>
        <v>市政基础设施</v>
      </c>
      <c r="R35" s="1507" t="s">
        <v>8</v>
      </c>
      <c r="S35" s="1508">
        <f t="shared" si="12"/>
        <v>100</v>
      </c>
      <c r="T35" s="1507" t="s">
        <v>8</v>
      </c>
      <c r="U35" s="1508">
        <f t="shared" si="13"/>
        <v>100</v>
      </c>
      <c r="V35" s="1507" t="s">
        <v>8</v>
      </c>
      <c r="W35" s="1508">
        <f t="shared" si="14"/>
        <v>100</v>
      </c>
      <c r="X35" s="1501"/>
      <c r="Y35" s="3517"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7"/>
      <c r="Q36" s="1506" t="str">
        <f t="shared" si="11"/>
        <v>内部装修</v>
      </c>
      <c r="R36" s="1507" t="s">
        <v>8</v>
      </c>
      <c r="S36" s="1508">
        <f t="shared" si="12"/>
        <v>100</v>
      </c>
      <c r="T36" s="1507" t="s">
        <v>8</v>
      </c>
      <c r="U36" s="1508">
        <f t="shared" si="13"/>
        <v>100</v>
      </c>
      <c r="V36" s="1507" t="s">
        <v>8</v>
      </c>
      <c r="W36" s="1508">
        <f t="shared" si="14"/>
        <v>100</v>
      </c>
      <c r="X36" s="1501"/>
      <c r="Y36" s="3517"/>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7"/>
      <c r="Q37" s="1506" t="str">
        <f t="shared" si="11"/>
        <v>内部装修状况</v>
      </c>
      <c r="R37" s="1507" t="s">
        <v>8</v>
      </c>
      <c r="S37" s="1508">
        <f t="shared" si="12"/>
        <v>100</v>
      </c>
      <c r="T37" s="1507" t="s">
        <v>8</v>
      </c>
      <c r="U37" s="1508">
        <f t="shared" si="13"/>
        <v>100</v>
      </c>
      <c r="V37" s="1507" t="s">
        <v>8</v>
      </c>
      <c r="W37" s="1508">
        <f t="shared" si="14"/>
        <v>100</v>
      </c>
      <c r="X37" s="1501"/>
      <c r="Y37" s="3517"/>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17"/>
      <c r="Q38" s="1535">
        <f t="shared" si="11"/>
        <v>111</v>
      </c>
      <c r="R38" s="1511" t="s">
        <v>8</v>
      </c>
      <c r="S38" s="1512">
        <f t="shared" si="12"/>
        <v>100</v>
      </c>
      <c r="T38" s="1511" t="s">
        <v>8</v>
      </c>
      <c r="U38" s="1512">
        <f t="shared" si="13"/>
        <v>100</v>
      </c>
      <c r="V38" s="1511" t="s">
        <v>8</v>
      </c>
      <c r="W38" s="1512">
        <f t="shared" si="14"/>
        <v>100</v>
      </c>
      <c r="X38" s="1513"/>
      <c r="Y38" s="3517"/>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17"/>
      <c r="Q39" s="1506">
        <f t="shared" si="11"/>
        <v>111</v>
      </c>
      <c r="R39" s="1507" t="s">
        <v>8</v>
      </c>
      <c r="S39" s="1508">
        <f t="shared" si="12"/>
        <v>100</v>
      </c>
      <c r="T39" s="1507" t="s">
        <v>8</v>
      </c>
      <c r="U39" s="1508">
        <f t="shared" si="13"/>
        <v>100</v>
      </c>
      <c r="V39" s="1507" t="s">
        <v>8</v>
      </c>
      <c r="W39" s="1508">
        <f t="shared" si="14"/>
        <v>100</v>
      </c>
      <c r="X39" s="1501"/>
      <c r="Y39" s="3517"/>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599"/>
      <c r="Q40" s="1506">
        <f t="shared" si="11"/>
        <v>111</v>
      </c>
      <c r="R40" s="1507" t="s">
        <v>8</v>
      </c>
      <c r="S40" s="1508">
        <f t="shared" si="12"/>
        <v>100</v>
      </c>
      <c r="T40" s="1507" t="s">
        <v>8</v>
      </c>
      <c r="U40" s="1508">
        <f t="shared" si="13"/>
        <v>100</v>
      </c>
      <c r="V40" s="1507" t="s">
        <v>8</v>
      </c>
      <c r="W40" s="1508">
        <f t="shared" si="14"/>
        <v>100</v>
      </c>
      <c r="X40" s="1501"/>
      <c r="Y40" s="3599"/>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79" t="str">
        <f>A41</f>
        <v>成交单价（元/平方米）</v>
      </c>
      <c r="Q41" s="3479"/>
      <c r="R41" s="3598">
        <f>E41</f>
        <v>0</v>
      </c>
      <c r="S41" s="3598"/>
      <c r="T41" s="3598">
        <f>G41</f>
        <v>0</v>
      </c>
      <c r="U41" s="3598"/>
      <c r="V41" s="3598">
        <f>I41</f>
        <v>0</v>
      </c>
      <c r="W41" s="3598"/>
      <c r="X41" s="1496"/>
      <c r="Y41" s="1515"/>
      <c r="Z41" s="1496"/>
      <c r="AA41" s="1496"/>
      <c r="AB41" s="1496"/>
      <c r="AC41" s="1496"/>
    </row>
    <row r="42" spans="1:29" ht="15.75" thickBot="1">
      <c r="A42" s="609" t="s">
        <v>2740</v>
      </c>
      <c r="B42" s="876"/>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479" t="str">
        <f>A42</f>
        <v>比较价格（元/平方米）</v>
      </c>
      <c r="Q42" s="3479"/>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496"/>
      <c r="Y42" s="1496"/>
      <c r="Z42" s="1496"/>
      <c r="AA42" s="1496"/>
      <c r="AB42" s="1496"/>
      <c r="AC42" s="1496"/>
    </row>
    <row r="43" spans="1:29" ht="15.75" thickBot="1">
      <c r="A43" s="613" t="s">
        <v>2901</v>
      </c>
      <c r="B43" s="614"/>
      <c r="C43" s="2478" t="e">
        <f>R43</f>
        <v>#DIV/0!</v>
      </c>
      <c r="D43" s="2478"/>
      <c r="E43" s="2478"/>
      <c r="F43" s="2478"/>
      <c r="G43" s="2478"/>
      <c r="H43" s="2478"/>
      <c r="I43" s="2478"/>
      <c r="J43" s="2478"/>
      <c r="K43" s="1541"/>
      <c r="L43" s="2026"/>
      <c r="M43" s="2027"/>
      <c r="N43" s="2027"/>
      <c r="O43" s="2027"/>
      <c r="P43" s="3476" t="str">
        <f>A43</f>
        <v>估价对象XX用房的比较价格（楼面单价，元/平方米）</v>
      </c>
      <c r="Q43" s="3477"/>
      <c r="R43" s="3597" t="e">
        <f>IF(F1="售价",ROUND(IF(D42="简单平均",AVERAGE(R42:V42),R42*F42+T42*H42+V42*J42),0),ROUND(IF(D42="简单平均",AVERAGE(R42:V42),R42*F42+T42*H42+V42*J42),1))</f>
        <v>#DIV/0!</v>
      </c>
      <c r="S43" s="3597"/>
      <c r="T43" s="3597"/>
      <c r="U43" s="3597"/>
      <c r="V43" s="3597"/>
      <c r="W43" s="3597"/>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5" t="s">
        <v>792</v>
      </c>
      <c r="D4" s="3486"/>
      <c r="E4" s="3485" t="s">
        <v>793</v>
      </c>
      <c r="F4" s="3486"/>
      <c r="G4" s="3485" t="s">
        <v>794</v>
      </c>
      <c r="H4" s="3486"/>
      <c r="I4" s="3485" t="s">
        <v>795</v>
      </c>
      <c r="J4" s="3486"/>
      <c r="K4" s="508" t="s">
        <v>796</v>
      </c>
      <c r="L4" s="2015"/>
      <c r="M4" s="2016"/>
      <c r="N4" s="2016"/>
      <c r="O4" s="2016"/>
      <c r="P4" s="3487" t="s">
        <v>797</v>
      </c>
      <c r="Q4" s="3488"/>
      <c r="R4" s="3493" t="s">
        <v>793</v>
      </c>
      <c r="S4" s="3494"/>
      <c r="T4" s="3493" t="s">
        <v>794</v>
      </c>
      <c r="U4" s="3494"/>
      <c r="V4" s="3480" t="s">
        <v>795</v>
      </c>
      <c r="W4" s="3480"/>
      <c r="X4" s="1501"/>
      <c r="Y4" s="3493" t="s">
        <v>797</v>
      </c>
      <c r="Z4" s="3494"/>
      <c r="AA4" s="3482" t="s">
        <v>793</v>
      </c>
      <c r="AB4" s="3483" t="s">
        <v>794</v>
      </c>
      <c r="AC4" s="3482" t="s">
        <v>795</v>
      </c>
    </row>
    <row r="5" spans="1:29" ht="15">
      <c r="A5" s="509"/>
      <c r="B5" s="510"/>
      <c r="C5" s="3501" t="s">
        <v>2895</v>
      </c>
      <c r="D5" s="3502"/>
      <c r="E5" s="3501" t="s">
        <v>2896</v>
      </c>
      <c r="F5" s="3502"/>
      <c r="G5" s="3501" t="s">
        <v>2897</v>
      </c>
      <c r="H5" s="3502"/>
      <c r="I5" s="3501" t="s">
        <v>2898</v>
      </c>
      <c r="J5" s="3502"/>
      <c r="K5" s="508"/>
      <c r="L5" s="2015"/>
      <c r="M5" s="2016"/>
      <c r="N5" s="2016"/>
      <c r="O5" s="2016"/>
      <c r="P5" s="3489"/>
      <c r="Q5" s="3490"/>
      <c r="R5" s="3495"/>
      <c r="S5" s="3496"/>
      <c r="T5" s="3495"/>
      <c r="U5" s="3496"/>
      <c r="V5" s="3480"/>
      <c r="W5" s="3480"/>
      <c r="X5" s="1501"/>
      <c r="Y5" s="3495"/>
      <c r="Z5" s="3496"/>
      <c r="AA5" s="3483"/>
      <c r="AB5" s="3483"/>
      <c r="AC5" s="3483"/>
    </row>
    <row r="6" spans="1:29" ht="15.75" thickBot="1">
      <c r="A6" s="511"/>
      <c r="B6" s="512"/>
      <c r="C6" s="3499" t="s">
        <v>2899</v>
      </c>
      <c r="D6" s="3500"/>
      <c r="E6" s="3504" t="s">
        <v>2899</v>
      </c>
      <c r="F6" s="3505"/>
      <c r="G6" s="3499" t="s">
        <v>2899</v>
      </c>
      <c r="H6" s="3500"/>
      <c r="I6" s="3499" t="s">
        <v>2899</v>
      </c>
      <c r="J6" s="3500"/>
      <c r="K6" s="508" t="s">
        <v>522</v>
      </c>
      <c r="L6" s="2015"/>
      <c r="M6" s="2016"/>
      <c r="N6" s="2016"/>
      <c r="O6" s="2016"/>
      <c r="P6" s="3491"/>
      <c r="Q6" s="3492"/>
      <c r="R6" s="3495"/>
      <c r="S6" s="3496"/>
      <c r="T6" s="3497"/>
      <c r="U6" s="3498"/>
      <c r="V6" s="3480"/>
      <c r="W6" s="3480"/>
      <c r="X6" s="1501"/>
      <c r="Y6" s="3497"/>
      <c r="Z6" s="3498"/>
      <c r="AA6" s="3484"/>
      <c r="AB6" s="3484"/>
      <c r="AC6" s="3484"/>
    </row>
    <row r="7" spans="1:29" s="1202" customFormat="1" ht="15.75" thickBot="1">
      <c r="A7" s="2629"/>
      <c r="B7" s="2636" t="s">
        <v>523</v>
      </c>
      <c r="C7" s="513">
        <f>'数据-取费表'!B2</f>
        <v>44257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1" t="s">
        <v>524</v>
      </c>
      <c r="Q7" s="3513"/>
      <c r="R7" s="1502" t="s">
        <v>8</v>
      </c>
      <c r="S7" s="1503">
        <f t="shared" ref="S7:S14" si="0">F7</f>
        <v>0</v>
      </c>
      <c r="T7" s="1502" t="s">
        <v>8</v>
      </c>
      <c r="U7" s="1503">
        <f t="shared" ref="U7:U14" si="1">H7</f>
        <v>0</v>
      </c>
      <c r="V7" s="1502" t="s">
        <v>8</v>
      </c>
      <c r="W7" s="1503">
        <f t="shared" ref="W7:W14" si="2">J7</f>
        <v>0</v>
      </c>
      <c r="X7" s="1504"/>
      <c r="Y7" s="3511" t="s">
        <v>524</v>
      </c>
      <c r="Z7" s="3512"/>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1" t="s">
        <v>527</v>
      </c>
      <c r="Q8" s="3512"/>
      <c r="R8" s="1502" t="s">
        <v>8</v>
      </c>
      <c r="S8" s="1503">
        <f t="shared" si="0"/>
        <v>0</v>
      </c>
      <c r="T8" s="1502" t="s">
        <v>8</v>
      </c>
      <c r="U8" s="1503">
        <f t="shared" si="1"/>
        <v>0</v>
      </c>
      <c r="V8" s="1502" t="s">
        <v>8</v>
      </c>
      <c r="W8" s="1503">
        <f t="shared" si="2"/>
        <v>0</v>
      </c>
      <c r="X8" s="1504"/>
      <c r="Y8" s="3511" t="s">
        <v>527</v>
      </c>
      <c r="Z8" s="3512"/>
      <c r="AA8" s="1505" t="e">
        <f t="shared" ref="AA8:AA36" si="3">D8/F8</f>
        <v>#DIV/0!</v>
      </c>
      <c r="AB8" s="1505" t="e">
        <f t="shared" ref="AB8:AB36" si="4">D8/H8</f>
        <v>#DIV/0!</v>
      </c>
      <c r="AC8" s="1505" t="e">
        <f t="shared" ref="AC8:AC36" si="5">D8/J8</f>
        <v>#DIV/0!</v>
      </c>
    </row>
    <row r="9" spans="1:29" s="1202"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9" t="s">
        <v>529</v>
      </c>
      <c r="Q9" s="1133" t="str">
        <f t="shared" ref="Q9:Q14" si="6">B9</f>
        <v>用途</v>
      </c>
      <c r="R9" s="1502" t="s">
        <v>8</v>
      </c>
      <c r="S9" s="1503">
        <f t="shared" si="0"/>
        <v>100</v>
      </c>
      <c r="T9" s="1502" t="s">
        <v>8</v>
      </c>
      <c r="U9" s="1503">
        <f t="shared" si="1"/>
        <v>100</v>
      </c>
      <c r="V9" s="1502" t="s">
        <v>8</v>
      </c>
      <c r="W9" s="1503">
        <f t="shared" si="2"/>
        <v>100</v>
      </c>
      <c r="X9" s="1504"/>
      <c r="Y9" s="3425"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9"/>
      <c r="Q10" s="1133" t="str">
        <f t="shared" si="6"/>
        <v>土地使用年限（年）</v>
      </c>
      <c r="R10" s="1502" t="s">
        <v>8</v>
      </c>
      <c r="S10" s="1503">
        <f t="shared" si="0"/>
        <v>100</v>
      </c>
      <c r="T10" s="1502" t="s">
        <v>8</v>
      </c>
      <c r="U10" s="1503">
        <f t="shared" si="1"/>
        <v>100</v>
      </c>
      <c r="V10" s="1502" t="s">
        <v>8</v>
      </c>
      <c r="W10" s="1503">
        <f t="shared" si="2"/>
        <v>100</v>
      </c>
      <c r="X10" s="1504"/>
      <c r="Y10" s="342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9"/>
      <c r="Q11" s="1133">
        <f t="shared" si="6"/>
        <v>111</v>
      </c>
      <c r="R11" s="1502" t="s">
        <v>8</v>
      </c>
      <c r="S11" s="1503">
        <f t="shared" si="0"/>
        <v>100</v>
      </c>
      <c r="T11" s="1502" t="s">
        <v>8</v>
      </c>
      <c r="U11" s="1503">
        <f t="shared" si="1"/>
        <v>100</v>
      </c>
      <c r="V11" s="1502" t="s">
        <v>8</v>
      </c>
      <c r="W11" s="1503">
        <f t="shared" si="2"/>
        <v>100</v>
      </c>
      <c r="X11" s="1504"/>
      <c r="Y11" s="342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9"/>
      <c r="Q12" s="1133">
        <f t="shared" si="6"/>
        <v>111</v>
      </c>
      <c r="R12" s="1502" t="s">
        <v>8</v>
      </c>
      <c r="S12" s="1503">
        <f t="shared" si="0"/>
        <v>100</v>
      </c>
      <c r="T12" s="1502" t="s">
        <v>8</v>
      </c>
      <c r="U12" s="1503">
        <f t="shared" si="1"/>
        <v>100</v>
      </c>
      <c r="V12" s="1502" t="s">
        <v>8</v>
      </c>
      <c r="W12" s="1503">
        <f t="shared" si="2"/>
        <v>100</v>
      </c>
      <c r="X12" s="1504"/>
      <c r="Y12" s="342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9"/>
      <c r="Q13" s="1133">
        <f t="shared" si="6"/>
        <v>111</v>
      </c>
      <c r="R13" s="1502" t="s">
        <v>8</v>
      </c>
      <c r="S13" s="1503">
        <f t="shared" si="0"/>
        <v>100</v>
      </c>
      <c r="T13" s="1502" t="s">
        <v>8</v>
      </c>
      <c r="U13" s="1503">
        <f t="shared" si="1"/>
        <v>100</v>
      </c>
      <c r="V13" s="1502" t="s">
        <v>8</v>
      </c>
      <c r="W13" s="1503">
        <f t="shared" si="2"/>
        <v>100</v>
      </c>
      <c r="X13" s="1504"/>
      <c r="Y13" s="3425"/>
      <c r="Z13" s="1132">
        <f t="shared" si="7"/>
        <v>111</v>
      </c>
      <c r="AA13" s="1505">
        <f t="shared" si="3"/>
        <v>1</v>
      </c>
      <c r="AB13" s="1505">
        <f t="shared" si="4"/>
        <v>1</v>
      </c>
      <c r="AC13" s="1505">
        <f t="shared" si="5"/>
        <v>1</v>
      </c>
    </row>
    <row r="14" spans="1:29" ht="85.5">
      <c r="A14" s="2627"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14" t="s">
        <v>534</v>
      </c>
      <c r="Q14" s="1506" t="str">
        <f t="shared" si="6"/>
        <v>交通便捷度</v>
      </c>
      <c r="R14" s="1507" t="s">
        <v>8</v>
      </c>
      <c r="S14" s="1508">
        <f t="shared" si="0"/>
        <v>100</v>
      </c>
      <c r="T14" s="1507" t="s">
        <v>8</v>
      </c>
      <c r="U14" s="1508">
        <f t="shared" si="1"/>
        <v>100</v>
      </c>
      <c r="V14" s="1507" t="s">
        <v>8</v>
      </c>
      <c r="W14" s="1508">
        <f t="shared" si="2"/>
        <v>100</v>
      </c>
      <c r="X14" s="1501"/>
      <c r="Y14" s="3514"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15"/>
      <c r="Q15" s="1506"/>
      <c r="R15" s="1507"/>
      <c r="S15" s="1508"/>
      <c r="T15" s="1507"/>
      <c r="U15" s="1508"/>
      <c r="V15" s="1507"/>
      <c r="W15" s="1508"/>
      <c r="X15" s="1501"/>
      <c r="Y15" s="3515"/>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15"/>
      <c r="Q16" s="1506" t="str">
        <f>B16</f>
        <v>公共配套设施</v>
      </c>
      <c r="R16" s="1507" t="s">
        <v>8</v>
      </c>
      <c r="S16" s="1508">
        <f>F16</f>
        <v>100</v>
      </c>
      <c r="T16" s="1507" t="s">
        <v>8</v>
      </c>
      <c r="U16" s="1508">
        <f>H16</f>
        <v>100</v>
      </c>
      <c r="V16" s="1507" t="s">
        <v>8</v>
      </c>
      <c r="W16" s="1508">
        <f>J16</f>
        <v>100</v>
      </c>
      <c r="X16" s="1501"/>
      <c r="Y16" s="3515"/>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15"/>
      <c r="Q17" s="1506"/>
      <c r="R17" s="1507"/>
      <c r="S17" s="1508"/>
      <c r="T17" s="1507"/>
      <c r="U17" s="1508"/>
      <c r="V17" s="1507"/>
      <c r="W17" s="1508"/>
      <c r="X17" s="1501"/>
      <c r="Y17" s="3515"/>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15"/>
      <c r="Q18" s="2429" t="str">
        <f>B18</f>
        <v>基础设施水平</v>
      </c>
      <c r="R18" s="1507" t="s">
        <v>8</v>
      </c>
      <c r="S18" s="1508">
        <f>F18</f>
        <v>100</v>
      </c>
      <c r="T18" s="1507" t="s">
        <v>8</v>
      </c>
      <c r="U18" s="1508">
        <f>H18</f>
        <v>100</v>
      </c>
      <c r="V18" s="1507" t="s">
        <v>8</v>
      </c>
      <c r="W18" s="1508">
        <f>J18</f>
        <v>100</v>
      </c>
      <c r="X18" s="2431"/>
      <c r="Y18" s="3515"/>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15"/>
      <c r="Q19" s="2429"/>
      <c r="R19" s="1507"/>
      <c r="S19" s="1508"/>
      <c r="T19" s="1507"/>
      <c r="U19" s="1508"/>
      <c r="V19" s="1507"/>
      <c r="W19" s="1508"/>
      <c r="X19" s="2431"/>
      <c r="Y19" s="3515"/>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15"/>
      <c r="Q20" s="1506" t="str">
        <f>B20</f>
        <v>自然及人文环境</v>
      </c>
      <c r="R20" s="1507" t="s">
        <v>8</v>
      </c>
      <c r="S20" s="1508">
        <f>F20</f>
        <v>100</v>
      </c>
      <c r="T20" s="1507" t="s">
        <v>8</v>
      </c>
      <c r="U20" s="1508">
        <f>H20</f>
        <v>100</v>
      </c>
      <c r="V20" s="1507" t="s">
        <v>8</v>
      </c>
      <c r="W20" s="1508">
        <f>J20</f>
        <v>100</v>
      </c>
      <c r="X20" s="1501"/>
      <c r="Y20" s="3515"/>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15"/>
      <c r="Q21" s="1506"/>
      <c r="R21" s="1507"/>
      <c r="S21" s="1508"/>
      <c r="T21" s="1507"/>
      <c r="U21" s="1508"/>
      <c r="V21" s="1507"/>
      <c r="W21" s="1508"/>
      <c r="X21" s="1501"/>
      <c r="Y21" s="3515"/>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15"/>
      <c r="Q22" s="1506" t="str">
        <f>B22</f>
        <v>楼层</v>
      </c>
      <c r="R22" s="1507" t="s">
        <v>8</v>
      </c>
      <c r="S22" s="1508">
        <f>F22</f>
        <v>100</v>
      </c>
      <c r="T22" s="1507" t="s">
        <v>8</v>
      </c>
      <c r="U22" s="1508">
        <f>H22</f>
        <v>100</v>
      </c>
      <c r="V22" s="1507" t="s">
        <v>8</v>
      </c>
      <c r="W22" s="1508">
        <f>J22</f>
        <v>100</v>
      </c>
      <c r="X22" s="1501"/>
      <c r="Y22" s="3515"/>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15"/>
      <c r="Q23" s="1506">
        <f>B23</f>
        <v>111</v>
      </c>
      <c r="R23" s="1507" t="s">
        <v>8</v>
      </c>
      <c r="S23" s="1508">
        <f>F23</f>
        <v>100</v>
      </c>
      <c r="T23" s="1507" t="s">
        <v>8</v>
      </c>
      <c r="U23" s="1508">
        <f>H23</f>
        <v>100</v>
      </c>
      <c r="V23" s="1507" t="s">
        <v>8</v>
      </c>
      <c r="W23" s="1508">
        <f>J23</f>
        <v>100</v>
      </c>
      <c r="X23" s="1501"/>
      <c r="Y23" s="3515"/>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15"/>
      <c r="Q24" s="1506">
        <f t="shared" ref="Q24:Q36" si="11">B24</f>
        <v>111</v>
      </c>
      <c r="R24" s="1507" t="s">
        <v>8</v>
      </c>
      <c r="S24" s="1508">
        <f>F24</f>
        <v>100</v>
      </c>
      <c r="T24" s="1507" t="s">
        <v>8</v>
      </c>
      <c r="U24" s="1508">
        <f>H24</f>
        <v>100</v>
      </c>
      <c r="V24" s="1507" t="s">
        <v>8</v>
      </c>
      <c r="W24" s="1508">
        <f>J24</f>
        <v>100</v>
      </c>
      <c r="X24" s="1501"/>
      <c r="Y24" s="3515"/>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15"/>
      <c r="Q25" s="1133">
        <f t="shared" si="11"/>
        <v>111</v>
      </c>
      <c r="R25" s="1502" t="s">
        <v>8</v>
      </c>
      <c r="S25" s="1503">
        <f>F25</f>
        <v>100</v>
      </c>
      <c r="T25" s="1502" t="s">
        <v>8</v>
      </c>
      <c r="U25" s="1503">
        <f>H25</f>
        <v>100</v>
      </c>
      <c r="V25" s="1502" t="s">
        <v>8</v>
      </c>
      <c r="W25" s="1503">
        <f>J25</f>
        <v>100</v>
      </c>
      <c r="X25" s="1504"/>
      <c r="Y25" s="3515"/>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6"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7"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17"/>
      <c r="Q27" s="1535" t="str">
        <f t="shared" si="11"/>
        <v>项目停车位配比</v>
      </c>
      <c r="R27" s="1511" t="s">
        <v>8</v>
      </c>
      <c r="S27" s="1512">
        <f t="shared" si="12"/>
        <v>100</v>
      </c>
      <c r="T27" s="1511" t="s">
        <v>8</v>
      </c>
      <c r="U27" s="1512">
        <f t="shared" si="13"/>
        <v>100</v>
      </c>
      <c r="V27" s="1511" t="s">
        <v>8</v>
      </c>
      <c r="W27" s="1512">
        <f t="shared" si="14"/>
        <v>100</v>
      </c>
      <c r="X27" s="1513"/>
      <c r="Y27" s="3517"/>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7"/>
      <c r="Q28" s="1506" t="str">
        <f t="shared" si="11"/>
        <v>公共部分装修</v>
      </c>
      <c r="R28" s="1507" t="s">
        <v>8</v>
      </c>
      <c r="S28" s="1508">
        <f t="shared" si="12"/>
        <v>100</v>
      </c>
      <c r="T28" s="1507" t="s">
        <v>8</v>
      </c>
      <c r="U28" s="1508">
        <f t="shared" si="13"/>
        <v>100</v>
      </c>
      <c r="V28" s="1507" t="s">
        <v>8</v>
      </c>
      <c r="W28" s="1508">
        <f t="shared" si="14"/>
        <v>100</v>
      </c>
      <c r="X28" s="1501"/>
      <c r="Y28" s="3517"/>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17"/>
      <c r="Q29" s="1506" t="str">
        <f t="shared" si="11"/>
        <v>成新率</v>
      </c>
      <c r="R29" s="1507" t="s">
        <v>8</v>
      </c>
      <c r="S29" s="1508" t="e">
        <f t="shared" si="12"/>
        <v>#N/A</v>
      </c>
      <c r="T29" s="1507" t="s">
        <v>8</v>
      </c>
      <c r="U29" s="1508" t="e">
        <f t="shared" si="13"/>
        <v>#N/A</v>
      </c>
      <c r="V29" s="1507" t="s">
        <v>8</v>
      </c>
      <c r="W29" s="1508" t="e">
        <f t="shared" si="14"/>
        <v>#N/A</v>
      </c>
      <c r="X29" s="1501"/>
      <c r="Y29" s="3517"/>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17"/>
      <c r="Q30" s="1506" t="str">
        <f t="shared" si="11"/>
        <v>物业等级</v>
      </c>
      <c r="R30" s="1507" t="s">
        <v>8</v>
      </c>
      <c r="S30" s="1508">
        <f t="shared" si="12"/>
        <v>100</v>
      </c>
      <c r="T30" s="1507" t="s">
        <v>8</v>
      </c>
      <c r="U30" s="1508">
        <f t="shared" si="13"/>
        <v>100</v>
      </c>
      <c r="V30" s="1507" t="s">
        <v>8</v>
      </c>
      <c r="W30" s="1508">
        <f t="shared" si="14"/>
        <v>100</v>
      </c>
      <c r="X30" s="1501"/>
      <c r="Y30" s="3517"/>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17"/>
      <c r="Q31" s="1133" t="str">
        <f t="shared" si="11"/>
        <v>停车位面积</v>
      </c>
      <c r="R31" s="1502" t="s">
        <v>8</v>
      </c>
      <c r="S31" s="1503" t="e">
        <f t="shared" si="12"/>
        <v>#N/A</v>
      </c>
      <c r="T31" s="1502" t="s">
        <v>8</v>
      </c>
      <c r="U31" s="1503" t="e">
        <f t="shared" si="13"/>
        <v>#N/A</v>
      </c>
      <c r="V31" s="1502" t="s">
        <v>8</v>
      </c>
      <c r="W31" s="1503" t="e">
        <f t="shared" si="14"/>
        <v>#N/A</v>
      </c>
      <c r="X31" s="1504"/>
      <c r="Y31" s="3517"/>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7" t="s">
        <v>544</v>
      </c>
      <c r="Q32" s="1506" t="str">
        <f t="shared" si="11"/>
        <v>车位类型</v>
      </c>
      <c r="R32" s="1507" t="s">
        <v>8</v>
      </c>
      <c r="S32" s="1508">
        <f t="shared" si="12"/>
        <v>100</v>
      </c>
      <c r="T32" s="1507" t="s">
        <v>8</v>
      </c>
      <c r="U32" s="1508">
        <f t="shared" si="13"/>
        <v>100</v>
      </c>
      <c r="V32" s="1507" t="s">
        <v>8</v>
      </c>
      <c r="W32" s="1508">
        <f t="shared" si="14"/>
        <v>100</v>
      </c>
      <c r="X32" s="1501"/>
      <c r="Y32" s="3517"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7"/>
      <c r="Q33" s="1506" t="str">
        <f t="shared" si="11"/>
        <v>是否直接入户</v>
      </c>
      <c r="R33" s="1507" t="s">
        <v>8</v>
      </c>
      <c r="S33" s="1508">
        <f t="shared" si="12"/>
        <v>100</v>
      </c>
      <c r="T33" s="1507" t="s">
        <v>8</v>
      </c>
      <c r="U33" s="1508">
        <f t="shared" si="13"/>
        <v>100</v>
      </c>
      <c r="V33" s="1507" t="s">
        <v>8</v>
      </c>
      <c r="W33" s="1508">
        <f t="shared" si="14"/>
        <v>100</v>
      </c>
      <c r="X33" s="1501"/>
      <c r="Y33" s="3517"/>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7"/>
      <c r="Q34" s="1506">
        <f t="shared" si="11"/>
        <v>111</v>
      </c>
      <c r="R34" s="1507" t="s">
        <v>8</v>
      </c>
      <c r="S34" s="1508">
        <f t="shared" si="12"/>
        <v>100</v>
      </c>
      <c r="T34" s="1507" t="s">
        <v>8</v>
      </c>
      <c r="U34" s="1508">
        <f t="shared" si="13"/>
        <v>100</v>
      </c>
      <c r="V34" s="1507" t="s">
        <v>8</v>
      </c>
      <c r="W34" s="1508">
        <f t="shared" si="14"/>
        <v>100</v>
      </c>
      <c r="X34" s="1501"/>
      <c r="Y34" s="3517"/>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7"/>
      <c r="Q35" s="1535">
        <f t="shared" si="11"/>
        <v>111</v>
      </c>
      <c r="R35" s="1511" t="s">
        <v>8</v>
      </c>
      <c r="S35" s="1512">
        <f t="shared" si="12"/>
        <v>100</v>
      </c>
      <c r="T35" s="1511" t="s">
        <v>8</v>
      </c>
      <c r="U35" s="1512">
        <f t="shared" si="13"/>
        <v>100</v>
      </c>
      <c r="V35" s="1511" t="s">
        <v>8</v>
      </c>
      <c r="W35" s="1512">
        <f t="shared" si="14"/>
        <v>100</v>
      </c>
      <c r="X35" s="1513"/>
      <c r="Y35" s="3517"/>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7"/>
      <c r="Q36" s="1506">
        <f t="shared" si="11"/>
        <v>111</v>
      </c>
      <c r="R36" s="1507" t="s">
        <v>8</v>
      </c>
      <c r="S36" s="1508">
        <f t="shared" si="12"/>
        <v>100</v>
      </c>
      <c r="T36" s="1507" t="s">
        <v>8</v>
      </c>
      <c r="U36" s="1508">
        <f t="shared" si="13"/>
        <v>100</v>
      </c>
      <c r="V36" s="1507" t="s">
        <v>8</v>
      </c>
      <c r="W36" s="1508">
        <f t="shared" si="14"/>
        <v>100</v>
      </c>
      <c r="X36" s="1501"/>
      <c r="Y36" s="3517"/>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79" t="str">
        <f>A37</f>
        <v>成交单价</v>
      </c>
      <c r="Q37" s="3479"/>
      <c r="R37" s="3598">
        <f>E37</f>
        <v>0</v>
      </c>
      <c r="S37" s="3598"/>
      <c r="T37" s="3598">
        <f>G37</f>
        <v>0</v>
      </c>
      <c r="U37" s="3598"/>
      <c r="V37" s="3598">
        <f>I37</f>
        <v>0</v>
      </c>
      <c r="W37" s="3598"/>
      <c r="X37" s="1496"/>
      <c r="Y37" s="1515"/>
      <c r="Z37" s="1496"/>
      <c r="AA37" s="1496"/>
      <c r="AB37" s="1496"/>
      <c r="AC37" s="1496"/>
    </row>
    <row r="38" spans="1:29" ht="15.75" thickBot="1">
      <c r="A38" s="609" t="s">
        <v>2740</v>
      </c>
      <c r="B38" s="876"/>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479" t="str">
        <f>A38</f>
        <v>比较价格（元/平方米）</v>
      </c>
      <c r="Q38" s="3479"/>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1496"/>
      <c r="Y38" s="1496"/>
      <c r="Z38" s="1496"/>
      <c r="AA38" s="1496"/>
      <c r="AB38" s="1496"/>
      <c r="AC38" s="1496"/>
    </row>
    <row r="39" spans="1:29" ht="15.75" thickBot="1">
      <c r="A39" s="613" t="s">
        <v>2901</v>
      </c>
      <c r="B39" s="614"/>
      <c r="C39" s="2478" t="e">
        <f>R39</f>
        <v>#DIV/0!</v>
      </c>
      <c r="D39" s="2478"/>
      <c r="E39" s="2478"/>
      <c r="F39" s="2478"/>
      <c r="G39" s="2478"/>
      <c r="H39" s="2478"/>
      <c r="I39" s="2478"/>
      <c r="J39" s="2478"/>
      <c r="K39" s="1541"/>
      <c r="L39" s="2026"/>
      <c r="M39" s="2027"/>
      <c r="N39" s="2027"/>
      <c r="O39" s="2027"/>
      <c r="P39" s="3476" t="str">
        <f>A39</f>
        <v>估价对象XX用房的比较价格（楼面单价，元/平方米）</v>
      </c>
      <c r="Q39" s="3477"/>
      <c r="R39" s="3597" t="e">
        <f>IF(F1="售价",ROUND(IF(D38="简单平均",AVERAGE(R38:W38),R38*F38+T38*H38+V38*J38),0),ROUND(IF(D38="简单平均",AVERAGE(R38:V38),R38*F38+T38*H38+V38*J38),1))</f>
        <v>#DIV/0!</v>
      </c>
      <c r="S39" s="3597"/>
      <c r="T39" s="3597"/>
      <c r="U39" s="3597"/>
      <c r="V39" s="3597"/>
      <c r="W39" s="3597"/>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5" t="s">
        <v>792</v>
      </c>
      <c r="D4" s="3486"/>
      <c r="E4" s="3520" t="s">
        <v>793</v>
      </c>
      <c r="F4" s="3521"/>
      <c r="G4" s="3485" t="s">
        <v>794</v>
      </c>
      <c r="H4" s="3486"/>
      <c r="I4" s="3485" t="s">
        <v>795</v>
      </c>
      <c r="J4" s="3486"/>
      <c r="K4" s="508" t="s">
        <v>796</v>
      </c>
      <c r="L4" s="2015"/>
      <c r="M4" s="2016"/>
      <c r="N4" s="2016"/>
      <c r="O4" s="2016"/>
      <c r="P4" s="3487" t="s">
        <v>797</v>
      </c>
      <c r="Q4" s="3488"/>
      <c r="R4" s="3493" t="s">
        <v>793</v>
      </c>
      <c r="S4" s="3494"/>
      <c r="T4" s="3493" t="s">
        <v>794</v>
      </c>
      <c r="U4" s="3494"/>
      <c r="V4" s="3480" t="s">
        <v>795</v>
      </c>
      <c r="W4" s="3480"/>
      <c r="X4" s="1501"/>
      <c r="Y4" s="3493" t="s">
        <v>797</v>
      </c>
      <c r="Z4" s="3494"/>
      <c r="AA4" s="3482" t="s">
        <v>793</v>
      </c>
      <c r="AB4" s="3483" t="s">
        <v>794</v>
      </c>
      <c r="AC4" s="3482" t="s">
        <v>795</v>
      </c>
    </row>
    <row r="5" spans="1:29" ht="15">
      <c r="A5" s="509"/>
      <c r="B5" s="510"/>
      <c r="C5" s="3501" t="s">
        <v>2895</v>
      </c>
      <c r="D5" s="3502"/>
      <c r="E5" s="3522" t="s">
        <v>2896</v>
      </c>
      <c r="F5" s="3523"/>
      <c r="G5" s="3501" t="s">
        <v>2897</v>
      </c>
      <c r="H5" s="3502"/>
      <c r="I5" s="3501" t="s">
        <v>2898</v>
      </c>
      <c r="J5" s="3502"/>
      <c r="K5" s="508"/>
      <c r="L5" s="2015"/>
      <c r="M5" s="2016"/>
      <c r="N5" s="2016"/>
      <c r="O5" s="2016"/>
      <c r="P5" s="3489"/>
      <c r="Q5" s="3490"/>
      <c r="R5" s="3495"/>
      <c r="S5" s="3496"/>
      <c r="T5" s="3495"/>
      <c r="U5" s="3496"/>
      <c r="V5" s="3480"/>
      <c r="W5" s="3480"/>
      <c r="X5" s="1501"/>
      <c r="Y5" s="3495"/>
      <c r="Z5" s="3496"/>
      <c r="AA5" s="3483"/>
      <c r="AB5" s="3483"/>
      <c r="AC5" s="3483"/>
    </row>
    <row r="6" spans="1:29" ht="15.75" thickBot="1">
      <c r="A6" s="511"/>
      <c r="B6" s="512"/>
      <c r="C6" s="3499" t="s">
        <v>2899</v>
      </c>
      <c r="D6" s="3500"/>
      <c r="E6" s="3518" t="s">
        <v>2899</v>
      </c>
      <c r="F6" s="3519"/>
      <c r="G6" s="3499" t="s">
        <v>2899</v>
      </c>
      <c r="H6" s="3500"/>
      <c r="I6" s="3499" t="s">
        <v>2899</v>
      </c>
      <c r="J6" s="3500"/>
      <c r="K6" s="508" t="s">
        <v>522</v>
      </c>
      <c r="L6" s="2015"/>
      <c r="M6" s="2016"/>
      <c r="N6" s="2016"/>
      <c r="O6" s="2016"/>
      <c r="P6" s="3491"/>
      <c r="Q6" s="3492"/>
      <c r="R6" s="3495"/>
      <c r="S6" s="3496"/>
      <c r="T6" s="3497"/>
      <c r="U6" s="3498"/>
      <c r="V6" s="3480"/>
      <c r="W6" s="3480"/>
      <c r="X6" s="1501"/>
      <c r="Y6" s="3497"/>
      <c r="Z6" s="3498"/>
      <c r="AA6" s="3484"/>
      <c r="AB6" s="3484"/>
      <c r="AC6" s="3484"/>
    </row>
    <row r="7" spans="1:29" s="1202" customFormat="1" ht="15.75" thickBot="1">
      <c r="A7" s="2629"/>
      <c r="B7" s="2636" t="s">
        <v>523</v>
      </c>
      <c r="C7" s="513">
        <f>'数据-取费表'!B2</f>
        <v>44257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1" t="s">
        <v>524</v>
      </c>
      <c r="Q7" s="3513"/>
      <c r="R7" s="1502" t="s">
        <v>8</v>
      </c>
      <c r="S7" s="1503">
        <f t="shared" ref="S7:S14" si="0">F7</f>
        <v>0</v>
      </c>
      <c r="T7" s="1502" t="s">
        <v>8</v>
      </c>
      <c r="U7" s="1503">
        <f t="shared" ref="U7:U14" si="1">H7</f>
        <v>0</v>
      </c>
      <c r="V7" s="1502" t="s">
        <v>8</v>
      </c>
      <c r="W7" s="1503">
        <f t="shared" ref="W7:W14" si="2">J7</f>
        <v>0</v>
      </c>
      <c r="X7" s="1504"/>
      <c r="Y7" s="3511" t="s">
        <v>524</v>
      </c>
      <c r="Z7" s="3512"/>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1" t="s">
        <v>527</v>
      </c>
      <c r="Q8" s="3512"/>
      <c r="R8" s="1502" t="s">
        <v>8</v>
      </c>
      <c r="S8" s="1503">
        <f t="shared" si="0"/>
        <v>0</v>
      </c>
      <c r="T8" s="1502" t="s">
        <v>8</v>
      </c>
      <c r="U8" s="1503">
        <f t="shared" si="1"/>
        <v>0</v>
      </c>
      <c r="V8" s="1502" t="s">
        <v>8</v>
      </c>
      <c r="W8" s="1503">
        <f t="shared" si="2"/>
        <v>0</v>
      </c>
      <c r="X8" s="1504"/>
      <c r="Y8" s="3511" t="s">
        <v>527</v>
      </c>
      <c r="Z8" s="3512"/>
      <c r="AA8" s="1505" t="e">
        <f t="shared" ref="AA8:AA34" si="3">D8/F8</f>
        <v>#DIV/0!</v>
      </c>
      <c r="AB8" s="1505" t="e">
        <f t="shared" ref="AB8:AB34" si="4">D8/H8</f>
        <v>#DIV/0!</v>
      </c>
      <c r="AC8" s="1505" t="e">
        <f t="shared" ref="AC8:AC34" si="5">D8/J8</f>
        <v>#DIV/0!</v>
      </c>
    </row>
    <row r="9" spans="1:29" s="1202"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9" t="s">
        <v>529</v>
      </c>
      <c r="Q9" s="1133" t="str">
        <f t="shared" ref="Q9:Q14" si="6">B9</f>
        <v>用途</v>
      </c>
      <c r="R9" s="1502" t="s">
        <v>8</v>
      </c>
      <c r="S9" s="1503">
        <f t="shared" si="0"/>
        <v>100</v>
      </c>
      <c r="T9" s="1502" t="s">
        <v>8</v>
      </c>
      <c r="U9" s="1503">
        <f t="shared" si="1"/>
        <v>100</v>
      </c>
      <c r="V9" s="1502" t="s">
        <v>8</v>
      </c>
      <c r="W9" s="1503">
        <f t="shared" si="2"/>
        <v>100</v>
      </c>
      <c r="X9" s="1504"/>
      <c r="Y9" s="3425"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9"/>
      <c r="Q10" s="1133" t="str">
        <f t="shared" si="6"/>
        <v>土地使用年限（年）</v>
      </c>
      <c r="R10" s="1502" t="s">
        <v>8</v>
      </c>
      <c r="S10" s="1503">
        <f t="shared" si="0"/>
        <v>100</v>
      </c>
      <c r="T10" s="1502" t="s">
        <v>8</v>
      </c>
      <c r="U10" s="1503">
        <f t="shared" si="1"/>
        <v>100</v>
      </c>
      <c r="V10" s="1502" t="s">
        <v>8</v>
      </c>
      <c r="W10" s="1503">
        <f t="shared" si="2"/>
        <v>100</v>
      </c>
      <c r="X10" s="1504"/>
      <c r="Y10" s="342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79"/>
      <c r="Q11" s="1133">
        <f t="shared" si="6"/>
        <v>111</v>
      </c>
      <c r="R11" s="1502" t="s">
        <v>8</v>
      </c>
      <c r="S11" s="1503">
        <f t="shared" si="0"/>
        <v>100</v>
      </c>
      <c r="T11" s="1502" t="s">
        <v>8</v>
      </c>
      <c r="U11" s="1503">
        <f t="shared" si="1"/>
        <v>100</v>
      </c>
      <c r="V11" s="1502" t="s">
        <v>8</v>
      </c>
      <c r="W11" s="1503">
        <f t="shared" si="2"/>
        <v>100</v>
      </c>
      <c r="X11" s="1504"/>
      <c r="Y11" s="342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79"/>
      <c r="Q12" s="1133">
        <f t="shared" si="6"/>
        <v>111</v>
      </c>
      <c r="R12" s="1502" t="s">
        <v>8</v>
      </c>
      <c r="S12" s="1503">
        <f t="shared" si="0"/>
        <v>100</v>
      </c>
      <c r="T12" s="1502" t="s">
        <v>8</v>
      </c>
      <c r="U12" s="1503">
        <f t="shared" si="1"/>
        <v>100</v>
      </c>
      <c r="V12" s="1502" t="s">
        <v>8</v>
      </c>
      <c r="W12" s="1503">
        <f t="shared" si="2"/>
        <v>100</v>
      </c>
      <c r="X12" s="1504"/>
      <c r="Y12" s="342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79"/>
      <c r="Q13" s="1133">
        <f t="shared" si="6"/>
        <v>111</v>
      </c>
      <c r="R13" s="1502" t="s">
        <v>8</v>
      </c>
      <c r="S13" s="1503">
        <f t="shared" si="0"/>
        <v>100</v>
      </c>
      <c r="T13" s="1502" t="s">
        <v>8</v>
      </c>
      <c r="U13" s="1503">
        <f t="shared" si="1"/>
        <v>100</v>
      </c>
      <c r="V13" s="1502" t="s">
        <v>8</v>
      </c>
      <c r="W13" s="1503">
        <f t="shared" si="2"/>
        <v>100</v>
      </c>
      <c r="X13" s="1504"/>
      <c r="Y13" s="3425"/>
      <c r="Z13" s="1132">
        <f t="shared" si="7"/>
        <v>111</v>
      </c>
      <c r="AA13" s="1505">
        <f t="shared" si="3"/>
        <v>1</v>
      </c>
      <c r="AB13" s="1505">
        <f t="shared" si="4"/>
        <v>1</v>
      </c>
      <c r="AC13" s="1505">
        <f t="shared" si="5"/>
        <v>1</v>
      </c>
    </row>
    <row r="14" spans="1:29" ht="85.5">
      <c r="A14" s="2627"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14" t="s">
        <v>534</v>
      </c>
      <c r="Q14" s="1506" t="str">
        <f t="shared" si="6"/>
        <v>交通便捷度</v>
      </c>
      <c r="R14" s="1507" t="s">
        <v>8</v>
      </c>
      <c r="S14" s="1508">
        <f t="shared" si="0"/>
        <v>100</v>
      </c>
      <c r="T14" s="1507" t="s">
        <v>8</v>
      </c>
      <c r="U14" s="1508">
        <f t="shared" si="1"/>
        <v>100</v>
      </c>
      <c r="V14" s="1507" t="s">
        <v>8</v>
      </c>
      <c r="W14" s="1508">
        <f t="shared" si="2"/>
        <v>100</v>
      </c>
      <c r="X14" s="1501"/>
      <c r="Y14" s="3514"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15"/>
      <c r="Q15" s="1506"/>
      <c r="R15" s="1507"/>
      <c r="S15" s="1508"/>
      <c r="T15" s="1507"/>
      <c r="U15" s="1508"/>
      <c r="V15" s="1507"/>
      <c r="W15" s="1508"/>
      <c r="X15" s="1501"/>
      <c r="Y15" s="3515"/>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15"/>
      <c r="Q16" s="1506" t="str">
        <f>B16</f>
        <v>公共配套设施</v>
      </c>
      <c r="R16" s="1507" t="s">
        <v>8</v>
      </c>
      <c r="S16" s="1508">
        <f>F16</f>
        <v>100</v>
      </c>
      <c r="T16" s="1507" t="s">
        <v>8</v>
      </c>
      <c r="U16" s="1508">
        <f>H16</f>
        <v>100</v>
      </c>
      <c r="V16" s="1507" t="s">
        <v>8</v>
      </c>
      <c r="W16" s="1508">
        <f>J16</f>
        <v>100</v>
      </c>
      <c r="X16" s="1501"/>
      <c r="Y16" s="3515"/>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15"/>
      <c r="Q17" s="1506"/>
      <c r="R17" s="1507"/>
      <c r="S17" s="1508"/>
      <c r="T17" s="1507"/>
      <c r="U17" s="1508"/>
      <c r="V17" s="1507"/>
      <c r="W17" s="1508"/>
      <c r="X17" s="1501"/>
      <c r="Y17" s="3515"/>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15"/>
      <c r="Q18" s="2429" t="str">
        <f>B18</f>
        <v>基础设施水平</v>
      </c>
      <c r="R18" s="1507" t="s">
        <v>8</v>
      </c>
      <c r="S18" s="1508">
        <f>F18</f>
        <v>100</v>
      </c>
      <c r="T18" s="1507" t="s">
        <v>8</v>
      </c>
      <c r="U18" s="1508">
        <f>H18</f>
        <v>100</v>
      </c>
      <c r="V18" s="1507" t="s">
        <v>8</v>
      </c>
      <c r="W18" s="1508">
        <f>J18</f>
        <v>100</v>
      </c>
      <c r="X18" s="2431"/>
      <c r="Y18" s="3515"/>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15"/>
      <c r="Q19" s="2429"/>
      <c r="R19" s="1507"/>
      <c r="S19" s="1508"/>
      <c r="T19" s="1507"/>
      <c r="U19" s="1508"/>
      <c r="V19" s="1507"/>
      <c r="W19" s="1508"/>
      <c r="X19" s="2431"/>
      <c r="Y19" s="3515"/>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15"/>
      <c r="Q20" s="1506" t="str">
        <f>B20</f>
        <v>自然及人文环境</v>
      </c>
      <c r="R20" s="1507" t="s">
        <v>8</v>
      </c>
      <c r="S20" s="1508">
        <f>F20</f>
        <v>100</v>
      </c>
      <c r="T20" s="1507" t="s">
        <v>8</v>
      </c>
      <c r="U20" s="1508">
        <f>H20</f>
        <v>100</v>
      </c>
      <c r="V20" s="1507" t="s">
        <v>8</v>
      </c>
      <c r="W20" s="1508">
        <f>J20</f>
        <v>100</v>
      </c>
      <c r="X20" s="1501"/>
      <c r="Y20" s="3515"/>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15"/>
      <c r="Q21" s="1506"/>
      <c r="R21" s="1507"/>
      <c r="S21" s="1508"/>
      <c r="T21" s="1507"/>
      <c r="U21" s="1508"/>
      <c r="V21" s="1507"/>
      <c r="W21" s="1508"/>
      <c r="X21" s="1501"/>
      <c r="Y21" s="3515"/>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15"/>
      <c r="Q22" s="1506" t="str">
        <f>B22</f>
        <v>楼层</v>
      </c>
      <c r="R22" s="1507" t="s">
        <v>8</v>
      </c>
      <c r="S22" s="1508">
        <f>F22</f>
        <v>100</v>
      </c>
      <c r="T22" s="1507" t="s">
        <v>8</v>
      </c>
      <c r="U22" s="1508">
        <f>H22</f>
        <v>100</v>
      </c>
      <c r="V22" s="1507" t="s">
        <v>8</v>
      </c>
      <c r="W22" s="1508">
        <f>J22</f>
        <v>100</v>
      </c>
      <c r="X22" s="1501"/>
      <c r="Y22" s="3515"/>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15"/>
      <c r="Q23" s="1506">
        <f>B23</f>
        <v>111</v>
      </c>
      <c r="R23" s="1507" t="s">
        <v>8</v>
      </c>
      <c r="S23" s="1508">
        <f>F23</f>
        <v>100</v>
      </c>
      <c r="T23" s="1507" t="s">
        <v>8</v>
      </c>
      <c r="U23" s="1508">
        <f>H23</f>
        <v>100</v>
      </c>
      <c r="V23" s="1507" t="s">
        <v>8</v>
      </c>
      <c r="W23" s="1508">
        <f>J23</f>
        <v>100</v>
      </c>
      <c r="X23" s="1501"/>
      <c r="Y23" s="3515"/>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15"/>
      <c r="Q24" s="1506">
        <f t="shared" ref="Q24:Q34" si="11">B24</f>
        <v>111</v>
      </c>
      <c r="R24" s="1507" t="s">
        <v>8</v>
      </c>
      <c r="S24" s="1508">
        <f>F24</f>
        <v>100</v>
      </c>
      <c r="T24" s="1507" t="s">
        <v>8</v>
      </c>
      <c r="U24" s="1508">
        <f>H24</f>
        <v>100</v>
      </c>
      <c r="V24" s="1507" t="s">
        <v>8</v>
      </c>
      <c r="W24" s="1508">
        <f>J24</f>
        <v>100</v>
      </c>
      <c r="X24" s="1501"/>
      <c r="Y24" s="3515"/>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15"/>
      <c r="Q25" s="1133">
        <f t="shared" si="11"/>
        <v>111</v>
      </c>
      <c r="R25" s="1502" t="s">
        <v>8</v>
      </c>
      <c r="S25" s="1503">
        <f>F25</f>
        <v>100</v>
      </c>
      <c r="T25" s="1502" t="s">
        <v>8</v>
      </c>
      <c r="U25" s="1503">
        <f>H25</f>
        <v>100</v>
      </c>
      <c r="V25" s="1502" t="s">
        <v>8</v>
      </c>
      <c r="W25" s="1503">
        <f>J25</f>
        <v>100</v>
      </c>
      <c r="X25" s="1504"/>
      <c r="Y25" s="3515"/>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16"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7"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17"/>
      <c r="Q27" s="1535" t="str">
        <f t="shared" si="11"/>
        <v>成新率</v>
      </c>
      <c r="R27" s="1511" t="s">
        <v>8</v>
      </c>
      <c r="S27" s="1512" t="e">
        <f t="shared" si="12"/>
        <v>#N/A</v>
      </c>
      <c r="T27" s="1511" t="s">
        <v>8</v>
      </c>
      <c r="U27" s="1512" t="e">
        <f t="shared" si="13"/>
        <v>#N/A</v>
      </c>
      <c r="V27" s="1511" t="s">
        <v>8</v>
      </c>
      <c r="W27" s="1512" t="e">
        <f t="shared" si="14"/>
        <v>#N/A</v>
      </c>
      <c r="X27" s="1513"/>
      <c r="Y27" s="3517"/>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7"/>
      <c r="Q28" s="1506" t="str">
        <f t="shared" si="11"/>
        <v>物业等级</v>
      </c>
      <c r="R28" s="1507" t="s">
        <v>8</v>
      </c>
      <c r="S28" s="1508">
        <f t="shared" si="12"/>
        <v>100</v>
      </c>
      <c r="T28" s="1507" t="s">
        <v>8</v>
      </c>
      <c r="U28" s="1508">
        <f t="shared" si="13"/>
        <v>100</v>
      </c>
      <c r="V28" s="1507" t="s">
        <v>8</v>
      </c>
      <c r="W28" s="1508">
        <f t="shared" si="14"/>
        <v>100</v>
      </c>
      <c r="X28" s="1501"/>
      <c r="Y28" s="3517"/>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17"/>
      <c r="Q29" s="1506" t="str">
        <f t="shared" si="11"/>
        <v>有无电梯</v>
      </c>
      <c r="R29" s="1507" t="s">
        <v>8</v>
      </c>
      <c r="S29" s="1508">
        <f t="shared" si="12"/>
        <v>100</v>
      </c>
      <c r="T29" s="1507" t="s">
        <v>8</v>
      </c>
      <c r="U29" s="1508">
        <f t="shared" si="13"/>
        <v>100</v>
      </c>
      <c r="V29" s="1507" t="s">
        <v>8</v>
      </c>
      <c r="W29" s="1508">
        <f t="shared" si="14"/>
        <v>100</v>
      </c>
      <c r="X29" s="1501"/>
      <c r="Y29" s="3517"/>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17"/>
      <c r="Q30" s="1506" t="str">
        <f t="shared" si="11"/>
        <v>建筑面积</v>
      </c>
      <c r="R30" s="1507" t="s">
        <v>8</v>
      </c>
      <c r="S30" s="1508" t="e">
        <f t="shared" si="12"/>
        <v>#N/A</v>
      </c>
      <c r="T30" s="1507" t="s">
        <v>8</v>
      </c>
      <c r="U30" s="1508" t="e">
        <f t="shared" si="13"/>
        <v>#N/A</v>
      </c>
      <c r="V30" s="1507" t="s">
        <v>8</v>
      </c>
      <c r="W30" s="1508" t="e">
        <f t="shared" si="14"/>
        <v>#N/A</v>
      </c>
      <c r="X30" s="1501"/>
      <c r="Y30" s="3517"/>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17"/>
      <c r="Q31" s="1133" t="str">
        <f t="shared" si="11"/>
        <v>是否封闭</v>
      </c>
      <c r="R31" s="1502" t="s">
        <v>8</v>
      </c>
      <c r="S31" s="1503">
        <f t="shared" si="12"/>
        <v>100</v>
      </c>
      <c r="T31" s="1502" t="s">
        <v>8</v>
      </c>
      <c r="U31" s="1503">
        <f t="shared" si="13"/>
        <v>100</v>
      </c>
      <c r="V31" s="1502" t="s">
        <v>8</v>
      </c>
      <c r="W31" s="1503">
        <f t="shared" si="14"/>
        <v>100</v>
      </c>
      <c r="X31" s="1504"/>
      <c r="Y31" s="3517"/>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17" t="s">
        <v>544</v>
      </c>
      <c r="Q32" s="1506">
        <f t="shared" si="11"/>
        <v>111</v>
      </c>
      <c r="R32" s="1507" t="s">
        <v>8</v>
      </c>
      <c r="S32" s="1508">
        <f t="shared" si="12"/>
        <v>100</v>
      </c>
      <c r="T32" s="1507" t="s">
        <v>8</v>
      </c>
      <c r="U32" s="1508">
        <f t="shared" si="13"/>
        <v>100</v>
      </c>
      <c r="V32" s="1507" t="s">
        <v>8</v>
      </c>
      <c r="W32" s="1508">
        <f t="shared" si="14"/>
        <v>100</v>
      </c>
      <c r="X32" s="1501"/>
      <c r="Y32" s="3517"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17"/>
      <c r="Q33" s="1506">
        <f t="shared" si="11"/>
        <v>111</v>
      </c>
      <c r="R33" s="1507" t="s">
        <v>8</v>
      </c>
      <c r="S33" s="1508">
        <f t="shared" si="12"/>
        <v>100</v>
      </c>
      <c r="T33" s="1507" t="s">
        <v>8</v>
      </c>
      <c r="U33" s="1508">
        <f t="shared" si="13"/>
        <v>100</v>
      </c>
      <c r="V33" s="1507" t="s">
        <v>8</v>
      </c>
      <c r="W33" s="1508">
        <f t="shared" si="14"/>
        <v>100</v>
      </c>
      <c r="X33" s="1501"/>
      <c r="Y33" s="3517"/>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17"/>
      <c r="Q34" s="1506">
        <f t="shared" si="11"/>
        <v>111</v>
      </c>
      <c r="R34" s="1507" t="s">
        <v>8</v>
      </c>
      <c r="S34" s="1508">
        <f t="shared" si="12"/>
        <v>100</v>
      </c>
      <c r="T34" s="1507" t="s">
        <v>8</v>
      </c>
      <c r="U34" s="1508">
        <f t="shared" si="13"/>
        <v>100</v>
      </c>
      <c r="V34" s="1507" t="s">
        <v>8</v>
      </c>
      <c r="W34" s="1508">
        <f t="shared" si="14"/>
        <v>100</v>
      </c>
      <c r="X34" s="1501"/>
      <c r="Y34" s="3517"/>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79" t="str">
        <f>A35</f>
        <v>成交单价（元/平方米）</v>
      </c>
      <c r="Q35" s="3479"/>
      <c r="R35" s="3598">
        <f>E35</f>
        <v>0</v>
      </c>
      <c r="S35" s="3598"/>
      <c r="T35" s="3598">
        <f>G35</f>
        <v>0</v>
      </c>
      <c r="U35" s="3598"/>
      <c r="V35" s="3598">
        <f>I35</f>
        <v>0</v>
      </c>
      <c r="W35" s="3598"/>
      <c r="X35" s="1496"/>
      <c r="Y35" s="1515"/>
      <c r="Z35" s="1496"/>
      <c r="AA35" s="1496"/>
      <c r="AB35" s="1496"/>
      <c r="AC35" s="1496"/>
    </row>
    <row r="36" spans="1:29" ht="15.75" thickBot="1">
      <c r="A36" s="609" t="s">
        <v>2740</v>
      </c>
      <c r="B36" s="876"/>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479" t="str">
        <f>A36</f>
        <v>比较价格（元/平方米）</v>
      </c>
      <c r="Q36" s="3479"/>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1496"/>
      <c r="Y36" s="1496"/>
      <c r="Z36" s="1496"/>
      <c r="AA36" s="1496"/>
      <c r="AB36" s="1496"/>
      <c r="AC36" s="1496"/>
    </row>
    <row r="37" spans="1:29" ht="15.75" thickBot="1">
      <c r="A37" s="613" t="s">
        <v>2901</v>
      </c>
      <c r="B37" s="614"/>
      <c r="C37" s="2478" t="e">
        <f>R37</f>
        <v>#DIV/0!</v>
      </c>
      <c r="D37" s="2478"/>
      <c r="E37" s="2478"/>
      <c r="F37" s="2478"/>
      <c r="G37" s="2478"/>
      <c r="H37" s="2478"/>
      <c r="I37" s="2478"/>
      <c r="J37" s="2478"/>
      <c r="K37" s="1541"/>
      <c r="L37" s="2026"/>
      <c r="M37" s="2027"/>
      <c r="N37" s="2027"/>
      <c r="O37" s="2027"/>
      <c r="P37" s="3476" t="str">
        <f>A37</f>
        <v>估价对象XX用房的比较价格（楼面单价，元/平方米）</v>
      </c>
      <c r="Q37" s="3477"/>
      <c r="R37" s="3597" t="e">
        <f>IF(F1="售价",ROUND(IF(D36="简单平均",AVERAGE(R36:W36),R36*F36+T36*H36+V36*J36),0),ROUND(IF(D36="简单平均",AVERAGE(R36:V36),R36*F36+T36*H36+V36*J36),1))</f>
        <v>#DIV/0!</v>
      </c>
      <c r="S37" s="3597"/>
      <c r="T37" s="3597"/>
      <c r="U37" s="3597"/>
      <c r="V37" s="3597"/>
      <c r="W37" s="3597"/>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1" t="s">
        <v>2292</v>
      </c>
      <c r="D1" s="3612"/>
      <c r="E1" s="3612"/>
      <c r="F1" s="3612"/>
      <c r="G1" s="3612"/>
      <c r="H1" s="3612"/>
      <c r="I1" s="3612"/>
      <c r="J1" s="3612"/>
      <c r="K1" s="3612"/>
      <c r="L1" s="3612"/>
      <c r="M1" s="3612"/>
      <c r="N1" s="3612"/>
      <c r="O1" s="3612"/>
      <c r="P1" s="3612"/>
      <c r="Q1" s="3612"/>
      <c r="R1" s="3612"/>
      <c r="S1" s="3613"/>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2894</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2893</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2892</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2905</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2891</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2890</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2" customFormat="1" ht="24">
      <c r="A23" s="17" t="s">
        <v>824</v>
      </c>
      <c r="B23" s="2861"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6">
        <v>1</v>
      </c>
      <c r="D24" s="3277"/>
      <c r="E24" s="3276">
        <v>1</v>
      </c>
      <c r="F24" s="3277"/>
      <c r="G24" s="3276">
        <v>1</v>
      </c>
      <c r="H24" s="3277"/>
      <c r="I24" s="3276">
        <v>1</v>
      </c>
      <c r="J24" s="3277"/>
      <c r="K24" s="3276">
        <v>1</v>
      </c>
      <c r="L24" s="3277"/>
      <c r="M24" s="3276">
        <v>1</v>
      </c>
      <c r="N24" s="3277"/>
      <c r="O24" s="3276">
        <v>1</v>
      </c>
      <c r="P24" s="3277"/>
      <c r="Q24" s="3276">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扬中绿洲新城实业集团有限公司：</v>
      </c>
    </row>
    <row r="4" spans="1:4" ht="37.5">
      <c r="A4" s="1706" t="str">
        <f>"受贵公司委托，我公司对"&amp;项目基本情况!K2&amp;项目基本情况!B9&amp;"进行了预评估。"</f>
        <v>受贵公司委托，我公司对江苏省镇江市扬中市油坊镇出让国有建设用地使用权抵押价格进行了预评估。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93.75">
      <c r="A7" s="2590" t="s">
        <v>2728</v>
      </c>
    </row>
    <row r="8" spans="1:4" ht="18.75">
      <c r="A8" s="1709" t="s">
        <v>1897</v>
      </c>
    </row>
    <row r="9" spans="1:4" ht="75">
      <c r="A9" s="171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2021年3月2日</v>
      </c>
    </row>
    <row r="12" spans="1:4" ht="18.75">
      <c r="A12" s="1712" t="s">
        <v>2014</v>
      </c>
    </row>
    <row r="13" spans="1:4" ht="18.75">
      <c r="A13" s="1706" t="s">
        <v>2060</v>
      </c>
    </row>
    <row r="14" spans="1:4" ht="37.5">
      <c r="A14" s="1706" t="str">
        <f>"根据"&amp;项目基本情况!F12&amp;"，本次评估估价对象证载（地类）用途为"&amp;项目基本情况!B12&amp;"。"</f>
        <v>根据《不动产权证书》[苏（2019）扬中市不动产权第9000044号]，本次评估估价对象证载（地类）用途为其它商服用地。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93.75">
      <c r="A25" s="1706" t="str">
        <f>定义!C53</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44257</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2</v>
      </c>
      <c r="D2" s="2717" t="s">
        <v>2768</v>
      </c>
      <c r="E2" s="2720">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v>
      </c>
      <c r="D3" s="2717" t="s">
        <v>2768</v>
      </c>
      <c r="E3" s="2720">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3001</v>
      </c>
      <c r="C17" s="2710">
        <v>43697</v>
      </c>
      <c r="D17" s="3278">
        <v>4.25</v>
      </c>
      <c r="E17" s="3278">
        <v>4.25</v>
      </c>
      <c r="F17" s="3278">
        <v>4.25</v>
      </c>
      <c r="G17" s="3278">
        <v>4.25</v>
      </c>
      <c r="H17" s="3278">
        <v>4.8499999999999996</v>
      </c>
      <c r="I17" s="3278"/>
      <c r="J17" s="3278"/>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2797</v>
      </c>
      <c r="J59" s="2707" t="s">
        <v>2797</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pane ySplit="1" topLeftCell="A22" activePane="bottomLeft" state="frozen"/>
      <selection pane="bottomLeft" activeCell="A28" sqref="A28:XFD28"/>
    </sheetView>
  </sheetViews>
  <sheetFormatPr defaultRowHeight="13.5"/>
  <cols>
    <col min="1" max="1" width="27.625" style="3287" customWidth="1"/>
    <col min="2" max="2" width="6.25" style="3287" hidden="1" customWidth="1"/>
    <col min="3" max="3" width="11.625" style="3288" customWidth="1"/>
    <col min="4" max="5" width="12.125" style="3287" customWidth="1"/>
    <col min="6" max="6" width="17.25" style="3288" customWidth="1"/>
    <col min="7" max="7" width="7.875" style="3287" hidden="1" customWidth="1"/>
    <col min="8" max="8" width="15.625" style="3287" hidden="1" customWidth="1"/>
    <col min="9" max="9" width="9" style="3287" hidden="1" customWidth="1"/>
    <col min="10" max="10" width="11.375" style="3287" customWidth="1"/>
    <col min="11" max="11" width="10.625" style="3287" hidden="1" customWidth="1"/>
    <col min="12" max="12" width="10.625" style="3287" customWidth="1"/>
    <col min="13" max="13" width="14.375" style="3287" customWidth="1"/>
    <col min="14" max="14" width="6.25" style="3287" customWidth="1"/>
    <col min="15" max="15" width="28.875" style="3287" customWidth="1"/>
    <col min="16" max="16" width="7.875" style="3287" customWidth="1"/>
    <col min="17" max="256" width="9" style="3287"/>
    <col min="257" max="257" width="47.625" style="3287" customWidth="1"/>
    <col min="258" max="258" width="6.25" style="3287" customWidth="1"/>
    <col min="259" max="261" width="13.875" style="3287" customWidth="1"/>
    <col min="262" max="262" width="26.125" style="3287" customWidth="1"/>
    <col min="263" max="263" width="7.875" style="3287" customWidth="1"/>
    <col min="264" max="264" width="29.375" style="3287" customWidth="1"/>
    <col min="265" max="266" width="9" style="3287" customWidth="1"/>
    <col min="267" max="268" width="10.625" style="3287" customWidth="1"/>
    <col min="269" max="269" width="14.375" style="3287" customWidth="1"/>
    <col min="270" max="270" width="6.25" style="3287" customWidth="1"/>
    <col min="271" max="271" width="45.875" style="3287" customWidth="1"/>
    <col min="272" max="272" width="7.875" style="3287" customWidth="1"/>
    <col min="273" max="512" width="9" style="3287"/>
    <col min="513" max="513" width="47.625" style="3287" customWidth="1"/>
    <col min="514" max="514" width="6.25" style="3287" customWidth="1"/>
    <col min="515" max="517" width="13.875" style="3287" customWidth="1"/>
    <col min="518" max="518" width="26.125" style="3287" customWidth="1"/>
    <col min="519" max="519" width="7.875" style="3287" customWidth="1"/>
    <col min="520" max="520" width="29.375" style="3287" customWidth="1"/>
    <col min="521" max="522" width="9" style="3287" customWidth="1"/>
    <col min="523" max="524" width="10.625" style="3287" customWidth="1"/>
    <col min="525" max="525" width="14.375" style="3287" customWidth="1"/>
    <col min="526" max="526" width="6.25" style="3287" customWidth="1"/>
    <col min="527" max="527" width="45.875" style="3287" customWidth="1"/>
    <col min="528" max="528" width="7.875" style="3287" customWidth="1"/>
    <col min="529" max="768" width="9" style="3287"/>
    <col min="769" max="769" width="47.625" style="3287" customWidth="1"/>
    <col min="770" max="770" width="6.25" style="3287" customWidth="1"/>
    <col min="771" max="773" width="13.875" style="3287" customWidth="1"/>
    <col min="774" max="774" width="26.125" style="3287" customWidth="1"/>
    <col min="775" max="775" width="7.875" style="3287" customWidth="1"/>
    <col min="776" max="776" width="29.375" style="3287" customWidth="1"/>
    <col min="777" max="778" width="9" style="3287" customWidth="1"/>
    <col min="779" max="780" width="10.625" style="3287" customWidth="1"/>
    <col min="781" max="781" width="14.375" style="3287" customWidth="1"/>
    <col min="782" max="782" width="6.25" style="3287" customWidth="1"/>
    <col min="783" max="783" width="45.875" style="3287" customWidth="1"/>
    <col min="784" max="784" width="7.875" style="3287" customWidth="1"/>
    <col min="785" max="1024" width="9" style="3287"/>
    <col min="1025" max="1025" width="47.625" style="3287" customWidth="1"/>
    <col min="1026" max="1026" width="6.25" style="3287" customWidth="1"/>
    <col min="1027" max="1029" width="13.875" style="3287" customWidth="1"/>
    <col min="1030" max="1030" width="26.125" style="3287" customWidth="1"/>
    <col min="1031" max="1031" width="7.875" style="3287" customWidth="1"/>
    <col min="1032" max="1032" width="29.375" style="3287" customWidth="1"/>
    <col min="1033" max="1034" width="9" style="3287" customWidth="1"/>
    <col min="1035" max="1036" width="10.625" style="3287" customWidth="1"/>
    <col min="1037" max="1037" width="14.375" style="3287" customWidth="1"/>
    <col min="1038" max="1038" width="6.25" style="3287" customWidth="1"/>
    <col min="1039" max="1039" width="45.875" style="3287" customWidth="1"/>
    <col min="1040" max="1040" width="7.875" style="3287" customWidth="1"/>
    <col min="1041" max="1280" width="9" style="3287"/>
    <col min="1281" max="1281" width="47.625" style="3287" customWidth="1"/>
    <col min="1282" max="1282" width="6.25" style="3287" customWidth="1"/>
    <col min="1283" max="1285" width="13.875" style="3287" customWidth="1"/>
    <col min="1286" max="1286" width="26.125" style="3287" customWidth="1"/>
    <col min="1287" max="1287" width="7.875" style="3287" customWidth="1"/>
    <col min="1288" max="1288" width="29.375" style="3287" customWidth="1"/>
    <col min="1289" max="1290" width="9" style="3287" customWidth="1"/>
    <col min="1291" max="1292" width="10.625" style="3287" customWidth="1"/>
    <col min="1293" max="1293" width="14.375" style="3287" customWidth="1"/>
    <col min="1294" max="1294" width="6.25" style="3287" customWidth="1"/>
    <col min="1295" max="1295" width="45.875" style="3287" customWidth="1"/>
    <col min="1296" max="1296" width="7.875" style="3287" customWidth="1"/>
    <col min="1297" max="1536" width="9" style="3287"/>
    <col min="1537" max="1537" width="47.625" style="3287" customWidth="1"/>
    <col min="1538" max="1538" width="6.25" style="3287" customWidth="1"/>
    <col min="1539" max="1541" width="13.875" style="3287" customWidth="1"/>
    <col min="1542" max="1542" width="26.125" style="3287" customWidth="1"/>
    <col min="1543" max="1543" width="7.875" style="3287" customWidth="1"/>
    <col min="1544" max="1544" width="29.375" style="3287" customWidth="1"/>
    <col min="1545" max="1546" width="9" style="3287" customWidth="1"/>
    <col min="1547" max="1548" width="10.625" style="3287" customWidth="1"/>
    <col min="1549" max="1549" width="14.375" style="3287" customWidth="1"/>
    <col min="1550" max="1550" width="6.25" style="3287" customWidth="1"/>
    <col min="1551" max="1551" width="45.875" style="3287" customWidth="1"/>
    <col min="1552" max="1552" width="7.875" style="3287" customWidth="1"/>
    <col min="1553" max="1792" width="9" style="3287"/>
    <col min="1793" max="1793" width="47.625" style="3287" customWidth="1"/>
    <col min="1794" max="1794" width="6.25" style="3287" customWidth="1"/>
    <col min="1795" max="1797" width="13.875" style="3287" customWidth="1"/>
    <col min="1798" max="1798" width="26.125" style="3287" customWidth="1"/>
    <col min="1799" max="1799" width="7.875" style="3287" customWidth="1"/>
    <col min="1800" max="1800" width="29.375" style="3287" customWidth="1"/>
    <col min="1801" max="1802" width="9" style="3287" customWidth="1"/>
    <col min="1803" max="1804" width="10.625" style="3287" customWidth="1"/>
    <col min="1805" max="1805" width="14.375" style="3287" customWidth="1"/>
    <col min="1806" max="1806" width="6.25" style="3287" customWidth="1"/>
    <col min="1807" max="1807" width="45.875" style="3287" customWidth="1"/>
    <col min="1808" max="1808" width="7.875" style="3287" customWidth="1"/>
    <col min="1809" max="2048" width="9" style="3287"/>
    <col min="2049" max="2049" width="47.625" style="3287" customWidth="1"/>
    <col min="2050" max="2050" width="6.25" style="3287" customWidth="1"/>
    <col min="2051" max="2053" width="13.875" style="3287" customWidth="1"/>
    <col min="2054" max="2054" width="26.125" style="3287" customWidth="1"/>
    <col min="2055" max="2055" width="7.875" style="3287" customWidth="1"/>
    <col min="2056" max="2056" width="29.375" style="3287" customWidth="1"/>
    <col min="2057" max="2058" width="9" style="3287" customWidth="1"/>
    <col min="2059" max="2060" width="10.625" style="3287" customWidth="1"/>
    <col min="2061" max="2061" width="14.375" style="3287" customWidth="1"/>
    <col min="2062" max="2062" width="6.25" style="3287" customWidth="1"/>
    <col min="2063" max="2063" width="45.875" style="3287" customWidth="1"/>
    <col min="2064" max="2064" width="7.875" style="3287" customWidth="1"/>
    <col min="2065" max="2304" width="9" style="3287"/>
    <col min="2305" max="2305" width="47.625" style="3287" customWidth="1"/>
    <col min="2306" max="2306" width="6.25" style="3287" customWidth="1"/>
    <col min="2307" max="2309" width="13.875" style="3287" customWidth="1"/>
    <col min="2310" max="2310" width="26.125" style="3287" customWidth="1"/>
    <col min="2311" max="2311" width="7.875" style="3287" customWidth="1"/>
    <col min="2312" max="2312" width="29.375" style="3287" customWidth="1"/>
    <col min="2313" max="2314" width="9" style="3287" customWidth="1"/>
    <col min="2315" max="2316" width="10.625" style="3287" customWidth="1"/>
    <col min="2317" max="2317" width="14.375" style="3287" customWidth="1"/>
    <col min="2318" max="2318" width="6.25" style="3287" customWidth="1"/>
    <col min="2319" max="2319" width="45.875" style="3287" customWidth="1"/>
    <col min="2320" max="2320" width="7.875" style="3287" customWidth="1"/>
    <col min="2321" max="2560" width="9" style="3287"/>
    <col min="2561" max="2561" width="47.625" style="3287" customWidth="1"/>
    <col min="2562" max="2562" width="6.25" style="3287" customWidth="1"/>
    <col min="2563" max="2565" width="13.875" style="3287" customWidth="1"/>
    <col min="2566" max="2566" width="26.125" style="3287" customWidth="1"/>
    <col min="2567" max="2567" width="7.875" style="3287" customWidth="1"/>
    <col min="2568" max="2568" width="29.375" style="3287" customWidth="1"/>
    <col min="2569" max="2570" width="9" style="3287" customWidth="1"/>
    <col min="2571" max="2572" width="10.625" style="3287" customWidth="1"/>
    <col min="2573" max="2573" width="14.375" style="3287" customWidth="1"/>
    <col min="2574" max="2574" width="6.25" style="3287" customWidth="1"/>
    <col min="2575" max="2575" width="45.875" style="3287" customWidth="1"/>
    <col min="2576" max="2576" width="7.875" style="3287" customWidth="1"/>
    <col min="2577" max="2816" width="9" style="3287"/>
    <col min="2817" max="2817" width="47.625" style="3287" customWidth="1"/>
    <col min="2818" max="2818" width="6.25" style="3287" customWidth="1"/>
    <col min="2819" max="2821" width="13.875" style="3287" customWidth="1"/>
    <col min="2822" max="2822" width="26.125" style="3287" customWidth="1"/>
    <col min="2823" max="2823" width="7.875" style="3287" customWidth="1"/>
    <col min="2824" max="2824" width="29.375" style="3287" customWidth="1"/>
    <col min="2825" max="2826" width="9" style="3287" customWidth="1"/>
    <col min="2827" max="2828" width="10.625" style="3287" customWidth="1"/>
    <col min="2829" max="2829" width="14.375" style="3287" customWidth="1"/>
    <col min="2830" max="2830" width="6.25" style="3287" customWidth="1"/>
    <col min="2831" max="2831" width="45.875" style="3287" customWidth="1"/>
    <col min="2832" max="2832" width="7.875" style="3287" customWidth="1"/>
    <col min="2833" max="3072" width="9" style="3287"/>
    <col min="3073" max="3073" width="47.625" style="3287" customWidth="1"/>
    <col min="3074" max="3074" width="6.25" style="3287" customWidth="1"/>
    <col min="3075" max="3077" width="13.875" style="3287" customWidth="1"/>
    <col min="3078" max="3078" width="26.125" style="3287" customWidth="1"/>
    <col min="3079" max="3079" width="7.875" style="3287" customWidth="1"/>
    <col min="3080" max="3080" width="29.375" style="3287" customWidth="1"/>
    <col min="3081" max="3082" width="9" style="3287" customWidth="1"/>
    <col min="3083" max="3084" width="10.625" style="3287" customWidth="1"/>
    <col min="3085" max="3085" width="14.375" style="3287" customWidth="1"/>
    <col min="3086" max="3086" width="6.25" style="3287" customWidth="1"/>
    <col min="3087" max="3087" width="45.875" style="3287" customWidth="1"/>
    <col min="3088" max="3088" width="7.875" style="3287" customWidth="1"/>
    <col min="3089" max="3328" width="9" style="3287"/>
    <col min="3329" max="3329" width="47.625" style="3287" customWidth="1"/>
    <col min="3330" max="3330" width="6.25" style="3287" customWidth="1"/>
    <col min="3331" max="3333" width="13.875" style="3287" customWidth="1"/>
    <col min="3334" max="3334" width="26.125" style="3287" customWidth="1"/>
    <col min="3335" max="3335" width="7.875" style="3287" customWidth="1"/>
    <col min="3336" max="3336" width="29.375" style="3287" customWidth="1"/>
    <col min="3337" max="3338" width="9" style="3287" customWidth="1"/>
    <col min="3339" max="3340" width="10.625" style="3287" customWidth="1"/>
    <col min="3341" max="3341" width="14.375" style="3287" customWidth="1"/>
    <col min="3342" max="3342" width="6.25" style="3287" customWidth="1"/>
    <col min="3343" max="3343" width="45.875" style="3287" customWidth="1"/>
    <col min="3344" max="3344" width="7.875" style="3287" customWidth="1"/>
    <col min="3345" max="3584" width="9" style="3287"/>
    <col min="3585" max="3585" width="47.625" style="3287" customWidth="1"/>
    <col min="3586" max="3586" width="6.25" style="3287" customWidth="1"/>
    <col min="3587" max="3589" width="13.875" style="3287" customWidth="1"/>
    <col min="3590" max="3590" width="26.125" style="3287" customWidth="1"/>
    <col min="3591" max="3591" width="7.875" style="3287" customWidth="1"/>
    <col min="3592" max="3592" width="29.375" style="3287" customWidth="1"/>
    <col min="3593" max="3594" width="9" style="3287" customWidth="1"/>
    <col min="3595" max="3596" width="10.625" style="3287" customWidth="1"/>
    <col min="3597" max="3597" width="14.375" style="3287" customWidth="1"/>
    <col min="3598" max="3598" width="6.25" style="3287" customWidth="1"/>
    <col min="3599" max="3599" width="45.875" style="3287" customWidth="1"/>
    <col min="3600" max="3600" width="7.875" style="3287" customWidth="1"/>
    <col min="3601" max="3840" width="9" style="3287"/>
    <col min="3841" max="3841" width="47.625" style="3287" customWidth="1"/>
    <col min="3842" max="3842" width="6.25" style="3287" customWidth="1"/>
    <col min="3843" max="3845" width="13.875" style="3287" customWidth="1"/>
    <col min="3846" max="3846" width="26.125" style="3287" customWidth="1"/>
    <col min="3847" max="3847" width="7.875" style="3287" customWidth="1"/>
    <col min="3848" max="3848" width="29.375" style="3287" customWidth="1"/>
    <col min="3849" max="3850" width="9" style="3287" customWidth="1"/>
    <col min="3851" max="3852" width="10.625" style="3287" customWidth="1"/>
    <col min="3853" max="3853" width="14.375" style="3287" customWidth="1"/>
    <col min="3854" max="3854" width="6.25" style="3287" customWidth="1"/>
    <col min="3855" max="3855" width="45.875" style="3287" customWidth="1"/>
    <col min="3856" max="3856" width="7.875" style="3287" customWidth="1"/>
    <col min="3857" max="4096" width="9" style="3287"/>
    <col min="4097" max="4097" width="47.625" style="3287" customWidth="1"/>
    <col min="4098" max="4098" width="6.25" style="3287" customWidth="1"/>
    <col min="4099" max="4101" width="13.875" style="3287" customWidth="1"/>
    <col min="4102" max="4102" width="26.125" style="3287" customWidth="1"/>
    <col min="4103" max="4103" width="7.875" style="3287" customWidth="1"/>
    <col min="4104" max="4104" width="29.375" style="3287" customWidth="1"/>
    <col min="4105" max="4106" width="9" style="3287" customWidth="1"/>
    <col min="4107" max="4108" width="10.625" style="3287" customWidth="1"/>
    <col min="4109" max="4109" width="14.375" style="3287" customWidth="1"/>
    <col min="4110" max="4110" width="6.25" style="3287" customWidth="1"/>
    <col min="4111" max="4111" width="45.875" style="3287" customWidth="1"/>
    <col min="4112" max="4112" width="7.875" style="3287" customWidth="1"/>
    <col min="4113" max="4352" width="9" style="3287"/>
    <col min="4353" max="4353" width="47.625" style="3287" customWidth="1"/>
    <col min="4354" max="4354" width="6.25" style="3287" customWidth="1"/>
    <col min="4355" max="4357" width="13.875" style="3287" customWidth="1"/>
    <col min="4358" max="4358" width="26.125" style="3287" customWidth="1"/>
    <col min="4359" max="4359" width="7.875" style="3287" customWidth="1"/>
    <col min="4360" max="4360" width="29.375" style="3287" customWidth="1"/>
    <col min="4361" max="4362" width="9" style="3287" customWidth="1"/>
    <col min="4363" max="4364" width="10.625" style="3287" customWidth="1"/>
    <col min="4365" max="4365" width="14.375" style="3287" customWidth="1"/>
    <col min="4366" max="4366" width="6.25" style="3287" customWidth="1"/>
    <col min="4367" max="4367" width="45.875" style="3287" customWidth="1"/>
    <col min="4368" max="4368" width="7.875" style="3287" customWidth="1"/>
    <col min="4369" max="4608" width="9" style="3287"/>
    <col min="4609" max="4609" width="47.625" style="3287" customWidth="1"/>
    <col min="4610" max="4610" width="6.25" style="3287" customWidth="1"/>
    <col min="4611" max="4613" width="13.875" style="3287" customWidth="1"/>
    <col min="4614" max="4614" width="26.125" style="3287" customWidth="1"/>
    <col min="4615" max="4615" width="7.875" style="3287" customWidth="1"/>
    <col min="4616" max="4616" width="29.375" style="3287" customWidth="1"/>
    <col min="4617" max="4618" width="9" style="3287" customWidth="1"/>
    <col min="4619" max="4620" width="10.625" style="3287" customWidth="1"/>
    <col min="4621" max="4621" width="14.375" style="3287" customWidth="1"/>
    <col min="4622" max="4622" width="6.25" style="3287" customWidth="1"/>
    <col min="4623" max="4623" width="45.875" style="3287" customWidth="1"/>
    <col min="4624" max="4624" width="7.875" style="3287" customWidth="1"/>
    <col min="4625" max="4864" width="9" style="3287"/>
    <col min="4865" max="4865" width="47.625" style="3287" customWidth="1"/>
    <col min="4866" max="4866" width="6.25" style="3287" customWidth="1"/>
    <col min="4867" max="4869" width="13.875" style="3287" customWidth="1"/>
    <col min="4870" max="4870" width="26.125" style="3287" customWidth="1"/>
    <col min="4871" max="4871" width="7.875" style="3287" customWidth="1"/>
    <col min="4872" max="4872" width="29.375" style="3287" customWidth="1"/>
    <col min="4873" max="4874" width="9" style="3287" customWidth="1"/>
    <col min="4875" max="4876" width="10.625" style="3287" customWidth="1"/>
    <col min="4877" max="4877" width="14.375" style="3287" customWidth="1"/>
    <col min="4878" max="4878" width="6.25" style="3287" customWidth="1"/>
    <col min="4879" max="4879" width="45.875" style="3287" customWidth="1"/>
    <col min="4880" max="4880" width="7.875" style="3287" customWidth="1"/>
    <col min="4881" max="5120" width="9" style="3287"/>
    <col min="5121" max="5121" width="47.625" style="3287" customWidth="1"/>
    <col min="5122" max="5122" width="6.25" style="3287" customWidth="1"/>
    <col min="5123" max="5125" width="13.875" style="3287" customWidth="1"/>
    <col min="5126" max="5126" width="26.125" style="3287" customWidth="1"/>
    <col min="5127" max="5127" width="7.875" style="3287" customWidth="1"/>
    <col min="5128" max="5128" width="29.375" style="3287" customWidth="1"/>
    <col min="5129" max="5130" width="9" style="3287" customWidth="1"/>
    <col min="5131" max="5132" width="10.625" style="3287" customWidth="1"/>
    <col min="5133" max="5133" width="14.375" style="3287" customWidth="1"/>
    <col min="5134" max="5134" width="6.25" style="3287" customWidth="1"/>
    <col min="5135" max="5135" width="45.875" style="3287" customWidth="1"/>
    <col min="5136" max="5136" width="7.875" style="3287" customWidth="1"/>
    <col min="5137" max="5376" width="9" style="3287"/>
    <col min="5377" max="5377" width="47.625" style="3287" customWidth="1"/>
    <col min="5378" max="5378" width="6.25" style="3287" customWidth="1"/>
    <col min="5379" max="5381" width="13.875" style="3287" customWidth="1"/>
    <col min="5382" max="5382" width="26.125" style="3287" customWidth="1"/>
    <col min="5383" max="5383" width="7.875" style="3287" customWidth="1"/>
    <col min="5384" max="5384" width="29.375" style="3287" customWidth="1"/>
    <col min="5385" max="5386" width="9" style="3287" customWidth="1"/>
    <col min="5387" max="5388" width="10.625" style="3287" customWidth="1"/>
    <col min="5389" max="5389" width="14.375" style="3287" customWidth="1"/>
    <col min="5390" max="5390" width="6.25" style="3287" customWidth="1"/>
    <col min="5391" max="5391" width="45.875" style="3287" customWidth="1"/>
    <col min="5392" max="5392" width="7.875" style="3287" customWidth="1"/>
    <col min="5393" max="5632" width="9" style="3287"/>
    <col min="5633" max="5633" width="47.625" style="3287" customWidth="1"/>
    <col min="5634" max="5634" width="6.25" style="3287" customWidth="1"/>
    <col min="5635" max="5637" width="13.875" style="3287" customWidth="1"/>
    <col min="5638" max="5638" width="26.125" style="3287" customWidth="1"/>
    <col min="5639" max="5639" width="7.875" style="3287" customWidth="1"/>
    <col min="5640" max="5640" width="29.375" style="3287" customWidth="1"/>
    <col min="5641" max="5642" width="9" style="3287" customWidth="1"/>
    <col min="5643" max="5644" width="10.625" style="3287" customWidth="1"/>
    <col min="5645" max="5645" width="14.375" style="3287" customWidth="1"/>
    <col min="5646" max="5646" width="6.25" style="3287" customWidth="1"/>
    <col min="5647" max="5647" width="45.875" style="3287" customWidth="1"/>
    <col min="5648" max="5648" width="7.875" style="3287" customWidth="1"/>
    <col min="5649" max="5888" width="9" style="3287"/>
    <col min="5889" max="5889" width="47.625" style="3287" customWidth="1"/>
    <col min="5890" max="5890" width="6.25" style="3287" customWidth="1"/>
    <col min="5891" max="5893" width="13.875" style="3287" customWidth="1"/>
    <col min="5894" max="5894" width="26.125" style="3287" customWidth="1"/>
    <col min="5895" max="5895" width="7.875" style="3287" customWidth="1"/>
    <col min="5896" max="5896" width="29.375" style="3287" customWidth="1"/>
    <col min="5897" max="5898" width="9" style="3287" customWidth="1"/>
    <col min="5899" max="5900" width="10.625" style="3287" customWidth="1"/>
    <col min="5901" max="5901" width="14.375" style="3287" customWidth="1"/>
    <col min="5902" max="5902" width="6.25" style="3287" customWidth="1"/>
    <col min="5903" max="5903" width="45.875" style="3287" customWidth="1"/>
    <col min="5904" max="5904" width="7.875" style="3287" customWidth="1"/>
    <col min="5905" max="6144" width="9" style="3287"/>
    <col min="6145" max="6145" width="47.625" style="3287" customWidth="1"/>
    <col min="6146" max="6146" width="6.25" style="3287" customWidth="1"/>
    <col min="6147" max="6149" width="13.875" style="3287" customWidth="1"/>
    <col min="6150" max="6150" width="26.125" style="3287" customWidth="1"/>
    <col min="6151" max="6151" width="7.875" style="3287" customWidth="1"/>
    <col min="6152" max="6152" width="29.375" style="3287" customWidth="1"/>
    <col min="6153" max="6154" width="9" style="3287" customWidth="1"/>
    <col min="6155" max="6156" width="10.625" style="3287" customWidth="1"/>
    <col min="6157" max="6157" width="14.375" style="3287" customWidth="1"/>
    <col min="6158" max="6158" width="6.25" style="3287" customWidth="1"/>
    <col min="6159" max="6159" width="45.875" style="3287" customWidth="1"/>
    <col min="6160" max="6160" width="7.875" style="3287" customWidth="1"/>
    <col min="6161" max="6400" width="9" style="3287"/>
    <col min="6401" max="6401" width="47.625" style="3287" customWidth="1"/>
    <col min="6402" max="6402" width="6.25" style="3287" customWidth="1"/>
    <col min="6403" max="6405" width="13.875" style="3287" customWidth="1"/>
    <col min="6406" max="6406" width="26.125" style="3287" customWidth="1"/>
    <col min="6407" max="6407" width="7.875" style="3287" customWidth="1"/>
    <col min="6408" max="6408" width="29.375" style="3287" customWidth="1"/>
    <col min="6409" max="6410" width="9" style="3287" customWidth="1"/>
    <col min="6411" max="6412" width="10.625" style="3287" customWidth="1"/>
    <col min="6413" max="6413" width="14.375" style="3287" customWidth="1"/>
    <col min="6414" max="6414" width="6.25" style="3287" customWidth="1"/>
    <col min="6415" max="6415" width="45.875" style="3287" customWidth="1"/>
    <col min="6416" max="6416" width="7.875" style="3287" customWidth="1"/>
    <col min="6417" max="6656" width="9" style="3287"/>
    <col min="6657" max="6657" width="47.625" style="3287" customWidth="1"/>
    <col min="6658" max="6658" width="6.25" style="3287" customWidth="1"/>
    <col min="6659" max="6661" width="13.875" style="3287" customWidth="1"/>
    <col min="6662" max="6662" width="26.125" style="3287" customWidth="1"/>
    <col min="6663" max="6663" width="7.875" style="3287" customWidth="1"/>
    <col min="6664" max="6664" width="29.375" style="3287" customWidth="1"/>
    <col min="6665" max="6666" width="9" style="3287" customWidth="1"/>
    <col min="6667" max="6668" width="10.625" style="3287" customWidth="1"/>
    <col min="6669" max="6669" width="14.375" style="3287" customWidth="1"/>
    <col min="6670" max="6670" width="6.25" style="3287" customWidth="1"/>
    <col min="6671" max="6671" width="45.875" style="3287" customWidth="1"/>
    <col min="6672" max="6672" width="7.875" style="3287" customWidth="1"/>
    <col min="6673" max="6912" width="9" style="3287"/>
    <col min="6913" max="6913" width="47.625" style="3287" customWidth="1"/>
    <col min="6914" max="6914" width="6.25" style="3287" customWidth="1"/>
    <col min="6915" max="6917" width="13.875" style="3287" customWidth="1"/>
    <col min="6918" max="6918" width="26.125" style="3287" customWidth="1"/>
    <col min="6919" max="6919" width="7.875" style="3287" customWidth="1"/>
    <col min="6920" max="6920" width="29.375" style="3287" customWidth="1"/>
    <col min="6921" max="6922" width="9" style="3287" customWidth="1"/>
    <col min="6923" max="6924" width="10.625" style="3287" customWidth="1"/>
    <col min="6925" max="6925" width="14.375" style="3287" customWidth="1"/>
    <col min="6926" max="6926" width="6.25" style="3287" customWidth="1"/>
    <col min="6927" max="6927" width="45.875" style="3287" customWidth="1"/>
    <col min="6928" max="6928" width="7.875" style="3287" customWidth="1"/>
    <col min="6929" max="7168" width="9" style="3287"/>
    <col min="7169" max="7169" width="47.625" style="3287" customWidth="1"/>
    <col min="7170" max="7170" width="6.25" style="3287" customWidth="1"/>
    <col min="7171" max="7173" width="13.875" style="3287" customWidth="1"/>
    <col min="7174" max="7174" width="26.125" style="3287" customWidth="1"/>
    <col min="7175" max="7175" width="7.875" style="3287" customWidth="1"/>
    <col min="7176" max="7176" width="29.375" style="3287" customWidth="1"/>
    <col min="7177" max="7178" width="9" style="3287" customWidth="1"/>
    <col min="7179" max="7180" width="10.625" style="3287" customWidth="1"/>
    <col min="7181" max="7181" width="14.375" style="3287" customWidth="1"/>
    <col min="7182" max="7182" width="6.25" style="3287" customWidth="1"/>
    <col min="7183" max="7183" width="45.875" style="3287" customWidth="1"/>
    <col min="7184" max="7184" width="7.875" style="3287" customWidth="1"/>
    <col min="7185" max="7424" width="9" style="3287"/>
    <col min="7425" max="7425" width="47.625" style="3287" customWidth="1"/>
    <col min="7426" max="7426" width="6.25" style="3287" customWidth="1"/>
    <col min="7427" max="7429" width="13.875" style="3287" customWidth="1"/>
    <col min="7430" max="7430" width="26.125" style="3287" customWidth="1"/>
    <col min="7431" max="7431" width="7.875" style="3287" customWidth="1"/>
    <col min="7432" max="7432" width="29.375" style="3287" customWidth="1"/>
    <col min="7433" max="7434" width="9" style="3287" customWidth="1"/>
    <col min="7435" max="7436" width="10.625" style="3287" customWidth="1"/>
    <col min="7437" max="7437" width="14.375" style="3287" customWidth="1"/>
    <col min="7438" max="7438" width="6.25" style="3287" customWidth="1"/>
    <col min="7439" max="7439" width="45.875" style="3287" customWidth="1"/>
    <col min="7440" max="7440" width="7.875" style="3287" customWidth="1"/>
    <col min="7441" max="7680" width="9" style="3287"/>
    <col min="7681" max="7681" width="47.625" style="3287" customWidth="1"/>
    <col min="7682" max="7682" width="6.25" style="3287" customWidth="1"/>
    <col min="7683" max="7685" width="13.875" style="3287" customWidth="1"/>
    <col min="7686" max="7686" width="26.125" style="3287" customWidth="1"/>
    <col min="7687" max="7687" width="7.875" style="3287" customWidth="1"/>
    <col min="7688" max="7688" width="29.375" style="3287" customWidth="1"/>
    <col min="7689" max="7690" width="9" style="3287" customWidth="1"/>
    <col min="7691" max="7692" width="10.625" style="3287" customWidth="1"/>
    <col min="7693" max="7693" width="14.375" style="3287" customWidth="1"/>
    <col min="7694" max="7694" width="6.25" style="3287" customWidth="1"/>
    <col min="7695" max="7695" width="45.875" style="3287" customWidth="1"/>
    <col min="7696" max="7696" width="7.875" style="3287" customWidth="1"/>
    <col min="7697" max="7936" width="9" style="3287"/>
    <col min="7937" max="7937" width="47.625" style="3287" customWidth="1"/>
    <col min="7938" max="7938" width="6.25" style="3287" customWidth="1"/>
    <col min="7939" max="7941" width="13.875" style="3287" customWidth="1"/>
    <col min="7942" max="7942" width="26.125" style="3287" customWidth="1"/>
    <col min="7943" max="7943" width="7.875" style="3287" customWidth="1"/>
    <col min="7944" max="7944" width="29.375" style="3287" customWidth="1"/>
    <col min="7945" max="7946" width="9" style="3287" customWidth="1"/>
    <col min="7947" max="7948" width="10.625" style="3287" customWidth="1"/>
    <col min="7949" max="7949" width="14.375" style="3287" customWidth="1"/>
    <col min="7950" max="7950" width="6.25" style="3287" customWidth="1"/>
    <col min="7951" max="7951" width="45.875" style="3287" customWidth="1"/>
    <col min="7952" max="7952" width="7.875" style="3287" customWidth="1"/>
    <col min="7953" max="8192" width="9" style="3287"/>
    <col min="8193" max="8193" width="47.625" style="3287" customWidth="1"/>
    <col min="8194" max="8194" width="6.25" style="3287" customWidth="1"/>
    <col min="8195" max="8197" width="13.875" style="3287" customWidth="1"/>
    <col min="8198" max="8198" width="26.125" style="3287" customWidth="1"/>
    <col min="8199" max="8199" width="7.875" style="3287" customWidth="1"/>
    <col min="8200" max="8200" width="29.375" style="3287" customWidth="1"/>
    <col min="8201" max="8202" width="9" style="3287" customWidth="1"/>
    <col min="8203" max="8204" width="10.625" style="3287" customWidth="1"/>
    <col min="8205" max="8205" width="14.375" style="3287" customWidth="1"/>
    <col min="8206" max="8206" width="6.25" style="3287" customWidth="1"/>
    <col min="8207" max="8207" width="45.875" style="3287" customWidth="1"/>
    <col min="8208" max="8208" width="7.875" style="3287" customWidth="1"/>
    <col min="8209" max="8448" width="9" style="3287"/>
    <col min="8449" max="8449" width="47.625" style="3287" customWidth="1"/>
    <col min="8450" max="8450" width="6.25" style="3287" customWidth="1"/>
    <col min="8451" max="8453" width="13.875" style="3287" customWidth="1"/>
    <col min="8454" max="8454" width="26.125" style="3287" customWidth="1"/>
    <col min="8455" max="8455" width="7.875" style="3287" customWidth="1"/>
    <col min="8456" max="8456" width="29.375" style="3287" customWidth="1"/>
    <col min="8457" max="8458" width="9" style="3287" customWidth="1"/>
    <col min="8459" max="8460" width="10.625" style="3287" customWidth="1"/>
    <col min="8461" max="8461" width="14.375" style="3287" customWidth="1"/>
    <col min="8462" max="8462" width="6.25" style="3287" customWidth="1"/>
    <col min="8463" max="8463" width="45.875" style="3287" customWidth="1"/>
    <col min="8464" max="8464" width="7.875" style="3287" customWidth="1"/>
    <col min="8465" max="8704" width="9" style="3287"/>
    <col min="8705" max="8705" width="47.625" style="3287" customWidth="1"/>
    <col min="8706" max="8706" width="6.25" style="3287" customWidth="1"/>
    <col min="8707" max="8709" width="13.875" style="3287" customWidth="1"/>
    <col min="8710" max="8710" width="26.125" style="3287" customWidth="1"/>
    <col min="8711" max="8711" width="7.875" style="3287" customWidth="1"/>
    <col min="8712" max="8712" width="29.375" style="3287" customWidth="1"/>
    <col min="8713" max="8714" width="9" style="3287" customWidth="1"/>
    <col min="8715" max="8716" width="10.625" style="3287" customWidth="1"/>
    <col min="8717" max="8717" width="14.375" style="3287" customWidth="1"/>
    <col min="8718" max="8718" width="6.25" style="3287" customWidth="1"/>
    <col min="8719" max="8719" width="45.875" style="3287" customWidth="1"/>
    <col min="8720" max="8720" width="7.875" style="3287" customWidth="1"/>
    <col min="8721" max="8960" width="9" style="3287"/>
    <col min="8961" max="8961" width="47.625" style="3287" customWidth="1"/>
    <col min="8962" max="8962" width="6.25" style="3287" customWidth="1"/>
    <col min="8963" max="8965" width="13.875" style="3287" customWidth="1"/>
    <col min="8966" max="8966" width="26.125" style="3287" customWidth="1"/>
    <col min="8967" max="8967" width="7.875" style="3287" customWidth="1"/>
    <col min="8968" max="8968" width="29.375" style="3287" customWidth="1"/>
    <col min="8969" max="8970" width="9" style="3287" customWidth="1"/>
    <col min="8971" max="8972" width="10.625" style="3287" customWidth="1"/>
    <col min="8973" max="8973" width="14.375" style="3287" customWidth="1"/>
    <col min="8974" max="8974" width="6.25" style="3287" customWidth="1"/>
    <col min="8975" max="8975" width="45.875" style="3287" customWidth="1"/>
    <col min="8976" max="8976" width="7.875" style="3287" customWidth="1"/>
    <col min="8977" max="9216" width="9" style="3287"/>
    <col min="9217" max="9217" width="47.625" style="3287" customWidth="1"/>
    <col min="9218" max="9218" width="6.25" style="3287" customWidth="1"/>
    <col min="9219" max="9221" width="13.875" style="3287" customWidth="1"/>
    <col min="9222" max="9222" width="26.125" style="3287" customWidth="1"/>
    <col min="9223" max="9223" width="7.875" style="3287" customWidth="1"/>
    <col min="9224" max="9224" width="29.375" style="3287" customWidth="1"/>
    <col min="9225" max="9226" width="9" style="3287" customWidth="1"/>
    <col min="9227" max="9228" width="10.625" style="3287" customWidth="1"/>
    <col min="9229" max="9229" width="14.375" style="3287" customWidth="1"/>
    <col min="9230" max="9230" width="6.25" style="3287" customWidth="1"/>
    <col min="9231" max="9231" width="45.875" style="3287" customWidth="1"/>
    <col min="9232" max="9232" width="7.875" style="3287" customWidth="1"/>
    <col min="9233" max="9472" width="9" style="3287"/>
    <col min="9473" max="9473" width="47.625" style="3287" customWidth="1"/>
    <col min="9474" max="9474" width="6.25" style="3287" customWidth="1"/>
    <col min="9475" max="9477" width="13.875" style="3287" customWidth="1"/>
    <col min="9478" max="9478" width="26.125" style="3287" customWidth="1"/>
    <col min="9479" max="9479" width="7.875" style="3287" customWidth="1"/>
    <col min="9480" max="9480" width="29.375" style="3287" customWidth="1"/>
    <col min="9481" max="9482" width="9" style="3287" customWidth="1"/>
    <col min="9483" max="9484" width="10.625" style="3287" customWidth="1"/>
    <col min="9485" max="9485" width="14.375" style="3287" customWidth="1"/>
    <col min="9486" max="9486" width="6.25" style="3287" customWidth="1"/>
    <col min="9487" max="9487" width="45.875" style="3287" customWidth="1"/>
    <col min="9488" max="9488" width="7.875" style="3287" customWidth="1"/>
    <col min="9489" max="9728" width="9" style="3287"/>
    <col min="9729" max="9729" width="47.625" style="3287" customWidth="1"/>
    <col min="9730" max="9730" width="6.25" style="3287" customWidth="1"/>
    <col min="9731" max="9733" width="13.875" style="3287" customWidth="1"/>
    <col min="9734" max="9734" width="26.125" style="3287" customWidth="1"/>
    <col min="9735" max="9735" width="7.875" style="3287" customWidth="1"/>
    <col min="9736" max="9736" width="29.375" style="3287" customWidth="1"/>
    <col min="9737" max="9738" width="9" style="3287" customWidth="1"/>
    <col min="9739" max="9740" width="10.625" style="3287" customWidth="1"/>
    <col min="9741" max="9741" width="14.375" style="3287" customWidth="1"/>
    <col min="9742" max="9742" width="6.25" style="3287" customWidth="1"/>
    <col min="9743" max="9743" width="45.875" style="3287" customWidth="1"/>
    <col min="9744" max="9744" width="7.875" style="3287" customWidth="1"/>
    <col min="9745" max="9984" width="9" style="3287"/>
    <col min="9985" max="9985" width="47.625" style="3287" customWidth="1"/>
    <col min="9986" max="9986" width="6.25" style="3287" customWidth="1"/>
    <col min="9987" max="9989" width="13.875" style="3287" customWidth="1"/>
    <col min="9990" max="9990" width="26.125" style="3287" customWidth="1"/>
    <col min="9991" max="9991" width="7.875" style="3287" customWidth="1"/>
    <col min="9992" max="9992" width="29.375" style="3287" customWidth="1"/>
    <col min="9993" max="9994" width="9" style="3287" customWidth="1"/>
    <col min="9995" max="9996" width="10.625" style="3287" customWidth="1"/>
    <col min="9997" max="9997" width="14.375" style="3287" customWidth="1"/>
    <col min="9998" max="9998" width="6.25" style="3287" customWidth="1"/>
    <col min="9999" max="9999" width="45.875" style="3287" customWidth="1"/>
    <col min="10000" max="10000" width="7.875" style="3287" customWidth="1"/>
    <col min="10001" max="10240" width="9" style="3287"/>
    <col min="10241" max="10241" width="47.625" style="3287" customWidth="1"/>
    <col min="10242" max="10242" width="6.25" style="3287" customWidth="1"/>
    <col min="10243" max="10245" width="13.875" style="3287" customWidth="1"/>
    <col min="10246" max="10246" width="26.125" style="3287" customWidth="1"/>
    <col min="10247" max="10247" width="7.875" style="3287" customWidth="1"/>
    <col min="10248" max="10248" width="29.375" style="3287" customWidth="1"/>
    <col min="10249" max="10250" width="9" style="3287" customWidth="1"/>
    <col min="10251" max="10252" width="10.625" style="3287" customWidth="1"/>
    <col min="10253" max="10253" width="14.375" style="3287" customWidth="1"/>
    <col min="10254" max="10254" width="6.25" style="3287" customWidth="1"/>
    <col min="10255" max="10255" width="45.875" style="3287" customWidth="1"/>
    <col min="10256" max="10256" width="7.875" style="3287" customWidth="1"/>
    <col min="10257" max="10496" width="9" style="3287"/>
    <col min="10497" max="10497" width="47.625" style="3287" customWidth="1"/>
    <col min="10498" max="10498" width="6.25" style="3287" customWidth="1"/>
    <col min="10499" max="10501" width="13.875" style="3287" customWidth="1"/>
    <col min="10502" max="10502" width="26.125" style="3287" customWidth="1"/>
    <col min="10503" max="10503" width="7.875" style="3287" customWidth="1"/>
    <col min="10504" max="10504" width="29.375" style="3287" customWidth="1"/>
    <col min="10505" max="10506" width="9" style="3287" customWidth="1"/>
    <col min="10507" max="10508" width="10.625" style="3287" customWidth="1"/>
    <col min="10509" max="10509" width="14.375" style="3287" customWidth="1"/>
    <col min="10510" max="10510" width="6.25" style="3287" customWidth="1"/>
    <col min="10511" max="10511" width="45.875" style="3287" customWidth="1"/>
    <col min="10512" max="10512" width="7.875" style="3287" customWidth="1"/>
    <col min="10513" max="10752" width="9" style="3287"/>
    <col min="10753" max="10753" width="47.625" style="3287" customWidth="1"/>
    <col min="10754" max="10754" width="6.25" style="3287" customWidth="1"/>
    <col min="10755" max="10757" width="13.875" style="3287" customWidth="1"/>
    <col min="10758" max="10758" width="26.125" style="3287" customWidth="1"/>
    <col min="10759" max="10759" width="7.875" style="3287" customWidth="1"/>
    <col min="10760" max="10760" width="29.375" style="3287" customWidth="1"/>
    <col min="10761" max="10762" width="9" style="3287" customWidth="1"/>
    <col min="10763" max="10764" width="10.625" style="3287" customWidth="1"/>
    <col min="10765" max="10765" width="14.375" style="3287" customWidth="1"/>
    <col min="10766" max="10766" width="6.25" style="3287" customWidth="1"/>
    <col min="10767" max="10767" width="45.875" style="3287" customWidth="1"/>
    <col min="10768" max="10768" width="7.875" style="3287" customWidth="1"/>
    <col min="10769" max="11008" width="9" style="3287"/>
    <col min="11009" max="11009" width="47.625" style="3287" customWidth="1"/>
    <col min="11010" max="11010" width="6.25" style="3287" customWidth="1"/>
    <col min="11011" max="11013" width="13.875" style="3287" customWidth="1"/>
    <col min="11014" max="11014" width="26.125" style="3287" customWidth="1"/>
    <col min="11015" max="11015" width="7.875" style="3287" customWidth="1"/>
    <col min="11016" max="11016" width="29.375" style="3287" customWidth="1"/>
    <col min="11017" max="11018" width="9" style="3287" customWidth="1"/>
    <col min="11019" max="11020" width="10.625" style="3287" customWidth="1"/>
    <col min="11021" max="11021" width="14.375" style="3287" customWidth="1"/>
    <col min="11022" max="11022" width="6.25" style="3287" customWidth="1"/>
    <col min="11023" max="11023" width="45.875" style="3287" customWidth="1"/>
    <col min="11024" max="11024" width="7.875" style="3287" customWidth="1"/>
    <col min="11025" max="11264" width="9" style="3287"/>
    <col min="11265" max="11265" width="47.625" style="3287" customWidth="1"/>
    <col min="11266" max="11266" width="6.25" style="3287" customWidth="1"/>
    <col min="11267" max="11269" width="13.875" style="3287" customWidth="1"/>
    <col min="11270" max="11270" width="26.125" style="3287" customWidth="1"/>
    <col min="11271" max="11271" width="7.875" style="3287" customWidth="1"/>
    <col min="11272" max="11272" width="29.375" style="3287" customWidth="1"/>
    <col min="11273" max="11274" width="9" style="3287" customWidth="1"/>
    <col min="11275" max="11276" width="10.625" style="3287" customWidth="1"/>
    <col min="11277" max="11277" width="14.375" style="3287" customWidth="1"/>
    <col min="11278" max="11278" width="6.25" style="3287" customWidth="1"/>
    <col min="11279" max="11279" width="45.875" style="3287" customWidth="1"/>
    <col min="11280" max="11280" width="7.875" style="3287" customWidth="1"/>
    <col min="11281" max="11520" width="9" style="3287"/>
    <col min="11521" max="11521" width="47.625" style="3287" customWidth="1"/>
    <col min="11522" max="11522" width="6.25" style="3287" customWidth="1"/>
    <col min="11523" max="11525" width="13.875" style="3287" customWidth="1"/>
    <col min="11526" max="11526" width="26.125" style="3287" customWidth="1"/>
    <col min="11527" max="11527" width="7.875" style="3287" customWidth="1"/>
    <col min="11528" max="11528" width="29.375" style="3287" customWidth="1"/>
    <col min="11529" max="11530" width="9" style="3287" customWidth="1"/>
    <col min="11531" max="11532" width="10.625" style="3287" customWidth="1"/>
    <col min="11533" max="11533" width="14.375" style="3287" customWidth="1"/>
    <col min="11534" max="11534" width="6.25" style="3287" customWidth="1"/>
    <col min="11535" max="11535" width="45.875" style="3287" customWidth="1"/>
    <col min="11536" max="11536" width="7.875" style="3287" customWidth="1"/>
    <col min="11537" max="11776" width="9" style="3287"/>
    <col min="11777" max="11777" width="47.625" style="3287" customWidth="1"/>
    <col min="11778" max="11778" width="6.25" style="3287" customWidth="1"/>
    <col min="11779" max="11781" width="13.875" style="3287" customWidth="1"/>
    <col min="11782" max="11782" width="26.125" style="3287" customWidth="1"/>
    <col min="11783" max="11783" width="7.875" style="3287" customWidth="1"/>
    <col min="11784" max="11784" width="29.375" style="3287" customWidth="1"/>
    <col min="11785" max="11786" width="9" style="3287" customWidth="1"/>
    <col min="11787" max="11788" width="10.625" style="3287" customWidth="1"/>
    <col min="11789" max="11789" width="14.375" style="3287" customWidth="1"/>
    <col min="11790" max="11790" width="6.25" style="3287" customWidth="1"/>
    <col min="11791" max="11791" width="45.875" style="3287" customWidth="1"/>
    <col min="11792" max="11792" width="7.875" style="3287" customWidth="1"/>
    <col min="11793" max="12032" width="9" style="3287"/>
    <col min="12033" max="12033" width="47.625" style="3287" customWidth="1"/>
    <col min="12034" max="12034" width="6.25" style="3287" customWidth="1"/>
    <col min="12035" max="12037" width="13.875" style="3287" customWidth="1"/>
    <col min="12038" max="12038" width="26.125" style="3287" customWidth="1"/>
    <col min="12039" max="12039" width="7.875" style="3287" customWidth="1"/>
    <col min="12040" max="12040" width="29.375" style="3287" customWidth="1"/>
    <col min="12041" max="12042" width="9" style="3287" customWidth="1"/>
    <col min="12043" max="12044" width="10.625" style="3287" customWidth="1"/>
    <col min="12045" max="12045" width="14.375" style="3287" customWidth="1"/>
    <col min="12046" max="12046" width="6.25" style="3287" customWidth="1"/>
    <col min="12047" max="12047" width="45.875" style="3287" customWidth="1"/>
    <col min="12048" max="12048" width="7.875" style="3287" customWidth="1"/>
    <col min="12049" max="12288" width="9" style="3287"/>
    <col min="12289" max="12289" width="47.625" style="3287" customWidth="1"/>
    <col min="12290" max="12290" width="6.25" style="3287" customWidth="1"/>
    <col min="12291" max="12293" width="13.875" style="3287" customWidth="1"/>
    <col min="12294" max="12294" width="26.125" style="3287" customWidth="1"/>
    <col min="12295" max="12295" width="7.875" style="3287" customWidth="1"/>
    <col min="12296" max="12296" width="29.375" style="3287" customWidth="1"/>
    <col min="12297" max="12298" width="9" style="3287" customWidth="1"/>
    <col min="12299" max="12300" width="10.625" style="3287" customWidth="1"/>
    <col min="12301" max="12301" width="14.375" style="3287" customWidth="1"/>
    <col min="12302" max="12302" width="6.25" style="3287" customWidth="1"/>
    <col min="12303" max="12303" width="45.875" style="3287" customWidth="1"/>
    <col min="12304" max="12304" width="7.875" style="3287" customWidth="1"/>
    <col min="12305" max="12544" width="9" style="3287"/>
    <col min="12545" max="12545" width="47.625" style="3287" customWidth="1"/>
    <col min="12546" max="12546" width="6.25" style="3287" customWidth="1"/>
    <col min="12547" max="12549" width="13.875" style="3287" customWidth="1"/>
    <col min="12550" max="12550" width="26.125" style="3287" customWidth="1"/>
    <col min="12551" max="12551" width="7.875" style="3287" customWidth="1"/>
    <col min="12552" max="12552" width="29.375" style="3287" customWidth="1"/>
    <col min="12553" max="12554" width="9" style="3287" customWidth="1"/>
    <col min="12555" max="12556" width="10.625" style="3287" customWidth="1"/>
    <col min="12557" max="12557" width="14.375" style="3287" customWidth="1"/>
    <col min="12558" max="12558" width="6.25" style="3287" customWidth="1"/>
    <col min="12559" max="12559" width="45.875" style="3287" customWidth="1"/>
    <col min="12560" max="12560" width="7.875" style="3287" customWidth="1"/>
    <col min="12561" max="12800" width="9" style="3287"/>
    <col min="12801" max="12801" width="47.625" style="3287" customWidth="1"/>
    <col min="12802" max="12802" width="6.25" style="3287" customWidth="1"/>
    <col min="12803" max="12805" width="13.875" style="3287" customWidth="1"/>
    <col min="12806" max="12806" width="26.125" style="3287" customWidth="1"/>
    <col min="12807" max="12807" width="7.875" style="3287" customWidth="1"/>
    <col min="12808" max="12808" width="29.375" style="3287" customWidth="1"/>
    <col min="12809" max="12810" width="9" style="3287" customWidth="1"/>
    <col min="12811" max="12812" width="10.625" style="3287" customWidth="1"/>
    <col min="12813" max="12813" width="14.375" style="3287" customWidth="1"/>
    <col min="12814" max="12814" width="6.25" style="3287" customWidth="1"/>
    <col min="12815" max="12815" width="45.875" style="3287" customWidth="1"/>
    <col min="12816" max="12816" width="7.875" style="3287" customWidth="1"/>
    <col min="12817" max="13056" width="9" style="3287"/>
    <col min="13057" max="13057" width="47.625" style="3287" customWidth="1"/>
    <col min="13058" max="13058" width="6.25" style="3287" customWidth="1"/>
    <col min="13059" max="13061" width="13.875" style="3287" customWidth="1"/>
    <col min="13062" max="13062" width="26.125" style="3287" customWidth="1"/>
    <col min="13063" max="13063" width="7.875" style="3287" customWidth="1"/>
    <col min="13064" max="13064" width="29.375" style="3287" customWidth="1"/>
    <col min="13065" max="13066" width="9" style="3287" customWidth="1"/>
    <col min="13067" max="13068" width="10.625" style="3287" customWidth="1"/>
    <col min="13069" max="13069" width="14.375" style="3287" customWidth="1"/>
    <col min="13070" max="13070" width="6.25" style="3287" customWidth="1"/>
    <col min="13071" max="13071" width="45.875" style="3287" customWidth="1"/>
    <col min="13072" max="13072" width="7.875" style="3287" customWidth="1"/>
    <col min="13073" max="13312" width="9" style="3287"/>
    <col min="13313" max="13313" width="47.625" style="3287" customWidth="1"/>
    <col min="13314" max="13314" width="6.25" style="3287" customWidth="1"/>
    <col min="13315" max="13317" width="13.875" style="3287" customWidth="1"/>
    <col min="13318" max="13318" width="26.125" style="3287" customWidth="1"/>
    <col min="13319" max="13319" width="7.875" style="3287" customWidth="1"/>
    <col min="13320" max="13320" width="29.375" style="3287" customWidth="1"/>
    <col min="13321" max="13322" width="9" style="3287" customWidth="1"/>
    <col min="13323" max="13324" width="10.625" style="3287" customWidth="1"/>
    <col min="13325" max="13325" width="14.375" style="3287" customWidth="1"/>
    <col min="13326" max="13326" width="6.25" style="3287" customWidth="1"/>
    <col min="13327" max="13327" width="45.875" style="3287" customWidth="1"/>
    <col min="13328" max="13328" width="7.875" style="3287" customWidth="1"/>
    <col min="13329" max="13568" width="9" style="3287"/>
    <col min="13569" max="13569" width="47.625" style="3287" customWidth="1"/>
    <col min="13570" max="13570" width="6.25" style="3287" customWidth="1"/>
    <col min="13571" max="13573" width="13.875" style="3287" customWidth="1"/>
    <col min="13574" max="13574" width="26.125" style="3287" customWidth="1"/>
    <col min="13575" max="13575" width="7.875" style="3287" customWidth="1"/>
    <col min="13576" max="13576" width="29.375" style="3287" customWidth="1"/>
    <col min="13577" max="13578" width="9" style="3287" customWidth="1"/>
    <col min="13579" max="13580" width="10.625" style="3287" customWidth="1"/>
    <col min="13581" max="13581" width="14.375" style="3287" customWidth="1"/>
    <col min="13582" max="13582" width="6.25" style="3287" customWidth="1"/>
    <col min="13583" max="13583" width="45.875" style="3287" customWidth="1"/>
    <col min="13584" max="13584" width="7.875" style="3287" customWidth="1"/>
    <col min="13585" max="13824" width="9" style="3287"/>
    <col min="13825" max="13825" width="47.625" style="3287" customWidth="1"/>
    <col min="13826" max="13826" width="6.25" style="3287" customWidth="1"/>
    <col min="13827" max="13829" width="13.875" style="3287" customWidth="1"/>
    <col min="13830" max="13830" width="26.125" style="3287" customWidth="1"/>
    <col min="13831" max="13831" width="7.875" style="3287" customWidth="1"/>
    <col min="13832" max="13832" width="29.375" style="3287" customWidth="1"/>
    <col min="13833" max="13834" width="9" style="3287" customWidth="1"/>
    <col min="13835" max="13836" width="10.625" style="3287" customWidth="1"/>
    <col min="13837" max="13837" width="14.375" style="3287" customWidth="1"/>
    <col min="13838" max="13838" width="6.25" style="3287" customWidth="1"/>
    <col min="13839" max="13839" width="45.875" style="3287" customWidth="1"/>
    <col min="13840" max="13840" width="7.875" style="3287" customWidth="1"/>
    <col min="13841" max="14080" width="9" style="3287"/>
    <col min="14081" max="14081" width="47.625" style="3287" customWidth="1"/>
    <col min="14082" max="14082" width="6.25" style="3287" customWidth="1"/>
    <col min="14083" max="14085" width="13.875" style="3287" customWidth="1"/>
    <col min="14086" max="14086" width="26.125" style="3287" customWidth="1"/>
    <col min="14087" max="14087" width="7.875" style="3287" customWidth="1"/>
    <col min="14088" max="14088" width="29.375" style="3287" customWidth="1"/>
    <col min="14089" max="14090" width="9" style="3287" customWidth="1"/>
    <col min="14091" max="14092" width="10.625" style="3287" customWidth="1"/>
    <col min="14093" max="14093" width="14.375" style="3287" customWidth="1"/>
    <col min="14094" max="14094" width="6.25" style="3287" customWidth="1"/>
    <col min="14095" max="14095" width="45.875" style="3287" customWidth="1"/>
    <col min="14096" max="14096" width="7.875" style="3287" customWidth="1"/>
    <col min="14097" max="14336" width="9" style="3287"/>
    <col min="14337" max="14337" width="47.625" style="3287" customWidth="1"/>
    <col min="14338" max="14338" width="6.25" style="3287" customWidth="1"/>
    <col min="14339" max="14341" width="13.875" style="3287" customWidth="1"/>
    <col min="14342" max="14342" width="26.125" style="3287" customWidth="1"/>
    <col min="14343" max="14343" width="7.875" style="3287" customWidth="1"/>
    <col min="14344" max="14344" width="29.375" style="3287" customWidth="1"/>
    <col min="14345" max="14346" width="9" style="3287" customWidth="1"/>
    <col min="14347" max="14348" width="10.625" style="3287" customWidth="1"/>
    <col min="14349" max="14349" width="14.375" style="3287" customWidth="1"/>
    <col min="14350" max="14350" width="6.25" style="3287" customWidth="1"/>
    <col min="14351" max="14351" width="45.875" style="3287" customWidth="1"/>
    <col min="14352" max="14352" width="7.875" style="3287" customWidth="1"/>
    <col min="14353" max="14592" width="9" style="3287"/>
    <col min="14593" max="14593" width="47.625" style="3287" customWidth="1"/>
    <col min="14594" max="14594" width="6.25" style="3287" customWidth="1"/>
    <col min="14595" max="14597" width="13.875" style="3287" customWidth="1"/>
    <col min="14598" max="14598" width="26.125" style="3287" customWidth="1"/>
    <col min="14599" max="14599" width="7.875" style="3287" customWidth="1"/>
    <col min="14600" max="14600" width="29.375" style="3287" customWidth="1"/>
    <col min="14601" max="14602" width="9" style="3287" customWidth="1"/>
    <col min="14603" max="14604" width="10.625" style="3287" customWidth="1"/>
    <col min="14605" max="14605" width="14.375" style="3287" customWidth="1"/>
    <col min="14606" max="14606" width="6.25" style="3287" customWidth="1"/>
    <col min="14607" max="14607" width="45.875" style="3287" customWidth="1"/>
    <col min="14608" max="14608" width="7.875" style="3287" customWidth="1"/>
    <col min="14609" max="14848" width="9" style="3287"/>
    <col min="14849" max="14849" width="47.625" style="3287" customWidth="1"/>
    <col min="14850" max="14850" width="6.25" style="3287" customWidth="1"/>
    <col min="14851" max="14853" width="13.875" style="3287" customWidth="1"/>
    <col min="14854" max="14854" width="26.125" style="3287" customWidth="1"/>
    <col min="14855" max="14855" width="7.875" style="3287" customWidth="1"/>
    <col min="14856" max="14856" width="29.375" style="3287" customWidth="1"/>
    <col min="14857" max="14858" width="9" style="3287" customWidth="1"/>
    <col min="14859" max="14860" width="10.625" style="3287" customWidth="1"/>
    <col min="14861" max="14861" width="14.375" style="3287" customWidth="1"/>
    <col min="14862" max="14862" width="6.25" style="3287" customWidth="1"/>
    <col min="14863" max="14863" width="45.875" style="3287" customWidth="1"/>
    <col min="14864" max="14864" width="7.875" style="3287" customWidth="1"/>
    <col min="14865" max="15104" width="9" style="3287"/>
    <col min="15105" max="15105" width="47.625" style="3287" customWidth="1"/>
    <col min="15106" max="15106" width="6.25" style="3287" customWidth="1"/>
    <col min="15107" max="15109" width="13.875" style="3287" customWidth="1"/>
    <col min="15110" max="15110" width="26.125" style="3287" customWidth="1"/>
    <col min="15111" max="15111" width="7.875" style="3287" customWidth="1"/>
    <col min="15112" max="15112" width="29.375" style="3287" customWidth="1"/>
    <col min="15113" max="15114" width="9" style="3287" customWidth="1"/>
    <col min="15115" max="15116" width="10.625" style="3287" customWidth="1"/>
    <col min="15117" max="15117" width="14.375" style="3287" customWidth="1"/>
    <col min="15118" max="15118" width="6.25" style="3287" customWidth="1"/>
    <col min="15119" max="15119" width="45.875" style="3287" customWidth="1"/>
    <col min="15120" max="15120" width="7.875" style="3287" customWidth="1"/>
    <col min="15121" max="15360" width="9" style="3287"/>
    <col min="15361" max="15361" width="47.625" style="3287" customWidth="1"/>
    <col min="15362" max="15362" width="6.25" style="3287" customWidth="1"/>
    <col min="15363" max="15365" width="13.875" style="3287" customWidth="1"/>
    <col min="15366" max="15366" width="26.125" style="3287" customWidth="1"/>
    <col min="15367" max="15367" width="7.875" style="3287" customWidth="1"/>
    <col min="15368" max="15368" width="29.375" style="3287" customWidth="1"/>
    <col min="15369" max="15370" width="9" style="3287" customWidth="1"/>
    <col min="15371" max="15372" width="10.625" style="3287" customWidth="1"/>
    <col min="15373" max="15373" width="14.375" style="3287" customWidth="1"/>
    <col min="15374" max="15374" width="6.25" style="3287" customWidth="1"/>
    <col min="15375" max="15375" width="45.875" style="3287" customWidth="1"/>
    <col min="15376" max="15376" width="7.875" style="3287" customWidth="1"/>
    <col min="15377" max="15616" width="9" style="3287"/>
    <col min="15617" max="15617" width="47.625" style="3287" customWidth="1"/>
    <col min="15618" max="15618" width="6.25" style="3287" customWidth="1"/>
    <col min="15619" max="15621" width="13.875" style="3287" customWidth="1"/>
    <col min="15622" max="15622" width="26.125" style="3287" customWidth="1"/>
    <col min="15623" max="15623" width="7.875" style="3287" customWidth="1"/>
    <col min="15624" max="15624" width="29.375" style="3287" customWidth="1"/>
    <col min="15625" max="15626" width="9" style="3287" customWidth="1"/>
    <col min="15627" max="15628" width="10.625" style="3287" customWidth="1"/>
    <col min="15629" max="15629" width="14.375" style="3287" customWidth="1"/>
    <col min="15630" max="15630" width="6.25" style="3287" customWidth="1"/>
    <col min="15631" max="15631" width="45.875" style="3287" customWidth="1"/>
    <col min="15632" max="15632" width="7.875" style="3287" customWidth="1"/>
    <col min="15633" max="15872" width="9" style="3287"/>
    <col min="15873" max="15873" width="47.625" style="3287" customWidth="1"/>
    <col min="15874" max="15874" width="6.25" style="3287" customWidth="1"/>
    <col min="15875" max="15877" width="13.875" style="3287" customWidth="1"/>
    <col min="15878" max="15878" width="26.125" style="3287" customWidth="1"/>
    <col min="15879" max="15879" width="7.875" style="3287" customWidth="1"/>
    <col min="15880" max="15880" width="29.375" style="3287" customWidth="1"/>
    <col min="15881" max="15882" width="9" style="3287" customWidth="1"/>
    <col min="15883" max="15884" width="10.625" style="3287" customWidth="1"/>
    <col min="15885" max="15885" width="14.375" style="3287" customWidth="1"/>
    <col min="15886" max="15886" width="6.25" style="3287" customWidth="1"/>
    <col min="15887" max="15887" width="45.875" style="3287" customWidth="1"/>
    <col min="15888" max="15888" width="7.875" style="3287" customWidth="1"/>
    <col min="15889" max="16128" width="9" style="3287"/>
    <col min="16129" max="16129" width="47.625" style="3287" customWidth="1"/>
    <col min="16130" max="16130" width="6.25" style="3287" customWidth="1"/>
    <col min="16131" max="16133" width="13.875" style="3287" customWidth="1"/>
    <col min="16134" max="16134" width="26.125" style="3287" customWidth="1"/>
    <col min="16135" max="16135" width="7.875" style="3287" customWidth="1"/>
    <col min="16136" max="16136" width="29.375" style="3287" customWidth="1"/>
    <col min="16137" max="16138" width="9" style="3287" customWidth="1"/>
    <col min="16139" max="16140" width="10.625" style="3287" customWidth="1"/>
    <col min="16141" max="16141" width="14.375" style="3287" customWidth="1"/>
    <col min="16142" max="16142" width="6.25" style="3287" customWidth="1"/>
    <col min="16143" max="16143" width="45.875" style="3287" customWidth="1"/>
    <col min="16144" max="16144" width="7.875" style="3287" customWidth="1"/>
    <col min="16145" max="16384" width="9" style="3287"/>
  </cols>
  <sheetData>
    <row r="1" spans="1:17">
      <c r="A1" s="3287" t="s">
        <v>3029</v>
      </c>
      <c r="B1" s="3287" t="s">
        <v>3030</v>
      </c>
      <c r="C1" s="3288" t="s">
        <v>3031</v>
      </c>
      <c r="D1" s="3287" t="s">
        <v>3032</v>
      </c>
      <c r="E1" s="3287" t="s">
        <v>3033</v>
      </c>
      <c r="F1" s="3288" t="s">
        <v>2021</v>
      </c>
      <c r="G1" s="3287" t="s">
        <v>3034</v>
      </c>
      <c r="H1" s="3287" t="s">
        <v>3035</v>
      </c>
      <c r="I1" s="3287" t="s">
        <v>3036</v>
      </c>
      <c r="J1" s="3287" t="s">
        <v>3037</v>
      </c>
      <c r="K1" s="3287" t="s">
        <v>3038</v>
      </c>
      <c r="L1" s="3287" t="s">
        <v>3039</v>
      </c>
      <c r="M1" s="3287" t="s">
        <v>3040</v>
      </c>
      <c r="N1" s="3287" t="s">
        <v>3041</v>
      </c>
      <c r="O1" s="3287" t="s">
        <v>3042</v>
      </c>
      <c r="P1" s="3287" t="s">
        <v>3043</v>
      </c>
    </row>
    <row r="2" spans="1:17" s="3285" customFormat="1" ht="27">
      <c r="A2" s="3285" t="s">
        <v>3172</v>
      </c>
      <c r="B2" s="3285" t="s">
        <v>3044</v>
      </c>
      <c r="C2" s="3286" t="s">
        <v>3045</v>
      </c>
      <c r="D2" s="3285">
        <v>24061.26</v>
      </c>
      <c r="E2" s="3285">
        <v>72183.78</v>
      </c>
      <c r="F2" s="3286" t="s">
        <v>3046</v>
      </c>
      <c r="G2" s="3285" t="s">
        <v>3047</v>
      </c>
      <c r="H2" s="3285" t="s">
        <v>3048</v>
      </c>
      <c r="I2" s="3285" t="s">
        <v>3049</v>
      </c>
      <c r="J2" s="3285" t="s">
        <v>3049</v>
      </c>
      <c r="K2" s="3285">
        <v>50529</v>
      </c>
      <c r="L2" s="3285">
        <v>50529</v>
      </c>
      <c r="M2" s="3285">
        <v>7000.05</v>
      </c>
      <c r="N2" s="3285">
        <v>0</v>
      </c>
      <c r="O2" s="3285" t="s">
        <v>3050</v>
      </c>
      <c r="P2" s="3285" t="s">
        <v>3051</v>
      </c>
      <c r="Q2" s="3285" t="s">
        <v>3173</v>
      </c>
    </row>
    <row r="3" spans="1:17" s="3285" customFormat="1" ht="27">
      <c r="A3" s="3285" t="s">
        <v>3052</v>
      </c>
      <c r="B3" s="3285" t="s">
        <v>3044</v>
      </c>
      <c r="C3" s="3286" t="s">
        <v>3045</v>
      </c>
      <c r="D3" s="3285">
        <v>36907.31</v>
      </c>
      <c r="E3" s="3285">
        <v>118103.39</v>
      </c>
      <c r="F3" s="3286" t="s">
        <v>3053</v>
      </c>
      <c r="G3" s="3285" t="s">
        <v>3047</v>
      </c>
      <c r="H3" s="3285" t="s">
        <v>3048</v>
      </c>
      <c r="I3" s="3285" t="s">
        <v>3049</v>
      </c>
      <c r="J3" s="3285" t="s">
        <v>3049</v>
      </c>
      <c r="K3" s="3285">
        <v>71969</v>
      </c>
      <c r="L3" s="3285">
        <v>71969</v>
      </c>
      <c r="M3" s="3285">
        <v>6093.72</v>
      </c>
      <c r="N3" s="3285">
        <v>0</v>
      </c>
      <c r="O3" s="3285" t="s">
        <v>3054</v>
      </c>
      <c r="P3" s="3285" t="s">
        <v>3051</v>
      </c>
    </row>
    <row r="4" spans="1:17" s="3285" customFormat="1" ht="27">
      <c r="A4" s="3285" t="s">
        <v>3055</v>
      </c>
      <c r="B4" s="3285" t="s">
        <v>3044</v>
      </c>
      <c r="C4" s="3286" t="s">
        <v>3045</v>
      </c>
      <c r="D4" s="3285">
        <v>48963.88</v>
      </c>
      <c r="E4" s="3285">
        <v>122409.7</v>
      </c>
      <c r="F4" s="3286" t="s">
        <v>3056</v>
      </c>
      <c r="G4" s="3285" t="s">
        <v>3047</v>
      </c>
      <c r="H4" s="3285" t="s">
        <v>3048</v>
      </c>
      <c r="I4" s="3285" t="s">
        <v>3049</v>
      </c>
      <c r="J4" s="3285" t="s">
        <v>3049</v>
      </c>
      <c r="K4" s="3285">
        <v>40395</v>
      </c>
      <c r="L4" s="3285">
        <v>40395</v>
      </c>
      <c r="M4" s="3285">
        <v>3299.98</v>
      </c>
      <c r="N4" s="3285">
        <v>0</v>
      </c>
      <c r="O4" s="3285" t="s">
        <v>3050</v>
      </c>
      <c r="P4" s="3285" t="s">
        <v>3051</v>
      </c>
    </row>
    <row r="5" spans="1:17" s="3285" customFormat="1" ht="27">
      <c r="A5" s="3285" t="s">
        <v>3057</v>
      </c>
      <c r="B5" s="3285" t="s">
        <v>3044</v>
      </c>
      <c r="C5" s="3286" t="s">
        <v>3045</v>
      </c>
      <c r="D5" s="3285">
        <v>49894.49</v>
      </c>
      <c r="E5" s="3285">
        <v>124736.23</v>
      </c>
      <c r="F5" s="3286" t="s">
        <v>3056</v>
      </c>
      <c r="G5" s="3285" t="s">
        <v>3047</v>
      </c>
      <c r="H5" s="3285" t="s">
        <v>3048</v>
      </c>
      <c r="I5" s="3285" t="s">
        <v>3049</v>
      </c>
      <c r="J5" s="3285" t="s">
        <v>3049</v>
      </c>
      <c r="K5" s="3285">
        <v>41163</v>
      </c>
      <c r="L5" s="3285">
        <v>41163</v>
      </c>
      <c r="M5" s="3285">
        <v>3300</v>
      </c>
      <c r="N5" s="3285">
        <v>0</v>
      </c>
      <c r="O5" s="3285" t="s">
        <v>3050</v>
      </c>
      <c r="P5" s="3285" t="s">
        <v>3051</v>
      </c>
    </row>
    <row r="6" spans="1:17" s="3285" customFormat="1" ht="27">
      <c r="A6" s="3285" t="s">
        <v>3058</v>
      </c>
      <c r="B6" s="3285" t="s">
        <v>3044</v>
      </c>
      <c r="C6" s="3286" t="s">
        <v>3045</v>
      </c>
      <c r="D6" s="3285">
        <v>22892.06</v>
      </c>
      <c r="E6" s="3285">
        <v>34338.089999999997</v>
      </c>
      <c r="F6" s="3286" t="s">
        <v>3059</v>
      </c>
      <c r="G6" s="3285" t="s">
        <v>3047</v>
      </c>
      <c r="H6" s="3285" t="s">
        <v>3048</v>
      </c>
      <c r="I6" s="3285" t="s">
        <v>3049</v>
      </c>
      <c r="J6" s="3285" t="s">
        <v>3049</v>
      </c>
      <c r="K6" s="3285">
        <v>19916</v>
      </c>
      <c r="L6" s="3285">
        <v>19916</v>
      </c>
      <c r="M6" s="3285">
        <v>5799.97</v>
      </c>
      <c r="N6" s="3285">
        <v>0</v>
      </c>
      <c r="O6" s="3285" t="s">
        <v>3060</v>
      </c>
      <c r="P6" s="3285" t="s">
        <v>3051</v>
      </c>
    </row>
    <row r="7" spans="1:17" ht="27">
      <c r="A7" s="3287" t="s">
        <v>3061</v>
      </c>
      <c r="B7" s="3287" t="s">
        <v>3044</v>
      </c>
      <c r="C7" s="3288" t="s">
        <v>3045</v>
      </c>
      <c r="D7" s="3287">
        <v>16264.42</v>
      </c>
      <c r="E7" s="3287">
        <v>35781.72</v>
      </c>
      <c r="F7" s="3288" t="s">
        <v>3062</v>
      </c>
      <c r="G7" s="3287" t="s">
        <v>3047</v>
      </c>
      <c r="H7" s="3287" t="s">
        <v>3048</v>
      </c>
      <c r="I7" s="3287" t="s">
        <v>3063</v>
      </c>
      <c r="J7" s="3287" t="s">
        <v>3063</v>
      </c>
      <c r="K7" s="3287">
        <v>11710</v>
      </c>
      <c r="L7" s="3287">
        <v>11710</v>
      </c>
      <c r="M7" s="3287">
        <v>3272.61</v>
      </c>
      <c r="N7" s="3287">
        <v>0</v>
      </c>
      <c r="O7" s="3287" t="s">
        <v>3064</v>
      </c>
      <c r="P7" s="3287" t="s">
        <v>3051</v>
      </c>
    </row>
    <row r="8" spans="1:17" ht="27">
      <c r="A8" s="3287" t="s">
        <v>3065</v>
      </c>
      <c r="B8" s="3287" t="s">
        <v>3044</v>
      </c>
      <c r="C8" s="3288" t="s">
        <v>3045</v>
      </c>
      <c r="D8" s="3287">
        <v>46798.52</v>
      </c>
      <c r="E8" s="3287">
        <v>116996.3</v>
      </c>
      <c r="F8" s="3288" t="s">
        <v>3056</v>
      </c>
      <c r="G8" s="3287" t="s">
        <v>3047</v>
      </c>
      <c r="H8" s="3287" t="s">
        <v>3048</v>
      </c>
      <c r="I8" s="3287" t="s">
        <v>3063</v>
      </c>
      <c r="J8" s="3287" t="s">
        <v>3063</v>
      </c>
      <c r="K8" s="3287">
        <v>31589</v>
      </c>
      <c r="L8" s="3287">
        <v>31589</v>
      </c>
      <c r="M8" s="3287">
        <v>2700</v>
      </c>
      <c r="N8" s="3287">
        <v>0</v>
      </c>
      <c r="O8" s="3287" t="s">
        <v>3066</v>
      </c>
      <c r="P8" s="3287" t="s">
        <v>3051</v>
      </c>
    </row>
    <row r="9" spans="1:17" ht="27">
      <c r="A9" s="3287" t="s">
        <v>3067</v>
      </c>
      <c r="B9" s="3287" t="s">
        <v>3044</v>
      </c>
      <c r="C9" s="3288" t="s">
        <v>3045</v>
      </c>
      <c r="D9" s="3287">
        <v>46840.01</v>
      </c>
      <c r="E9" s="3287">
        <v>74944.02</v>
      </c>
      <c r="F9" s="3288" t="s">
        <v>3068</v>
      </c>
      <c r="G9" s="3287" t="s">
        <v>3047</v>
      </c>
      <c r="H9" s="3287" t="s">
        <v>3048</v>
      </c>
      <c r="I9" s="3287" t="s">
        <v>3063</v>
      </c>
      <c r="J9" s="3287" t="s">
        <v>3063</v>
      </c>
      <c r="K9" s="3287">
        <v>14052</v>
      </c>
      <c r="L9" s="3287">
        <v>14052</v>
      </c>
      <c r="M9" s="3287">
        <v>1875</v>
      </c>
      <c r="N9" s="3287">
        <v>0</v>
      </c>
      <c r="O9" s="3287" t="s">
        <v>3069</v>
      </c>
      <c r="P9" s="3287" t="s">
        <v>3070</v>
      </c>
    </row>
    <row r="10" spans="1:17" ht="27">
      <c r="A10" s="3287" t="s">
        <v>3071</v>
      </c>
      <c r="B10" s="3287" t="s">
        <v>3044</v>
      </c>
      <c r="C10" s="3288" t="s">
        <v>3045</v>
      </c>
      <c r="D10" s="3287">
        <v>49782.17</v>
      </c>
      <c r="E10" s="3287">
        <v>124455.43</v>
      </c>
      <c r="F10" s="3288" t="s">
        <v>3056</v>
      </c>
      <c r="G10" s="3287" t="s">
        <v>3047</v>
      </c>
      <c r="H10" s="3287" t="s">
        <v>3048</v>
      </c>
      <c r="I10" s="3287" t="s">
        <v>3063</v>
      </c>
      <c r="J10" s="3287" t="s">
        <v>3063</v>
      </c>
      <c r="K10" s="3287">
        <v>33603</v>
      </c>
      <c r="L10" s="3287">
        <v>33603</v>
      </c>
      <c r="M10" s="3287">
        <v>2700</v>
      </c>
      <c r="N10" s="3287">
        <v>0</v>
      </c>
      <c r="O10" s="3287" t="s">
        <v>3064</v>
      </c>
      <c r="P10" s="3287" t="s">
        <v>3051</v>
      </c>
    </row>
    <row r="11" spans="1:17" ht="27">
      <c r="A11" s="3287" t="s">
        <v>3174</v>
      </c>
      <c r="B11" s="3287" t="s">
        <v>3044</v>
      </c>
      <c r="C11" s="3288" t="s">
        <v>3045</v>
      </c>
      <c r="D11" s="3287">
        <v>28335.98</v>
      </c>
      <c r="E11" s="3287">
        <v>51004.76</v>
      </c>
      <c r="F11" s="3288" t="s">
        <v>3072</v>
      </c>
      <c r="G11" s="3287" t="s">
        <v>3047</v>
      </c>
      <c r="H11" s="3287" t="s">
        <v>3048</v>
      </c>
      <c r="I11" s="3287" t="s">
        <v>3063</v>
      </c>
      <c r="J11" s="3287" t="s">
        <v>3063</v>
      </c>
      <c r="K11" s="3287">
        <v>8501</v>
      </c>
      <c r="L11" s="3287">
        <v>8501</v>
      </c>
      <c r="M11" s="3287">
        <v>1666.71</v>
      </c>
      <c r="N11" s="3287">
        <v>0</v>
      </c>
      <c r="O11" s="3287" t="s">
        <v>3069</v>
      </c>
      <c r="P11" s="3287" t="s">
        <v>3070</v>
      </c>
    </row>
    <row r="12" spans="1:17" ht="27">
      <c r="A12" s="3287" t="s">
        <v>3073</v>
      </c>
      <c r="B12" s="3287" t="s">
        <v>3044</v>
      </c>
      <c r="C12" s="3288" t="s">
        <v>3045</v>
      </c>
      <c r="D12" s="3287">
        <v>47624.49</v>
      </c>
      <c r="E12" s="3287">
        <v>85724.08</v>
      </c>
      <c r="F12" s="3288" t="s">
        <v>3074</v>
      </c>
      <c r="G12" s="3287" t="s">
        <v>3047</v>
      </c>
      <c r="H12" s="3287" t="s">
        <v>3048</v>
      </c>
      <c r="I12" s="3287" t="s">
        <v>3063</v>
      </c>
      <c r="J12" s="3287" t="s">
        <v>3063</v>
      </c>
      <c r="K12" s="3287">
        <v>28575</v>
      </c>
      <c r="L12" s="3287">
        <v>28575</v>
      </c>
      <c r="M12" s="3287">
        <v>3333.36</v>
      </c>
      <c r="N12" s="3287">
        <v>0</v>
      </c>
      <c r="O12" s="3287" t="s">
        <v>3064</v>
      </c>
      <c r="P12" s="3287" t="s">
        <v>3051</v>
      </c>
    </row>
    <row r="13" spans="1:17" ht="27">
      <c r="A13" s="3287" t="s">
        <v>3075</v>
      </c>
      <c r="B13" s="3287" t="s">
        <v>3044</v>
      </c>
      <c r="C13" s="3288" t="s">
        <v>3045</v>
      </c>
      <c r="D13" s="3287">
        <v>35278.58</v>
      </c>
      <c r="E13" s="3287">
        <v>88196.45</v>
      </c>
      <c r="F13" s="3288" t="s">
        <v>3056</v>
      </c>
      <c r="G13" s="3287" t="s">
        <v>3047</v>
      </c>
      <c r="H13" s="3287" t="s">
        <v>3048</v>
      </c>
      <c r="I13" s="3287" t="s">
        <v>3063</v>
      </c>
      <c r="J13" s="3287" t="s">
        <v>3063</v>
      </c>
      <c r="K13" s="3287">
        <v>26459</v>
      </c>
      <c r="L13" s="3287">
        <v>26459</v>
      </c>
      <c r="M13" s="3287">
        <v>3000.01</v>
      </c>
      <c r="N13" s="3287">
        <v>0</v>
      </c>
      <c r="O13" s="3287" t="s">
        <v>3076</v>
      </c>
      <c r="P13" s="3287" t="s">
        <v>3051</v>
      </c>
    </row>
    <row r="14" spans="1:17" ht="27">
      <c r="A14" s="3287" t="s">
        <v>3077</v>
      </c>
      <c r="B14" s="3287" t="s">
        <v>3044</v>
      </c>
      <c r="C14" s="3288" t="s">
        <v>3045</v>
      </c>
      <c r="D14" s="3287">
        <v>17371.3</v>
      </c>
      <c r="E14" s="3287">
        <v>22582.69</v>
      </c>
      <c r="F14" s="3288" t="s">
        <v>3078</v>
      </c>
      <c r="G14" s="3287" t="s">
        <v>3047</v>
      </c>
      <c r="H14" s="3287" t="s">
        <v>3079</v>
      </c>
      <c r="I14" s="3287" t="s">
        <v>3080</v>
      </c>
      <c r="J14" s="3287" t="s">
        <v>3080</v>
      </c>
      <c r="K14" s="3287">
        <v>11204</v>
      </c>
      <c r="L14" s="3287">
        <v>11204</v>
      </c>
      <c r="M14" s="3287">
        <v>4961.3100000000004</v>
      </c>
      <c r="N14" s="3287">
        <v>0</v>
      </c>
      <c r="O14" s="3287" t="s">
        <v>3060</v>
      </c>
      <c r="P14" s="3287" t="s">
        <v>3051</v>
      </c>
    </row>
    <row r="15" spans="1:17" ht="27">
      <c r="A15" s="3287" t="s">
        <v>3081</v>
      </c>
      <c r="B15" s="3287" t="s">
        <v>3044</v>
      </c>
      <c r="C15" s="3288" t="s">
        <v>3045</v>
      </c>
      <c r="D15" s="3287">
        <v>31122.58</v>
      </c>
      <c r="E15" s="3287">
        <v>77806.45</v>
      </c>
      <c r="F15" s="3288" t="s">
        <v>3056</v>
      </c>
      <c r="G15" s="3287" t="s">
        <v>3047</v>
      </c>
      <c r="H15" s="3287" t="s">
        <v>3079</v>
      </c>
      <c r="I15" s="3287" t="s">
        <v>3080</v>
      </c>
      <c r="J15" s="3287" t="s">
        <v>3080</v>
      </c>
      <c r="K15" s="3287">
        <v>23342</v>
      </c>
      <c r="L15" s="3287">
        <v>23342</v>
      </c>
      <c r="M15" s="3287">
        <v>3000.01</v>
      </c>
      <c r="N15" s="3287">
        <v>0</v>
      </c>
      <c r="O15" s="3287" t="s">
        <v>3082</v>
      </c>
      <c r="P15" s="3287" t="s">
        <v>3051</v>
      </c>
    </row>
    <row r="16" spans="1:17" ht="27">
      <c r="A16" s="3287" t="s">
        <v>3083</v>
      </c>
      <c r="B16" s="3287" t="s">
        <v>3044</v>
      </c>
      <c r="C16" s="3288" t="s">
        <v>3045</v>
      </c>
      <c r="D16" s="3287">
        <v>4972.01</v>
      </c>
      <c r="E16" s="3287">
        <v>7458.02</v>
      </c>
      <c r="F16" s="3288" t="s">
        <v>3084</v>
      </c>
      <c r="G16" s="3287" t="s">
        <v>3047</v>
      </c>
      <c r="H16" s="3287" t="s">
        <v>3079</v>
      </c>
      <c r="I16" s="3287" t="s">
        <v>3080</v>
      </c>
      <c r="J16" s="3287" t="s">
        <v>3080</v>
      </c>
      <c r="K16" s="3287">
        <v>3132</v>
      </c>
      <c r="L16" s="3287">
        <v>3132</v>
      </c>
      <c r="M16" s="3287">
        <v>4199.51</v>
      </c>
      <c r="N16" s="3287">
        <v>0</v>
      </c>
      <c r="O16" s="3287" t="s">
        <v>3085</v>
      </c>
      <c r="P16" s="3287" t="s">
        <v>3051</v>
      </c>
    </row>
    <row r="17" spans="1:16">
      <c r="A17" s="3287" t="s">
        <v>3086</v>
      </c>
      <c r="B17" s="3287" t="s">
        <v>3044</v>
      </c>
      <c r="C17" s="3288" t="s">
        <v>3045</v>
      </c>
      <c r="D17" s="3287">
        <v>10677.41</v>
      </c>
      <c r="E17" s="3287">
        <v>11958.7</v>
      </c>
      <c r="F17" s="3288" t="s">
        <v>3087</v>
      </c>
      <c r="G17" s="3287" t="s">
        <v>3047</v>
      </c>
      <c r="H17" s="3287" t="s">
        <v>3079</v>
      </c>
      <c r="I17" s="3287" t="s">
        <v>3080</v>
      </c>
      <c r="J17" s="3287" t="s">
        <v>3080</v>
      </c>
      <c r="K17" s="3287">
        <v>7207</v>
      </c>
      <c r="L17" s="3287">
        <v>7207</v>
      </c>
      <c r="M17" s="3287">
        <v>6026.56</v>
      </c>
      <c r="N17" s="3287">
        <v>0</v>
      </c>
      <c r="O17" s="3287" t="s">
        <v>3085</v>
      </c>
      <c r="P17" s="3287" t="s">
        <v>3051</v>
      </c>
    </row>
    <row r="18" spans="1:16" ht="27">
      <c r="A18" s="3287" t="s">
        <v>3088</v>
      </c>
      <c r="B18" s="3287" t="s">
        <v>3044</v>
      </c>
      <c r="C18" s="3288" t="s">
        <v>3045</v>
      </c>
      <c r="D18" s="3287">
        <v>42699.13</v>
      </c>
      <c r="E18" s="3287">
        <v>68318.61</v>
      </c>
      <c r="F18" s="3288" t="s">
        <v>3089</v>
      </c>
      <c r="G18" s="3287" t="s">
        <v>3047</v>
      </c>
      <c r="H18" s="3287" t="s">
        <v>3079</v>
      </c>
      <c r="I18" s="3287" t="s">
        <v>3090</v>
      </c>
      <c r="J18" s="3287" t="s">
        <v>3090</v>
      </c>
      <c r="K18" s="3287">
        <v>18926</v>
      </c>
      <c r="L18" s="3287">
        <v>18926</v>
      </c>
      <c r="M18" s="3287">
        <v>2770.26</v>
      </c>
      <c r="N18" s="3287">
        <v>0</v>
      </c>
      <c r="O18" s="3287" t="s">
        <v>3091</v>
      </c>
      <c r="P18" s="3287" t="s">
        <v>3051</v>
      </c>
    </row>
    <row r="19" spans="1:16" ht="27">
      <c r="A19" s="3287" t="s">
        <v>3092</v>
      </c>
      <c r="B19" s="3287" t="s">
        <v>3044</v>
      </c>
      <c r="C19" s="3288" t="s">
        <v>3045</v>
      </c>
      <c r="D19" s="3287">
        <v>34585.449999999997</v>
      </c>
      <c r="E19" s="3287">
        <v>55336.72</v>
      </c>
      <c r="F19" s="3288" t="s">
        <v>3089</v>
      </c>
      <c r="G19" s="3287" t="s">
        <v>3047</v>
      </c>
      <c r="H19" s="3287" t="s">
        <v>3079</v>
      </c>
      <c r="I19" s="3287" t="s">
        <v>3090</v>
      </c>
      <c r="J19" s="3287" t="s">
        <v>3090</v>
      </c>
      <c r="K19" s="3287">
        <v>15434</v>
      </c>
      <c r="L19" s="3287">
        <v>15434</v>
      </c>
      <c r="M19" s="3287">
        <v>2789.11</v>
      </c>
      <c r="N19" s="3287">
        <v>0</v>
      </c>
      <c r="O19" s="3287" t="s">
        <v>3091</v>
      </c>
      <c r="P19" s="3287" t="s">
        <v>3051</v>
      </c>
    </row>
    <row r="20" spans="1:16" ht="27">
      <c r="A20" s="3287" t="s">
        <v>3093</v>
      </c>
      <c r="B20" s="3287" t="s">
        <v>3044</v>
      </c>
      <c r="C20" s="3288" t="s">
        <v>3045</v>
      </c>
      <c r="D20" s="3287">
        <v>60006.62</v>
      </c>
      <c r="E20" s="3287">
        <v>96010.59</v>
      </c>
      <c r="F20" s="3288" t="s">
        <v>3094</v>
      </c>
      <c r="G20" s="3287" t="s">
        <v>3047</v>
      </c>
      <c r="H20" s="3287" t="s">
        <v>3079</v>
      </c>
      <c r="I20" s="3287" t="s">
        <v>3090</v>
      </c>
      <c r="J20" s="3287" t="s">
        <v>3090</v>
      </c>
      <c r="K20" s="3287">
        <v>29010</v>
      </c>
      <c r="L20" s="3287">
        <v>29010</v>
      </c>
      <c r="M20" s="3287">
        <v>3021.53</v>
      </c>
      <c r="N20" s="3287">
        <v>0</v>
      </c>
      <c r="O20" s="3287" t="s">
        <v>3091</v>
      </c>
      <c r="P20" s="3287" t="s">
        <v>3051</v>
      </c>
    </row>
    <row r="21" spans="1:16" ht="27">
      <c r="A21" s="3287" t="s">
        <v>3095</v>
      </c>
      <c r="B21" s="3287" t="s">
        <v>3044</v>
      </c>
      <c r="C21" s="3288" t="s">
        <v>3045</v>
      </c>
      <c r="D21" s="3287">
        <v>14691.84</v>
      </c>
      <c r="E21" s="3287">
        <v>36729.599999999999</v>
      </c>
      <c r="F21" s="3288" t="s">
        <v>3056</v>
      </c>
      <c r="G21" s="3287" t="s">
        <v>3047</v>
      </c>
      <c r="H21" s="3287" t="s">
        <v>3079</v>
      </c>
      <c r="I21" s="3287" t="s">
        <v>3096</v>
      </c>
      <c r="J21" s="3287" t="s">
        <v>3096</v>
      </c>
      <c r="K21" s="3287">
        <v>13223</v>
      </c>
      <c r="L21" s="3287">
        <v>18023</v>
      </c>
      <c r="M21" s="3287">
        <v>4906.93</v>
      </c>
      <c r="N21" s="3287">
        <v>36.299999999999997</v>
      </c>
      <c r="O21" s="3287" t="s">
        <v>3097</v>
      </c>
      <c r="P21" s="3287" t="s">
        <v>3051</v>
      </c>
    </row>
    <row r="22" spans="1:16" ht="27">
      <c r="A22" s="3287" t="s">
        <v>3098</v>
      </c>
      <c r="B22" s="3287" t="s">
        <v>3044</v>
      </c>
      <c r="C22" s="3288" t="s">
        <v>3045</v>
      </c>
      <c r="D22" s="3287">
        <v>1786.03</v>
      </c>
      <c r="E22" s="3287">
        <v>3214.85</v>
      </c>
      <c r="F22" s="3288" t="s">
        <v>3099</v>
      </c>
      <c r="G22" s="3287" t="s">
        <v>3047</v>
      </c>
      <c r="H22" s="3287" t="s">
        <v>3079</v>
      </c>
      <c r="I22" s="3287" t="s">
        <v>3096</v>
      </c>
      <c r="J22" s="3287" t="s">
        <v>3096</v>
      </c>
      <c r="K22" s="3287">
        <v>198</v>
      </c>
      <c r="L22" s="3287">
        <v>198</v>
      </c>
      <c r="M22" s="3287">
        <v>615.88</v>
      </c>
      <c r="N22" s="3287">
        <v>0</v>
      </c>
      <c r="O22" s="3287" t="s">
        <v>3100</v>
      </c>
      <c r="P22" s="3287" t="s">
        <v>3101</v>
      </c>
    </row>
    <row r="23" spans="1:16" ht="27">
      <c r="A23" s="3287" t="s">
        <v>3102</v>
      </c>
      <c r="B23" s="3287" t="s">
        <v>3044</v>
      </c>
      <c r="C23" s="3288" t="s">
        <v>3045</v>
      </c>
      <c r="D23" s="3287">
        <v>1610.84</v>
      </c>
      <c r="E23" s="3287">
        <v>4349.2700000000004</v>
      </c>
      <c r="F23" s="3288" t="s">
        <v>3103</v>
      </c>
      <c r="G23" s="3287" t="s">
        <v>3047</v>
      </c>
      <c r="H23" s="3287" t="s">
        <v>3079</v>
      </c>
      <c r="I23" s="3287" t="s">
        <v>3096</v>
      </c>
      <c r="J23" s="3287" t="s">
        <v>3096</v>
      </c>
      <c r="K23" s="3287">
        <v>1293</v>
      </c>
      <c r="L23" s="3287">
        <v>1293</v>
      </c>
      <c r="M23" s="3287">
        <v>2972.9</v>
      </c>
      <c r="N23" s="3287">
        <v>0</v>
      </c>
      <c r="O23" s="3287" t="s">
        <v>3050</v>
      </c>
      <c r="P23" s="3287" t="s">
        <v>3051</v>
      </c>
    </row>
    <row r="24" spans="1:16" ht="27">
      <c r="A24" s="3287" t="s">
        <v>3104</v>
      </c>
      <c r="B24" s="3287" t="s">
        <v>3044</v>
      </c>
      <c r="C24" s="3288" t="s">
        <v>3045</v>
      </c>
      <c r="D24" s="3287">
        <v>22071.77</v>
      </c>
      <c r="E24" s="3287">
        <v>37522.01</v>
      </c>
      <c r="F24" s="3288" t="s">
        <v>3105</v>
      </c>
      <c r="G24" s="3287" t="s">
        <v>3047</v>
      </c>
      <c r="H24" s="3287" t="s">
        <v>3079</v>
      </c>
      <c r="I24" s="3287" t="s">
        <v>3096</v>
      </c>
      <c r="J24" s="3287" t="s">
        <v>3096</v>
      </c>
      <c r="K24" s="3287">
        <v>18209</v>
      </c>
      <c r="L24" s="3287">
        <v>18209</v>
      </c>
      <c r="M24" s="3287">
        <v>4852.8900000000003</v>
      </c>
      <c r="N24" s="3287">
        <v>0</v>
      </c>
      <c r="O24" s="3287" t="s">
        <v>3106</v>
      </c>
      <c r="P24" s="3287" t="s">
        <v>3051</v>
      </c>
    </row>
    <row r="25" spans="1:16" ht="27">
      <c r="A25" s="3287" t="s">
        <v>3107</v>
      </c>
      <c r="B25" s="3287" t="s">
        <v>3044</v>
      </c>
      <c r="C25" s="3288" t="s">
        <v>3045</v>
      </c>
      <c r="D25" s="3287">
        <v>63095.1</v>
      </c>
      <c r="E25" s="3287">
        <v>157737.75</v>
      </c>
      <c r="F25" s="3288" t="s">
        <v>3056</v>
      </c>
      <c r="G25" s="3287" t="s">
        <v>3047</v>
      </c>
      <c r="H25" s="3287" t="s">
        <v>3079</v>
      </c>
      <c r="I25" s="3287" t="s">
        <v>3108</v>
      </c>
      <c r="J25" s="3287" t="s">
        <v>3108</v>
      </c>
      <c r="K25" s="3287">
        <v>31232</v>
      </c>
      <c r="L25" s="3287">
        <v>31232</v>
      </c>
      <c r="M25" s="3287">
        <v>1980</v>
      </c>
      <c r="N25" s="3287">
        <v>0</v>
      </c>
      <c r="O25" s="3287" t="s">
        <v>3109</v>
      </c>
      <c r="P25" s="3287" t="s">
        <v>3051</v>
      </c>
    </row>
    <row r="26" spans="1:16" ht="27">
      <c r="A26" s="3287" t="s">
        <v>3110</v>
      </c>
      <c r="B26" s="3287" t="s">
        <v>3044</v>
      </c>
      <c r="C26" s="3288" t="s">
        <v>3111</v>
      </c>
      <c r="D26" s="3287">
        <v>82189.039999999994</v>
      </c>
      <c r="E26" s="3287">
        <v>221910.39999999999</v>
      </c>
      <c r="F26" s="3288" t="s">
        <v>3112</v>
      </c>
      <c r="G26" s="3287" t="s">
        <v>3047</v>
      </c>
      <c r="H26" s="3287" t="s">
        <v>3113</v>
      </c>
      <c r="I26" s="3287" t="s">
        <v>3114</v>
      </c>
      <c r="J26" s="3287" t="s">
        <v>3114</v>
      </c>
      <c r="K26" s="3287">
        <v>29403</v>
      </c>
      <c r="L26" s="3287">
        <v>29403</v>
      </c>
      <c r="M26" s="3287">
        <v>1324.99</v>
      </c>
      <c r="N26" s="3287">
        <v>0</v>
      </c>
      <c r="O26" s="3287" t="s">
        <v>3115</v>
      </c>
      <c r="P26" s="3287" t="s">
        <v>3051</v>
      </c>
    </row>
    <row r="27" spans="1:16" ht="27">
      <c r="A27" s="3287" t="s">
        <v>3171</v>
      </c>
      <c r="B27" s="3287" t="s">
        <v>3044</v>
      </c>
      <c r="C27" s="3288" t="s">
        <v>3045</v>
      </c>
      <c r="D27" s="3287">
        <v>52281.32</v>
      </c>
      <c r="E27" s="3287">
        <v>135931.43</v>
      </c>
      <c r="F27" s="3288" t="s">
        <v>3116</v>
      </c>
      <c r="G27" s="3287" t="s">
        <v>3047</v>
      </c>
      <c r="H27" s="3287" t="s">
        <v>3079</v>
      </c>
      <c r="I27" s="3287" t="s">
        <v>3117</v>
      </c>
      <c r="J27" s="3287" t="s">
        <v>3117</v>
      </c>
      <c r="K27" s="3287">
        <v>29811</v>
      </c>
      <c r="L27" s="3287">
        <v>29811</v>
      </c>
      <c r="M27" s="3287">
        <v>2193.09</v>
      </c>
      <c r="N27" s="3287">
        <v>0</v>
      </c>
      <c r="O27" s="3287" t="s">
        <v>3115</v>
      </c>
      <c r="P27" s="3287" t="s">
        <v>3051</v>
      </c>
    </row>
    <row r="28" spans="1:16" s="3291" customFormat="1" ht="27">
      <c r="A28" s="3291" t="s">
        <v>3189</v>
      </c>
      <c r="B28" s="3291" t="s">
        <v>3044</v>
      </c>
      <c r="C28" s="3292" t="s">
        <v>3045</v>
      </c>
      <c r="D28" s="3291">
        <v>56956.800000000003</v>
      </c>
      <c r="E28" s="3291">
        <v>159479</v>
      </c>
      <c r="F28" s="3292" t="s">
        <v>3118</v>
      </c>
      <c r="G28" s="3291" t="s">
        <v>3047</v>
      </c>
      <c r="H28" s="3291" t="s">
        <v>3079</v>
      </c>
      <c r="I28" s="3291" t="s">
        <v>3117</v>
      </c>
      <c r="J28" s="3291" t="s">
        <v>3117</v>
      </c>
      <c r="K28" s="3291">
        <v>34174</v>
      </c>
      <c r="L28" s="3291">
        <v>34174</v>
      </c>
      <c r="M28" s="3291">
        <v>2142.84</v>
      </c>
      <c r="N28" s="3291">
        <v>0</v>
      </c>
      <c r="O28" s="3291" t="s">
        <v>3115</v>
      </c>
      <c r="P28" s="3291" t="s">
        <v>3070</v>
      </c>
    </row>
    <row r="29" spans="1:16" ht="27">
      <c r="A29" s="3287" t="s">
        <v>3119</v>
      </c>
      <c r="B29" s="3287" t="s">
        <v>3044</v>
      </c>
      <c r="C29" s="3288" t="s">
        <v>3045</v>
      </c>
      <c r="D29" s="3287">
        <v>16264.42</v>
      </c>
      <c r="E29" s="3287">
        <v>35781.72</v>
      </c>
      <c r="F29" s="3288" t="s">
        <v>3062</v>
      </c>
      <c r="G29" s="3287" t="s">
        <v>3047</v>
      </c>
      <c r="H29" s="3287" t="s">
        <v>3079</v>
      </c>
      <c r="I29" s="3287" t="s">
        <v>3117</v>
      </c>
      <c r="J29" s="3287" t="s">
        <v>3117</v>
      </c>
      <c r="K29" s="3287">
        <v>11710</v>
      </c>
      <c r="L29" s="3287">
        <v>11710</v>
      </c>
      <c r="M29" s="3287">
        <v>3272.61</v>
      </c>
      <c r="N29" s="3287">
        <v>0</v>
      </c>
      <c r="O29" s="3287" t="s">
        <v>3050</v>
      </c>
      <c r="P29" s="3287" t="s">
        <v>3101</v>
      </c>
    </row>
    <row r="30" spans="1:16" ht="27">
      <c r="A30" s="3287" t="s">
        <v>3120</v>
      </c>
      <c r="B30" s="3287" t="s">
        <v>3044</v>
      </c>
      <c r="C30" s="3288" t="s">
        <v>3045</v>
      </c>
      <c r="D30" s="3287">
        <v>26270.560000000001</v>
      </c>
      <c r="E30" s="3287">
        <v>39405.839999999997</v>
      </c>
      <c r="F30" s="3288" t="s">
        <v>3059</v>
      </c>
      <c r="G30" s="3287" t="s">
        <v>3047</v>
      </c>
      <c r="H30" s="3287" t="s">
        <v>3079</v>
      </c>
      <c r="I30" s="3287" t="s">
        <v>3121</v>
      </c>
      <c r="J30" s="3287" t="s">
        <v>3121</v>
      </c>
      <c r="K30" s="3287">
        <v>22855</v>
      </c>
      <c r="L30" s="3287">
        <v>22855</v>
      </c>
      <c r="M30" s="3287">
        <v>5799.89</v>
      </c>
      <c r="N30" s="3287">
        <v>0</v>
      </c>
      <c r="O30" s="3287" t="s">
        <v>3050</v>
      </c>
      <c r="P30" s="3287" t="s">
        <v>3101</v>
      </c>
    </row>
    <row r="31" spans="1:16" ht="27">
      <c r="A31" s="3287" t="s">
        <v>3122</v>
      </c>
      <c r="B31" s="3287" t="s">
        <v>3044</v>
      </c>
      <c r="C31" s="3288" t="s">
        <v>3045</v>
      </c>
      <c r="D31" s="3287">
        <v>10080.6</v>
      </c>
      <c r="E31" s="3287">
        <v>13104.78</v>
      </c>
      <c r="F31" s="3288" t="s">
        <v>3123</v>
      </c>
      <c r="G31" s="3287" t="s">
        <v>3047</v>
      </c>
      <c r="H31" s="3287" t="s">
        <v>3079</v>
      </c>
      <c r="I31" s="3287" t="s">
        <v>3121</v>
      </c>
      <c r="J31" s="3287" t="s">
        <v>3121</v>
      </c>
      <c r="K31" s="3287">
        <v>8360</v>
      </c>
      <c r="L31" s="3287">
        <v>8360</v>
      </c>
      <c r="M31" s="3287">
        <v>6379.35</v>
      </c>
      <c r="N31" s="3287">
        <v>0</v>
      </c>
      <c r="O31" s="3287" t="s">
        <v>3124</v>
      </c>
      <c r="P31" s="3287" t="s">
        <v>3051</v>
      </c>
    </row>
    <row r="32" spans="1:16" ht="27">
      <c r="A32" s="3287" t="s">
        <v>3125</v>
      </c>
      <c r="B32" s="3287" t="s">
        <v>3044</v>
      </c>
      <c r="C32" s="3288" t="s">
        <v>3045</v>
      </c>
      <c r="D32" s="3287">
        <v>12847.26</v>
      </c>
      <c r="E32" s="3287">
        <v>15416.71</v>
      </c>
      <c r="F32" s="3288" t="s">
        <v>3126</v>
      </c>
      <c r="G32" s="3287" t="s">
        <v>3047</v>
      </c>
      <c r="H32" s="3287" t="s">
        <v>3079</v>
      </c>
      <c r="I32" s="3287" t="s">
        <v>3121</v>
      </c>
      <c r="J32" s="3287" t="s">
        <v>3121</v>
      </c>
      <c r="K32" s="3287">
        <v>9809</v>
      </c>
      <c r="L32" s="3287">
        <v>9809</v>
      </c>
      <c r="M32" s="3287">
        <v>6362.57</v>
      </c>
      <c r="N32" s="3287">
        <v>0</v>
      </c>
      <c r="O32" s="3287" t="s">
        <v>3124</v>
      </c>
      <c r="P32" s="3287" t="s">
        <v>3051</v>
      </c>
    </row>
    <row r="33" spans="1:16" s="3291" customFormat="1" ht="27">
      <c r="A33" s="3291" t="s">
        <v>3188</v>
      </c>
      <c r="B33" s="3291" t="s">
        <v>3044</v>
      </c>
      <c r="C33" s="3292" t="s">
        <v>3045</v>
      </c>
      <c r="D33" s="3291">
        <v>5992.4</v>
      </c>
      <c r="E33" s="3291">
        <v>8389.36</v>
      </c>
      <c r="F33" s="3292" t="s">
        <v>3127</v>
      </c>
      <c r="G33" s="3291" t="s">
        <v>3047</v>
      </c>
      <c r="H33" s="3291" t="s">
        <v>3079</v>
      </c>
      <c r="I33" s="3291" t="s">
        <v>3121</v>
      </c>
      <c r="J33" s="3291" t="s">
        <v>3121</v>
      </c>
      <c r="K33" s="3291">
        <v>1698</v>
      </c>
      <c r="L33" s="3291">
        <v>1698</v>
      </c>
      <c r="M33" s="3291">
        <v>2023.99</v>
      </c>
      <c r="N33" s="3291">
        <v>0</v>
      </c>
      <c r="O33" s="3291" t="s">
        <v>3128</v>
      </c>
      <c r="P33" s="3291" t="s">
        <v>3101</v>
      </c>
    </row>
    <row r="34" spans="1:16" ht="27">
      <c r="A34" s="3287" t="s">
        <v>3187</v>
      </c>
      <c r="B34" s="3287" t="s">
        <v>3044</v>
      </c>
      <c r="C34" s="3288" t="s">
        <v>3045</v>
      </c>
      <c r="D34" s="3287">
        <v>3244.15</v>
      </c>
      <c r="E34" s="3287">
        <v>3892.98</v>
      </c>
      <c r="F34" s="3288" t="s">
        <v>3126</v>
      </c>
      <c r="G34" s="3287" t="s">
        <v>3047</v>
      </c>
      <c r="H34" s="3287" t="s">
        <v>3079</v>
      </c>
      <c r="I34" s="3287" t="s">
        <v>3129</v>
      </c>
      <c r="J34" s="3287" t="s">
        <v>3129</v>
      </c>
      <c r="K34" s="3287">
        <v>2756</v>
      </c>
      <c r="L34" s="3287">
        <v>2756</v>
      </c>
      <c r="M34" s="3287">
        <v>7079.4</v>
      </c>
      <c r="N34" s="3287">
        <v>0</v>
      </c>
      <c r="O34" s="3287" t="s">
        <v>3066</v>
      </c>
      <c r="P34" s="3287" t="s">
        <v>3051</v>
      </c>
    </row>
    <row r="35" spans="1:16" ht="27">
      <c r="A35" s="3287" t="s">
        <v>3130</v>
      </c>
      <c r="B35" s="3287" t="s">
        <v>3044</v>
      </c>
      <c r="C35" s="3288" t="s">
        <v>3045</v>
      </c>
      <c r="D35" s="3287">
        <v>12029.03</v>
      </c>
      <c r="E35" s="3287">
        <v>16840.64</v>
      </c>
      <c r="F35" s="3288" t="s">
        <v>3127</v>
      </c>
      <c r="G35" s="3287" t="s">
        <v>3047</v>
      </c>
      <c r="H35" s="3287" t="s">
        <v>3079</v>
      </c>
      <c r="I35" s="3287" t="s">
        <v>3129</v>
      </c>
      <c r="J35" s="3287" t="s">
        <v>3129</v>
      </c>
      <c r="K35" s="3287">
        <v>7578</v>
      </c>
      <c r="L35" s="3287">
        <v>7678</v>
      </c>
      <c r="M35" s="3287">
        <v>4559.21</v>
      </c>
      <c r="N35" s="3287">
        <v>1.32</v>
      </c>
      <c r="O35" s="3287" t="s">
        <v>3131</v>
      </c>
      <c r="P35" s="3287" t="s">
        <v>3051</v>
      </c>
    </row>
    <row r="36" spans="1:16" s="3291" customFormat="1" ht="27">
      <c r="A36" s="3291" t="s">
        <v>3132</v>
      </c>
      <c r="B36" s="3291" t="s">
        <v>3044</v>
      </c>
      <c r="C36" s="3292" t="s">
        <v>3045</v>
      </c>
      <c r="D36" s="3291">
        <v>2118.7800000000002</v>
      </c>
      <c r="E36" s="3291">
        <v>3368.86</v>
      </c>
      <c r="F36" s="3292" t="s">
        <v>3133</v>
      </c>
      <c r="G36" s="3291" t="s">
        <v>3047</v>
      </c>
      <c r="H36" s="3291" t="s">
        <v>3134</v>
      </c>
      <c r="I36" s="3291" t="s">
        <v>3135</v>
      </c>
      <c r="J36" s="3291" t="s">
        <v>3135</v>
      </c>
      <c r="K36" s="3291">
        <v>592</v>
      </c>
      <c r="L36" s="3291">
        <v>592</v>
      </c>
      <c r="M36" s="3291">
        <v>1757.26</v>
      </c>
      <c r="N36" s="3291">
        <v>0</v>
      </c>
      <c r="O36" s="3291" t="s">
        <v>3136</v>
      </c>
      <c r="P36" s="3291" t="s">
        <v>3070</v>
      </c>
    </row>
    <row r="37" spans="1:16" ht="27">
      <c r="A37" s="3287" t="s">
        <v>3137</v>
      </c>
      <c r="B37" s="3287" t="s">
        <v>3044</v>
      </c>
      <c r="C37" s="3288" t="s">
        <v>3045</v>
      </c>
      <c r="D37" s="3287">
        <v>25919.360000000001</v>
      </c>
      <c r="E37" s="3287">
        <v>57022.59</v>
      </c>
      <c r="F37" s="3288" t="s">
        <v>3062</v>
      </c>
      <c r="G37" s="3287" t="s">
        <v>3047</v>
      </c>
      <c r="H37" s="3287" t="s">
        <v>3138</v>
      </c>
      <c r="I37" s="3287" t="s">
        <v>3135</v>
      </c>
      <c r="J37" s="3287" t="s">
        <v>3135</v>
      </c>
      <c r="K37" s="3287">
        <v>5204</v>
      </c>
      <c r="L37" s="3287">
        <v>5204</v>
      </c>
      <c r="M37" s="3287">
        <v>912.62</v>
      </c>
      <c r="N37" s="3287">
        <v>0</v>
      </c>
      <c r="O37" s="3287" t="s">
        <v>3139</v>
      </c>
      <c r="P37" s="3287" t="s">
        <v>3051</v>
      </c>
    </row>
    <row r="38" spans="1:16" ht="27">
      <c r="A38" s="3287" t="s">
        <v>3140</v>
      </c>
      <c r="B38" s="3287" t="s">
        <v>3044</v>
      </c>
      <c r="C38" s="3288" t="s">
        <v>3045</v>
      </c>
      <c r="D38" s="3287">
        <v>7705.68</v>
      </c>
      <c r="E38" s="3287">
        <v>7782.74</v>
      </c>
      <c r="F38" s="3288" t="s">
        <v>3141</v>
      </c>
      <c r="G38" s="3287" t="s">
        <v>3047</v>
      </c>
      <c r="H38" s="3287" t="s">
        <v>3134</v>
      </c>
      <c r="I38" s="3287" t="s">
        <v>3135</v>
      </c>
      <c r="J38" s="3287" t="s">
        <v>3135</v>
      </c>
      <c r="K38" s="3287">
        <v>6242</v>
      </c>
      <c r="L38" s="3287">
        <v>6242</v>
      </c>
      <c r="M38" s="3287">
        <v>8020.31</v>
      </c>
      <c r="N38" s="3287">
        <v>0</v>
      </c>
      <c r="O38" s="3287" t="s">
        <v>3142</v>
      </c>
      <c r="P38" s="3287" t="s">
        <v>3051</v>
      </c>
    </row>
    <row r="39" spans="1:16" ht="27">
      <c r="A39" s="3287" t="s">
        <v>3143</v>
      </c>
      <c r="B39" s="3287" t="s">
        <v>3044</v>
      </c>
      <c r="C39" s="3288" t="s">
        <v>3045</v>
      </c>
      <c r="D39" s="3287">
        <v>40249.47</v>
      </c>
      <c r="E39" s="3287">
        <v>88548.83</v>
      </c>
      <c r="F39" s="3288" t="s">
        <v>3062</v>
      </c>
      <c r="G39" s="3287" t="s">
        <v>3047</v>
      </c>
      <c r="H39" s="3287" t="s">
        <v>3134</v>
      </c>
      <c r="I39" s="3287" t="s">
        <v>3135</v>
      </c>
      <c r="J39" s="3287" t="s">
        <v>3135</v>
      </c>
      <c r="K39" s="3287">
        <v>27772</v>
      </c>
      <c r="L39" s="3287">
        <v>27772</v>
      </c>
      <c r="M39" s="3287">
        <v>3136.34</v>
      </c>
      <c r="N39" s="3287">
        <v>0</v>
      </c>
      <c r="O39" s="3287" t="s">
        <v>3144</v>
      </c>
      <c r="P39" s="3287" t="s">
        <v>3051</v>
      </c>
    </row>
    <row r="40" spans="1:16" s="3289" customFormat="1" ht="27">
      <c r="A40" s="3289" t="s">
        <v>3145</v>
      </c>
      <c r="B40" s="3289" t="s">
        <v>3044</v>
      </c>
      <c r="C40" s="3290" t="s">
        <v>3045</v>
      </c>
      <c r="D40" s="3289">
        <v>14690.24</v>
      </c>
      <c r="E40" s="3289">
        <v>22035.360000000001</v>
      </c>
      <c r="F40" s="3290" t="s">
        <v>3084</v>
      </c>
      <c r="G40" s="3289" t="s">
        <v>3047</v>
      </c>
      <c r="H40" s="3289" t="s">
        <v>3134</v>
      </c>
      <c r="I40" s="3289" t="s">
        <v>3135</v>
      </c>
      <c r="J40" s="3289" t="s">
        <v>3135</v>
      </c>
      <c r="K40" s="3289">
        <v>1615</v>
      </c>
      <c r="L40" s="3289">
        <v>1615</v>
      </c>
      <c r="M40" s="3289">
        <v>732.9</v>
      </c>
      <c r="N40" s="3289">
        <v>0</v>
      </c>
      <c r="O40" s="3289" t="s">
        <v>3146</v>
      </c>
      <c r="P40" s="3289" t="s">
        <v>3101</v>
      </c>
    </row>
    <row r="41" spans="1:16" ht="27">
      <c r="A41" s="3287" t="s">
        <v>3147</v>
      </c>
      <c r="B41" s="3287" t="s">
        <v>3044</v>
      </c>
      <c r="C41" s="3288" t="s">
        <v>3045</v>
      </c>
      <c r="D41" s="3287">
        <v>30967.75</v>
      </c>
      <c r="E41" s="3287">
        <v>40258.080000000002</v>
      </c>
      <c r="F41" s="3288" t="s">
        <v>3123</v>
      </c>
      <c r="G41" s="3287" t="s">
        <v>3047</v>
      </c>
      <c r="H41" s="3287" t="s">
        <v>3138</v>
      </c>
      <c r="I41" s="3287" t="s">
        <v>3135</v>
      </c>
      <c r="J41" s="3287" t="s">
        <v>3135</v>
      </c>
      <c r="K41" s="3287">
        <v>3637</v>
      </c>
      <c r="L41" s="3287">
        <v>3637</v>
      </c>
      <c r="M41" s="3287">
        <v>903.41</v>
      </c>
      <c r="N41" s="3287">
        <v>0</v>
      </c>
      <c r="O41" s="3287" t="s">
        <v>3069</v>
      </c>
      <c r="P41" s="3287" t="s">
        <v>3101</v>
      </c>
    </row>
    <row r="42" spans="1:16" s="3289" customFormat="1" ht="27">
      <c r="A42" s="3289" t="s">
        <v>3132</v>
      </c>
      <c r="B42" s="3289" t="s">
        <v>3044</v>
      </c>
      <c r="C42" s="3290" t="s">
        <v>3045</v>
      </c>
      <c r="D42" s="3289">
        <v>1020.98</v>
      </c>
      <c r="E42" s="3289">
        <v>1623.36</v>
      </c>
      <c r="F42" s="3290" t="s">
        <v>3133</v>
      </c>
      <c r="G42" s="3289" t="s">
        <v>3047</v>
      </c>
      <c r="H42" s="3289" t="s">
        <v>3134</v>
      </c>
      <c r="I42" s="3289" t="s">
        <v>3135</v>
      </c>
      <c r="J42" s="3289" t="s">
        <v>3135</v>
      </c>
      <c r="K42" s="3289">
        <v>285</v>
      </c>
      <c r="L42" s="3289">
        <v>285</v>
      </c>
      <c r="M42" s="3289">
        <v>1755.61</v>
      </c>
      <c r="N42" s="3289">
        <v>0</v>
      </c>
      <c r="O42" s="3289" t="s">
        <v>3136</v>
      </c>
      <c r="P42" s="3289" t="s">
        <v>3070</v>
      </c>
    </row>
    <row r="43" spans="1:16" s="3289" customFormat="1" ht="27">
      <c r="A43" s="3289" t="s">
        <v>3148</v>
      </c>
      <c r="B43" s="3289" t="s">
        <v>3044</v>
      </c>
      <c r="C43" s="3290" t="s">
        <v>3045</v>
      </c>
      <c r="D43" s="3289">
        <v>1093.3699999999999</v>
      </c>
      <c r="E43" s="3289">
        <v>1640.06</v>
      </c>
      <c r="F43" s="3290" t="s">
        <v>3084</v>
      </c>
      <c r="G43" s="3289" t="s">
        <v>3047</v>
      </c>
      <c r="H43" s="3289" t="s">
        <v>3134</v>
      </c>
      <c r="I43" s="3289" t="s">
        <v>3135</v>
      </c>
      <c r="J43" s="3289" t="s">
        <v>3135</v>
      </c>
      <c r="K43" s="3289">
        <v>271</v>
      </c>
      <c r="L43" s="3289">
        <v>271</v>
      </c>
      <c r="M43" s="3289">
        <v>1652.38</v>
      </c>
      <c r="N43" s="3289">
        <v>0</v>
      </c>
      <c r="O43" s="3289" t="s">
        <v>3149</v>
      </c>
      <c r="P43" s="3289" t="s">
        <v>3101</v>
      </c>
    </row>
    <row r="44" spans="1:16" s="3289" customFormat="1" ht="27">
      <c r="A44" s="3289" t="s">
        <v>3132</v>
      </c>
      <c r="B44" s="3289" t="s">
        <v>3044</v>
      </c>
      <c r="C44" s="3290" t="s">
        <v>3045</v>
      </c>
      <c r="D44" s="3289">
        <v>1644.63</v>
      </c>
      <c r="E44" s="3289">
        <v>2614.96</v>
      </c>
      <c r="F44" s="3290" t="s">
        <v>3133</v>
      </c>
      <c r="G44" s="3289" t="s">
        <v>3047</v>
      </c>
      <c r="H44" s="3289" t="s">
        <v>3134</v>
      </c>
      <c r="I44" s="3289" t="s">
        <v>3135</v>
      </c>
      <c r="J44" s="3289" t="s">
        <v>3135</v>
      </c>
      <c r="K44" s="3289">
        <v>460</v>
      </c>
      <c r="L44" s="3289">
        <v>460</v>
      </c>
      <c r="M44" s="3289">
        <v>1759.1</v>
      </c>
      <c r="N44" s="3289">
        <v>0</v>
      </c>
      <c r="O44" s="3289" t="s">
        <v>3136</v>
      </c>
      <c r="P44" s="3289" t="s">
        <v>3070</v>
      </c>
    </row>
    <row r="45" spans="1:16" ht="27">
      <c r="A45" s="3287" t="s">
        <v>3150</v>
      </c>
      <c r="B45" s="3287" t="s">
        <v>3044</v>
      </c>
      <c r="C45" s="3288" t="s">
        <v>3045</v>
      </c>
      <c r="D45" s="3287">
        <v>4378</v>
      </c>
      <c r="E45" s="3287">
        <v>7880.4</v>
      </c>
      <c r="F45" s="3288" t="s">
        <v>3151</v>
      </c>
      <c r="G45" s="3287" t="s">
        <v>3047</v>
      </c>
      <c r="H45" s="3287" t="s">
        <v>3134</v>
      </c>
      <c r="I45" s="3287" t="s">
        <v>3152</v>
      </c>
      <c r="J45" s="3287" t="s">
        <v>3152</v>
      </c>
      <c r="K45" s="3287">
        <v>2298</v>
      </c>
      <c r="L45" s="3287">
        <v>4098</v>
      </c>
      <c r="M45" s="3287">
        <v>5200.2299999999996</v>
      </c>
      <c r="N45" s="3287">
        <v>78.33</v>
      </c>
      <c r="O45" s="3287" t="s">
        <v>3153</v>
      </c>
      <c r="P45" s="3287" t="s">
        <v>3051</v>
      </c>
    </row>
    <row r="46" spans="1:16" ht="27">
      <c r="A46" s="3287" t="s">
        <v>3154</v>
      </c>
      <c r="B46" s="3287" t="s">
        <v>3044</v>
      </c>
      <c r="C46" s="3288" t="s">
        <v>3045</v>
      </c>
      <c r="D46" s="3287">
        <v>55262.09</v>
      </c>
      <c r="E46" s="3287">
        <v>121576.6</v>
      </c>
      <c r="F46" s="3288" t="s">
        <v>3155</v>
      </c>
      <c r="G46" s="3287" t="s">
        <v>3047</v>
      </c>
      <c r="H46" s="3287" t="s">
        <v>3134</v>
      </c>
      <c r="I46" s="3287" t="s">
        <v>3152</v>
      </c>
      <c r="J46" s="3287" t="s">
        <v>3152</v>
      </c>
      <c r="K46" s="3287">
        <v>31582</v>
      </c>
      <c r="L46" s="3287">
        <v>58782</v>
      </c>
      <c r="M46" s="3287">
        <v>4834.97</v>
      </c>
      <c r="N46" s="3287">
        <v>86.13</v>
      </c>
      <c r="O46" s="3287" t="s">
        <v>3156</v>
      </c>
      <c r="P46" s="3287" t="s">
        <v>3051</v>
      </c>
    </row>
    <row r="47" spans="1:16" ht="27">
      <c r="A47" s="3287" t="s">
        <v>3157</v>
      </c>
      <c r="B47" s="3287" t="s">
        <v>3044</v>
      </c>
      <c r="C47" s="3288" t="s">
        <v>3045</v>
      </c>
      <c r="D47" s="3287">
        <v>40593.1</v>
      </c>
      <c r="E47" s="3287">
        <v>81186.2</v>
      </c>
      <c r="F47" s="3288" t="s">
        <v>3158</v>
      </c>
      <c r="G47" s="3287" t="s">
        <v>3047</v>
      </c>
      <c r="H47" s="3287" t="s">
        <v>3138</v>
      </c>
      <c r="I47" s="3287" t="s">
        <v>3159</v>
      </c>
      <c r="J47" s="3287" t="s">
        <v>3159</v>
      </c>
      <c r="K47" s="3287">
        <v>4986</v>
      </c>
      <c r="L47" s="3287">
        <v>4986</v>
      </c>
      <c r="M47" s="3287">
        <v>614.13</v>
      </c>
      <c r="N47" s="3287">
        <v>0</v>
      </c>
      <c r="O47" s="3287" t="s">
        <v>3160</v>
      </c>
      <c r="P47" s="3287" t="s">
        <v>3101</v>
      </c>
    </row>
    <row r="48" spans="1:16" ht="27">
      <c r="A48" s="3287" t="s">
        <v>3161</v>
      </c>
      <c r="B48" s="3287" t="s">
        <v>3044</v>
      </c>
      <c r="C48" s="3288" t="s">
        <v>3045</v>
      </c>
      <c r="D48" s="3287">
        <v>35564.54</v>
      </c>
      <c r="E48" s="3287">
        <v>71129.08</v>
      </c>
      <c r="F48" s="3288" t="s">
        <v>3158</v>
      </c>
      <c r="G48" s="3287" t="s">
        <v>3047</v>
      </c>
      <c r="H48" s="3287" t="s">
        <v>3138</v>
      </c>
      <c r="I48" s="3287" t="s">
        <v>3159</v>
      </c>
      <c r="J48" s="3287" t="s">
        <v>3159</v>
      </c>
      <c r="K48" s="3287">
        <v>4376</v>
      </c>
      <c r="L48" s="3287">
        <v>4376</v>
      </c>
      <c r="M48" s="3287">
        <v>615.22</v>
      </c>
      <c r="N48" s="3287">
        <v>0</v>
      </c>
      <c r="O48" s="3287" t="s">
        <v>3160</v>
      </c>
      <c r="P48" s="3287" t="s">
        <v>3101</v>
      </c>
    </row>
    <row r="49" spans="1:16" ht="27">
      <c r="A49" s="3287" t="s">
        <v>3162</v>
      </c>
      <c r="B49" s="3287" t="s">
        <v>3044</v>
      </c>
      <c r="C49" s="3288" t="s">
        <v>3045</v>
      </c>
      <c r="D49" s="3287">
        <v>53339.83</v>
      </c>
      <c r="E49" s="3287">
        <v>174954.6</v>
      </c>
      <c r="F49" s="3288" t="s">
        <v>3163</v>
      </c>
      <c r="G49" s="3287" t="s">
        <v>3047</v>
      </c>
      <c r="H49" s="3287" t="s">
        <v>3134</v>
      </c>
      <c r="I49" s="3287" t="s">
        <v>3164</v>
      </c>
      <c r="J49" s="3287" t="s">
        <v>3164</v>
      </c>
      <c r="K49" s="3287">
        <v>28805</v>
      </c>
      <c r="L49" s="3287">
        <v>35605</v>
      </c>
      <c r="M49" s="3287">
        <v>2035.09</v>
      </c>
      <c r="N49" s="3287">
        <v>23.61</v>
      </c>
      <c r="O49" s="3287" t="s">
        <v>3165</v>
      </c>
      <c r="P49" s="3287" t="s">
        <v>3051</v>
      </c>
    </row>
    <row r="50" spans="1:16" ht="27">
      <c r="A50" s="3287" t="s">
        <v>3166</v>
      </c>
      <c r="B50" s="3287" t="s">
        <v>3044</v>
      </c>
      <c r="C50" s="3288" t="s">
        <v>3045</v>
      </c>
      <c r="D50" s="3287">
        <v>67785.55</v>
      </c>
      <c r="E50" s="3287">
        <v>135571.1</v>
      </c>
      <c r="F50" s="3288" t="s">
        <v>3158</v>
      </c>
      <c r="G50" s="3287" t="s">
        <v>3047</v>
      </c>
      <c r="H50" s="3287" t="s">
        <v>3134</v>
      </c>
      <c r="I50" s="3287" t="s">
        <v>3164</v>
      </c>
      <c r="J50" s="3287" t="s">
        <v>3164</v>
      </c>
      <c r="K50" s="3287">
        <v>30808</v>
      </c>
      <c r="L50" s="3287">
        <v>30808</v>
      </c>
      <c r="M50" s="3287">
        <v>2272.46</v>
      </c>
      <c r="N50" s="3287">
        <v>0</v>
      </c>
      <c r="O50" s="3287" t="s">
        <v>3167</v>
      </c>
      <c r="P50" s="3287" t="s">
        <v>3051</v>
      </c>
    </row>
    <row r="51" spans="1:16" ht="27">
      <c r="A51" s="3287" t="s">
        <v>3168</v>
      </c>
      <c r="B51" s="3287" t="s">
        <v>3044</v>
      </c>
      <c r="C51" s="3288" t="s">
        <v>3045</v>
      </c>
      <c r="D51" s="3287">
        <v>21119.66</v>
      </c>
      <c r="E51" s="3287">
        <v>49631.199999999997</v>
      </c>
      <c r="F51" s="3288" t="s">
        <v>3169</v>
      </c>
      <c r="G51" s="3287" t="s">
        <v>3047</v>
      </c>
      <c r="H51" s="3287" t="s">
        <v>3138</v>
      </c>
      <c r="I51" s="3287" t="s">
        <v>3164</v>
      </c>
      <c r="J51" s="3287" t="s">
        <v>3164</v>
      </c>
      <c r="K51" s="3287">
        <v>1426</v>
      </c>
      <c r="L51" s="3287">
        <v>1426</v>
      </c>
      <c r="M51" s="3287">
        <v>287.31</v>
      </c>
      <c r="N51" s="3287">
        <v>0</v>
      </c>
      <c r="O51" s="3287" t="s">
        <v>3170</v>
      </c>
      <c r="P51" s="3287" t="s">
        <v>3101</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K15"/>
  <sheetViews>
    <sheetView workbookViewId="0">
      <selection activeCell="K19" sqref="K19"/>
    </sheetView>
  </sheetViews>
  <sheetFormatPr defaultRowHeight="13.5"/>
  <cols>
    <col min="6" max="10" width="13.875" customWidth="1"/>
  </cols>
  <sheetData>
    <row r="11" spans="6:11" ht="33">
      <c r="F11" s="3284" t="s">
        <v>3179</v>
      </c>
      <c r="G11" s="3284" t="s">
        <v>3180</v>
      </c>
      <c r="H11" s="3284" t="s">
        <v>3181</v>
      </c>
      <c r="I11" s="3284" t="s">
        <v>3182</v>
      </c>
      <c r="J11" s="3284" t="s">
        <v>3183</v>
      </c>
    </row>
    <row r="12" spans="6:11" ht="49.5">
      <c r="F12" s="3284" t="s">
        <v>3175</v>
      </c>
      <c r="G12" s="3284" t="s">
        <v>3184</v>
      </c>
      <c r="H12" s="3284">
        <v>72989.7</v>
      </c>
      <c r="I12" s="3284">
        <v>20854.2</v>
      </c>
      <c r="J12" s="3284">
        <v>12665</v>
      </c>
      <c r="K12">
        <v>13042</v>
      </c>
    </row>
    <row r="13" spans="6:11" ht="49.5">
      <c r="F13" s="3284" t="s">
        <v>3176</v>
      </c>
      <c r="G13" s="3284" t="s">
        <v>3185</v>
      </c>
      <c r="H13" s="3284">
        <v>70400.400000000009</v>
      </c>
      <c r="I13" s="3284">
        <v>20114.400000000001</v>
      </c>
      <c r="J13" s="3284">
        <v>10606</v>
      </c>
      <c r="K13">
        <v>10638</v>
      </c>
    </row>
    <row r="14" spans="6:11" ht="33">
      <c r="F14" s="3284" t="s">
        <v>3177</v>
      </c>
      <c r="G14" s="3284" t="s">
        <v>3178</v>
      </c>
      <c r="H14" s="3284">
        <v>93354.45</v>
      </c>
      <c r="I14" s="3284">
        <v>26672.7</v>
      </c>
      <c r="J14" s="3284">
        <v>11968</v>
      </c>
      <c r="K14">
        <v>12065</v>
      </c>
    </row>
    <row r="15" spans="6:11" ht="16.5">
      <c r="F15" s="3614" t="s">
        <v>3186</v>
      </c>
      <c r="G15" s="3615"/>
      <c r="H15" s="3616"/>
      <c r="I15" s="3284">
        <f>SUM(I12:I14)</f>
        <v>67641.3</v>
      </c>
      <c r="J15" s="3284">
        <f>SUM(J12:J14)</f>
        <v>35239</v>
      </c>
      <c r="K15" s="3284">
        <f>SUM(K12:K14)</f>
        <v>35745</v>
      </c>
    </row>
  </sheetData>
  <mergeCells count="1">
    <mergeCell ref="F15:H15"/>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4" t="s">
        <v>2027</v>
      </c>
      <c r="B1" s="3304"/>
      <c r="C1" s="3304"/>
      <c r="D1" s="3304"/>
      <c r="E1" s="3304"/>
      <c r="F1" s="3304"/>
      <c r="G1" s="3304"/>
      <c r="H1" s="3304"/>
      <c r="I1" s="3304"/>
      <c r="J1" s="3304"/>
      <c r="K1" s="3304"/>
      <c r="L1" s="3304"/>
      <c r="M1" s="3304"/>
      <c r="N1" s="3304"/>
      <c r="O1" s="3304"/>
      <c r="P1" s="3304"/>
      <c r="Q1" s="3304"/>
      <c r="R1" s="3304"/>
    </row>
    <row r="2" spans="1:18">
      <c r="A2" s="1722" t="s">
        <v>2029</v>
      </c>
      <c r="B2" s="1722"/>
      <c r="C2" s="1722"/>
      <c r="D2" s="1722"/>
      <c r="E2" s="1722"/>
      <c r="F2" s="1722"/>
      <c r="G2" s="1722"/>
      <c r="H2" s="1722"/>
      <c r="I2" s="1723"/>
      <c r="J2" s="1723"/>
      <c r="K2" s="1724" t="str">
        <f>"估价期日："&amp;TEXT(项目基本情况!D3,"yyyy年m月d日;;")</f>
        <v>估价期日：2021年3月2日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5" t="s">
        <v>2018</v>
      </c>
      <c r="B3" s="3305" t="s">
        <v>2711</v>
      </c>
      <c r="C3" s="3306" t="s">
        <v>2019</v>
      </c>
      <c r="D3" s="3305" t="s">
        <v>2715</v>
      </c>
      <c r="E3" s="3308" t="s">
        <v>2020</v>
      </c>
      <c r="F3" s="3308"/>
      <c r="G3" s="3308"/>
      <c r="H3" s="3308" t="s">
        <v>2021</v>
      </c>
      <c r="I3" s="3308"/>
      <c r="J3" s="3308"/>
      <c r="K3" s="3306" t="s">
        <v>2022</v>
      </c>
      <c r="L3" s="3306" t="s">
        <v>2023</v>
      </c>
      <c r="M3" s="3305" t="s">
        <v>2712</v>
      </c>
      <c r="N3" s="3307" t="str">
        <f>"（分摊）"&amp;项目基本情况!B16&amp;"国有建设用地使用权面积/㎡"</f>
        <v>（分摊）出让国有建设用地使用权面积/㎡</v>
      </c>
      <c r="O3" s="3305" t="s">
        <v>2052</v>
      </c>
      <c r="P3" s="3306" t="s">
        <v>2032</v>
      </c>
      <c r="Q3" s="3306" t="s">
        <v>2053</v>
      </c>
      <c r="R3" s="3306" t="s">
        <v>2024</v>
      </c>
    </row>
    <row r="4" spans="1:18" ht="36.75" customHeight="1">
      <c r="A4" s="3305"/>
      <c r="B4" s="3305"/>
      <c r="C4" s="3306"/>
      <c r="D4" s="3305"/>
      <c r="E4" s="2491" t="s">
        <v>2031</v>
      </c>
      <c r="F4" s="2491" t="s">
        <v>2724</v>
      </c>
      <c r="G4" s="2491" t="s">
        <v>2025</v>
      </c>
      <c r="H4" s="2491" t="s">
        <v>2026</v>
      </c>
      <c r="I4" s="2491" t="s">
        <v>2725</v>
      </c>
      <c r="J4" s="2491" t="s">
        <v>2025</v>
      </c>
      <c r="K4" s="3306"/>
      <c r="L4" s="3306"/>
      <c r="M4" s="3305"/>
      <c r="N4" s="3307"/>
      <c r="O4" s="3305"/>
      <c r="P4" s="3306"/>
      <c r="Q4" s="3306"/>
      <c r="R4" s="3306"/>
    </row>
    <row r="5" spans="1:18" ht="135" customHeight="1">
      <c r="A5" s="1857" t="s">
        <v>2635</v>
      </c>
      <c r="B5" s="2584" t="s">
        <v>2633</v>
      </c>
      <c r="C5" s="2490">
        <v>22</v>
      </c>
      <c r="D5" s="2489" t="s">
        <v>2634</v>
      </c>
      <c r="E5" s="1725" t="str">
        <f>项目基本情况!B12</f>
        <v>其它商服用地</v>
      </c>
      <c r="F5" s="2489">
        <v>258</v>
      </c>
      <c r="G5" s="1725" t="str">
        <f>项目基本情况!B13</f>
        <v>商住用地</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20854.2</v>
      </c>
      <c r="O5" s="1725">
        <f>项目基本情况!C21</f>
        <v>72989.7</v>
      </c>
      <c r="P5" s="1725">
        <f ca="1">结果表!E42</f>
        <v>6254</v>
      </c>
      <c r="Q5" s="1725">
        <f ca="1">结果表!D42</f>
        <v>1787</v>
      </c>
      <c r="R5" s="1726">
        <f ca="1">结果表!C42</f>
        <v>13042</v>
      </c>
    </row>
    <row r="6" spans="1:18">
      <c r="A6" s="3309" t="str">
        <f>IF(项目基本情况!B9="市场价格","——","抵押价格")</f>
        <v>抵押价格</v>
      </c>
      <c r="B6" s="3310"/>
      <c r="C6" s="3310"/>
      <c r="D6" s="3310"/>
      <c r="E6" s="3310"/>
      <c r="F6" s="3310"/>
      <c r="G6" s="3310"/>
      <c r="H6" s="3310"/>
      <c r="I6" s="3310"/>
      <c r="J6" s="3310"/>
      <c r="K6" s="3310"/>
      <c r="L6" s="3310"/>
      <c r="M6" s="3310"/>
      <c r="N6" s="3310"/>
      <c r="O6" s="3310"/>
      <c r="P6" s="3310"/>
      <c r="Q6" s="3311"/>
      <c r="R6" s="1727">
        <f ca="1">结果表!O39</f>
        <v>13042</v>
      </c>
    </row>
    <row r="7" spans="1:18">
      <c r="A7" s="3309" t="str">
        <f>IF(项目基本情况!B9="市场价格","——",IF(项目基本情况!E8="已注销及未注销","抵押担保权已注销时的抵押价格","——"))</f>
        <v>——</v>
      </c>
      <c r="B7" s="3310"/>
      <c r="C7" s="3310"/>
      <c r="D7" s="3310"/>
      <c r="E7" s="3310"/>
      <c r="F7" s="3310"/>
      <c r="G7" s="3310"/>
      <c r="H7" s="3310"/>
      <c r="I7" s="3310"/>
      <c r="J7" s="3310"/>
      <c r="K7" s="3310"/>
      <c r="L7" s="3310"/>
      <c r="M7" s="3310"/>
      <c r="N7" s="3310"/>
      <c r="O7" s="3310"/>
      <c r="P7" s="3310"/>
      <c r="Q7" s="3311"/>
      <c r="R7" s="1727" t="str">
        <f>结果表!O40</f>
        <v>——</v>
      </c>
    </row>
    <row r="8" spans="1:18">
      <c r="A8" s="3309">
        <f>IF(项目基本情况!B9="市场价格","——",项目基本情况!E9)</f>
        <v>0</v>
      </c>
      <c r="B8" s="3310"/>
      <c r="C8" s="3310"/>
      <c r="D8" s="3310"/>
      <c r="E8" s="3310"/>
      <c r="F8" s="3310"/>
      <c r="G8" s="3310"/>
      <c r="H8" s="3310"/>
      <c r="I8" s="3310"/>
      <c r="J8" s="3310"/>
      <c r="K8" s="3310"/>
      <c r="L8" s="3310"/>
      <c r="M8" s="3310"/>
      <c r="N8" s="3310"/>
      <c r="O8" s="3310"/>
      <c r="P8" s="3310"/>
      <c r="Q8" s="3311"/>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3" t="s">
        <v>2054</v>
      </c>
      <c r="B1" s="3313"/>
      <c r="C1" s="3313"/>
      <c r="D1" s="3313"/>
    </row>
    <row r="2" spans="1:4" ht="47.25" customHeight="1">
      <c r="A2" s="3314" t="str">
        <f>"1.权利限制："&amp;项目基本情况!L24&amp;"未设定租赁等其他他项权利。"</f>
        <v>1.权利限制：根据估价对象《不动产权证书》原件、《国有土地使用权》复印件，截至估价期日，估价对象抵押权未见登记。未设定租赁等其他他项权利。</v>
      </c>
      <c r="B2" s="3314"/>
      <c r="C2" s="3314"/>
      <c r="D2" s="3314"/>
    </row>
    <row r="3" spans="1:4" ht="48" customHeight="1">
      <c r="A3" s="33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3"/>
      <c r="C3" s="3313"/>
      <c r="D3" s="3313"/>
    </row>
    <row r="4" spans="1:4" ht="36.75" customHeight="1">
      <c r="A4" s="3313" t="str">
        <f>"3.估价规划限制条件：详见"&amp;项目基本情况!E21&amp;"。"</f>
        <v>3.估价规划限制条件：详见《建设工程规划许可证》[]、《出让合同》[]。</v>
      </c>
      <c r="B4" s="3313"/>
      <c r="C4" s="3313"/>
      <c r="D4" s="3313"/>
    </row>
    <row r="5" spans="1:4">
      <c r="A5" s="3312" t="s">
        <v>2055</v>
      </c>
      <c r="B5" s="3312"/>
      <c r="C5" s="3312"/>
      <c r="D5" s="3312"/>
    </row>
    <row r="6" spans="1:4">
      <c r="A6" s="3313" t="s">
        <v>2033</v>
      </c>
      <c r="B6" s="3313"/>
      <c r="C6" s="3313"/>
      <c r="D6" s="3313"/>
    </row>
    <row r="7" spans="1:4" ht="33" customHeight="1">
      <c r="A7" s="3313" t="s">
        <v>2555</v>
      </c>
      <c r="B7" s="3313"/>
      <c r="C7" s="3313"/>
      <c r="D7" s="3313"/>
    </row>
    <row r="8" spans="1:4" ht="32.25" customHeight="1">
      <c r="A8" s="3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3"/>
      <c r="C8" s="3313"/>
      <c r="D8" s="3313"/>
    </row>
    <row r="9" spans="1:4" ht="33.75" customHeight="1">
      <c r="A9" s="33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3"/>
      <c r="C9" s="3313"/>
      <c r="D9" s="3313"/>
    </row>
    <row r="10" spans="1:4">
      <c r="A10" s="3313" t="str">
        <f>IF(项目基本情况!B8="抵押","4.估价师所知悉的法定优先受偿款情况为：","——")</f>
        <v>4.估价师所知悉的法定优先受偿款情况为：</v>
      </c>
      <c r="B10" s="3313"/>
      <c r="C10" s="3313"/>
      <c r="D10" s="3313"/>
    </row>
    <row r="11" spans="1:4" ht="37.5" customHeight="1">
      <c r="A11" s="33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5"/>
      <c r="C11" s="3315"/>
      <c r="D11" s="3315"/>
    </row>
    <row r="12" spans="1:4" ht="168" customHeight="1">
      <c r="A12" s="3312" t="s">
        <v>2057</v>
      </c>
      <c r="B12" s="3312"/>
      <c r="C12" s="3312"/>
      <c r="D12" s="3312"/>
    </row>
    <row r="13" spans="1:4">
      <c r="A13" s="3316" t="s">
        <v>2726</v>
      </c>
      <c r="B13" s="3316"/>
      <c r="C13" s="3316"/>
      <c r="D13" s="3316"/>
    </row>
    <row r="14" spans="1:4">
      <c r="A14" s="3315" t="str">
        <f>IF(项目基本情况!B8="抵押","综上，"&amp;结果表!K47,"——")</f>
        <v>综上，本次评估不存在估价师知悉的法定优先受偿款</v>
      </c>
      <c r="B14" s="3315"/>
      <c r="C14" s="3315"/>
      <c r="D14" s="3315"/>
    </row>
    <row r="15" spans="1:4" ht="58.5" customHeight="1">
      <c r="A15" s="3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3"/>
      <c r="C15" s="3313"/>
      <c r="D15" s="3313"/>
    </row>
    <row r="16" spans="1:4" ht="70.5" customHeight="1">
      <c r="A16" s="3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3"/>
      <c r="C16" s="3313"/>
      <c r="D16" s="3313"/>
    </row>
    <row r="17" spans="1:4">
      <c r="A17" s="3313" t="s">
        <v>2682</v>
      </c>
      <c r="B17" s="3313"/>
      <c r="C17" s="3313"/>
      <c r="D17" s="3313"/>
    </row>
    <row r="18" spans="1:4">
      <c r="A18" s="3313" t="s">
        <v>2674</v>
      </c>
      <c r="B18" s="3313"/>
      <c r="C18" s="3313"/>
      <c r="D18" s="3313"/>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13" t="s">
        <v>2679</v>
      </c>
      <c r="B23" s="3313"/>
      <c r="C23" s="3313"/>
      <c r="D23" s="3313"/>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4"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4" t="s">
        <v>53</v>
      </c>
      <c r="B15" s="3325" t="s">
        <v>838</v>
      </c>
      <c r="C15" s="3321"/>
    </row>
    <row r="16" spans="1:7" ht="14.25">
      <c r="A16" s="3324"/>
      <c r="B16" s="3322" t="s">
        <v>54</v>
      </c>
      <c r="C16" s="1154" t="s">
        <v>53</v>
      </c>
    </row>
    <row r="17" spans="1:3" ht="14.25">
      <c r="A17" s="3324"/>
      <c r="B17" s="3322"/>
      <c r="C17" s="1154" t="s">
        <v>55</v>
      </c>
    </row>
    <row r="18" spans="1:3" ht="14.25">
      <c r="A18" s="3324"/>
      <c r="B18" s="3322"/>
      <c r="C18" s="1154" t="s">
        <v>56</v>
      </c>
    </row>
    <row r="19" spans="1:3" ht="14.25">
      <c r="A19" s="3324"/>
      <c r="B19" s="3320" t="s">
        <v>57</v>
      </c>
      <c r="C19" s="3321"/>
    </row>
    <row r="20" spans="1:3" ht="14.25">
      <c r="A20" s="1155" t="s">
        <v>58</v>
      </c>
      <c r="B20" s="1156"/>
      <c r="C20" s="1157"/>
    </row>
    <row r="21" spans="1:3" ht="14.25">
      <c r="A21" s="3323" t="s">
        <v>59</v>
      </c>
      <c r="B21" s="3320" t="s">
        <v>60</v>
      </c>
      <c r="C21" s="3321"/>
    </row>
    <row r="22" spans="1:3" ht="14.25">
      <c r="A22" s="3323"/>
      <c r="B22" s="3320" t="s">
        <v>61</v>
      </c>
      <c r="C22" s="3321"/>
    </row>
    <row r="23" spans="1:3" ht="14.25">
      <c r="A23" s="3323"/>
      <c r="B23" s="3320" t="s">
        <v>62</v>
      </c>
      <c r="C23" s="3321"/>
    </row>
    <row r="24" spans="1:3" ht="14.25">
      <c r="A24" s="3323"/>
      <c r="B24" s="3326" t="s">
        <v>63</v>
      </c>
      <c r="C24" s="1158" t="s">
        <v>829</v>
      </c>
    </row>
    <row r="25" spans="1:3" ht="14.25">
      <c r="A25" s="3323"/>
      <c r="B25" s="3327"/>
      <c r="C25" s="1158" t="s">
        <v>830</v>
      </c>
    </row>
    <row r="26" spans="1:3" ht="14.25">
      <c r="A26" s="3323"/>
      <c r="B26" s="3327"/>
      <c r="C26" s="1158" t="s">
        <v>831</v>
      </c>
    </row>
    <row r="27" spans="1:3" ht="14.25">
      <c r="A27" s="3323"/>
      <c r="B27" s="3327"/>
      <c r="C27" s="1158" t="s">
        <v>832</v>
      </c>
    </row>
    <row r="28" spans="1:3" ht="14.25">
      <c r="A28" s="3323"/>
      <c r="B28" s="3327"/>
      <c r="C28" s="1158" t="s">
        <v>833</v>
      </c>
    </row>
    <row r="29" spans="1:3" ht="14.25">
      <c r="A29" s="3323"/>
      <c r="B29" s="3327"/>
      <c r="C29" s="1158" t="s">
        <v>834</v>
      </c>
    </row>
    <row r="30" spans="1:3" ht="14.25">
      <c r="A30" s="3323"/>
      <c r="B30" s="3327"/>
      <c r="C30" s="1158" t="s">
        <v>835</v>
      </c>
    </row>
    <row r="31" spans="1:3" ht="14.25">
      <c r="A31" s="3323"/>
      <c r="B31" s="3327"/>
      <c r="C31" s="1158" t="s">
        <v>836</v>
      </c>
    </row>
    <row r="32" spans="1:3" ht="14.25">
      <c r="A32" s="3323"/>
      <c r="B32" s="3327"/>
      <c r="C32" s="1158" t="s">
        <v>1637</v>
      </c>
    </row>
    <row r="33" spans="1:3" ht="14.25">
      <c r="A33" s="3323"/>
      <c r="B33" s="3317" t="s">
        <v>1643</v>
      </c>
      <c r="C33" s="1158" t="s">
        <v>1638</v>
      </c>
    </row>
    <row r="34" spans="1:3" ht="14.25">
      <c r="A34" s="3323"/>
      <c r="B34" s="3318"/>
      <c r="C34" s="1163" t="s">
        <v>1639</v>
      </c>
    </row>
    <row r="35" spans="1:3" ht="14.25">
      <c r="A35" s="3323"/>
      <c r="B35" s="3318"/>
      <c r="C35" s="1164" t="s">
        <v>1640</v>
      </c>
    </row>
    <row r="36" spans="1:3" ht="14.25">
      <c r="A36" s="3323"/>
      <c r="B36" s="3318"/>
      <c r="C36" s="1164" t="s">
        <v>1641</v>
      </c>
    </row>
    <row r="37" spans="1:3" ht="14.25">
      <c r="A37" s="3323"/>
      <c r="B37" s="331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44258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2943</v>
      </c>
      <c r="B12" s="3030">
        <f ca="1">IF(C12&lt;B2,"已过期",1120040230)</f>
        <v>1120040230</v>
      </c>
      <c r="C12" s="3033">
        <v>44864</v>
      </c>
      <c r="D12" s="3041" t="s">
        <v>2944</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1" t="s">
        <v>1915</v>
      </c>
      <c r="B17" s="3332"/>
      <c r="C17" s="3332"/>
      <c r="D17" s="3332"/>
      <c r="E17" s="3332"/>
      <c r="F17" s="3332"/>
      <c r="G17" s="3034"/>
    </row>
    <row r="18" spans="1:7" ht="20.25" customHeight="1">
      <c r="A18" s="3328" t="s">
        <v>1916</v>
      </c>
      <c r="B18" s="3328"/>
      <c r="C18" s="3329"/>
      <c r="D18" s="3330" t="s">
        <v>1917</v>
      </c>
      <c r="E18" s="3328"/>
      <c r="F18" s="332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2919</v>
      </c>
      <c r="C18" s="1492"/>
    </row>
    <row r="19" spans="1:3">
      <c r="A19" s="8" t="s">
        <v>120</v>
      </c>
      <c r="B19" s="2792" t="s">
        <v>2926</v>
      </c>
      <c r="C19" s="1492"/>
    </row>
    <row r="20" spans="1:3">
      <c r="A20" s="8" t="s">
        <v>121</v>
      </c>
      <c r="B20" s="2792" t="s">
        <v>2972</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中绿洲新城实业集团有限公司拟使用江苏省镇江市扬中市油坊镇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c r="D53" s="1685"/>
      <c r="E53" s="1685"/>
    </row>
    <row r="54" spans="1:5">
      <c r="A54" s="333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2021-03-03T08:42:37Z</dcterms:modified>
</cp:coreProperties>
</file>