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吴琼中行询价BDA\"/>
    </mc:Choice>
  </mc:AlternateContent>
  <xr:revisionPtr revIDLastSave="0" documentId="13_ncr:1_{799475BD-23F6-4B5C-A604-6179740D506F}" xr6:coauthVersionLast="47" xr6:coauthVersionMax="47" xr10:uidLastSave="{00000000-0000-0000-0000-000000000000}"/>
  <bookViews>
    <workbookView xWindow="-120" yWindow="-120" windowWidth="19440" windowHeight="15000" tabRatio="885" firstSheet="9"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C6" i="11"/>
  <c r="H20" i="1"/>
  <c r="G20" i="1"/>
  <c r="D25" i="62"/>
  <c r="C12" i="4"/>
  <c r="D14" i="9" l="1"/>
  <c r="D2" i="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C20" i="57"/>
  <c r="D3" i="61"/>
  <c r="F5" i="61"/>
  <c r="E2" i="21"/>
  <c r="F4" i="61"/>
  <c r="E2" i="33"/>
  <c r="F6" i="61"/>
  <c r="D20" i="57"/>
  <c r="D7" i="61"/>
  <c r="E2" i="37"/>
  <c r="F3" i="61"/>
  <c r="H23" i="31"/>
  <c r="D19" i="57"/>
  <c r="E2" i="35"/>
  <c r="E2" i="34"/>
  <c r="D5" i="61"/>
  <c r="E2" i="36"/>
  <c r="F7" i="61"/>
  <c r="D6" i="61"/>
  <c r="E2" i="11"/>
  <c r="D4" i="6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8" i="11" l="1"/>
  <c r="C18" i="12"/>
  <c r="C16" i="59"/>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2" i="9" l="1"/>
  <c r="D101"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C7" i="11" l="1"/>
  <c r="C5" i="11"/>
  <c r="C20" i="11" l="1"/>
  <c r="C23" i="11"/>
  <c r="C28" i="11" l="1"/>
  <c r="C27" i="11" s="1"/>
  <c r="C25" i="11"/>
  <c r="C22" i="11" s="1"/>
  <c r="C31" i="11" s="1"/>
  <c r="C52" i="11" s="1"/>
  <c r="C56" i="11" l="1"/>
  <c r="C57" i="11" s="1"/>
  <c r="B2" i="11"/>
  <c r="C19" i="9" s="1"/>
  <c r="B3" i="11"/>
  <c r="C20" i="9" s="1"/>
  <c r="C102" i="9" l="1"/>
  <c r="G20" i="9"/>
  <c r="C101" i="9"/>
  <c r="D22" i="9"/>
  <c r="G19" i="9"/>
  <c r="C32" i="9" s="1"/>
  <c r="C35" i="9" l="1"/>
  <c r="H121" i="9"/>
  <c r="H4" i="52" l="1"/>
  <c r="I121" i="9"/>
  <c r="I102" i="9"/>
  <c r="D106" i="9"/>
  <c r="D112" i="9" s="1"/>
  <c r="C103" i="9"/>
  <c r="H122" i="9"/>
  <c r="H5" i="52" s="1"/>
  <c r="D14" i="62"/>
  <c r="C34" i="9"/>
  <c r="D121" i="9" s="1"/>
  <c r="F121" i="9"/>
  <c r="F122" i="9" l="1"/>
  <c r="F5" i="52" s="1"/>
  <c r="B42" i="60" s="1"/>
  <c r="G121" i="9"/>
  <c r="G4" i="52" s="1"/>
  <c r="B41" i="60" s="1"/>
  <c r="F4" i="52"/>
  <c r="B40" i="60" s="1"/>
  <c r="D122" i="9"/>
  <c r="D5" i="52" s="1"/>
  <c r="B39" i="60" s="1"/>
  <c r="E121" i="9"/>
  <c r="E4" i="52" s="1"/>
  <c r="B38" i="60" s="1"/>
  <c r="D4" i="52"/>
  <c r="B37" i="60" s="1"/>
  <c r="B5" i="62"/>
  <c r="E14" i="62"/>
  <c r="F14" i="62"/>
  <c r="D117" i="9"/>
  <c r="D28" i="50"/>
  <c r="D29" i="50" s="1"/>
  <c r="D7" i="50"/>
  <c r="N48" i="9"/>
  <c r="I110" i="9"/>
  <c r="D45" i="9"/>
  <c r="I4" i="52"/>
  <c r="I103" i="9"/>
  <c r="D107" i="9"/>
  <c r="D113" i="9" s="1"/>
  <c r="C104" i="9"/>
  <c r="I111" i="9" l="1"/>
  <c r="D38" i="50"/>
  <c r="B62" i="60" s="1"/>
  <c r="D30" i="50"/>
  <c r="D9" i="50"/>
  <c r="B21" i="60" s="1"/>
  <c r="C78" i="9"/>
  <c r="C73" i="9" s="1"/>
  <c r="C93" i="9"/>
  <c r="C86" i="9" s="1"/>
  <c r="C64" i="9"/>
  <c r="C63" i="9" s="1"/>
  <c r="C67" i="9" s="1"/>
  <c r="C68" i="9" s="1"/>
  <c r="D54" i="9" s="1"/>
  <c r="D53" i="9"/>
  <c r="D48" i="9" s="1"/>
  <c r="N52" i="9" s="1"/>
  <c r="O57" i="9" s="1"/>
  <c r="D52" i="9"/>
  <c r="C72" i="9"/>
  <c r="C79" i="9" s="1"/>
  <c r="C85" i="9"/>
  <c r="C95" i="9" s="1"/>
  <c r="D125" i="9"/>
  <c r="D36" i="50"/>
  <c r="D37" i="50" s="1"/>
  <c r="D15" i="50"/>
  <c r="B19" i="60"/>
  <c r="D8" i="50"/>
  <c r="B22" i="60" s="1"/>
  <c r="I115" i="9"/>
  <c r="D23" i="50" s="1"/>
  <c r="B34" i="60" s="1"/>
  <c r="D44" i="50"/>
  <c r="D5" i="62"/>
  <c r="C5" i="62"/>
  <c r="B29" i="60" l="1"/>
  <c r="D16" i="50"/>
  <c r="B30" i="60" s="1"/>
  <c r="G14" i="62"/>
  <c r="B6" i="62" s="1"/>
  <c r="D8" i="52"/>
  <c r="C96" i="9"/>
  <c r="E96" i="9" s="1"/>
  <c r="E97" i="9" s="1"/>
  <c r="C97" i="9"/>
  <c r="D58" i="9" s="1"/>
  <c r="C80" i="9"/>
  <c r="E80" i="9" s="1"/>
  <c r="E81" i="9" s="1"/>
  <c r="C81" i="9"/>
  <c r="O59" i="9"/>
  <c r="O58" i="9"/>
  <c r="Q57" i="9"/>
  <c r="D126" i="9"/>
  <c r="D9" i="52" s="1"/>
  <c r="D17" i="50"/>
  <c r="O60" i="9" l="1"/>
  <c r="O61" i="9"/>
  <c r="C6" i="62"/>
  <c r="D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<sst xmlns="http://schemas.openxmlformats.org/spreadsheetml/2006/main" count="6903" uniqueCount="3046">
  <si>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</si>
  <si>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</si>
  <si>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</si>
  <si>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</si>
  <si>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</si>
  <si>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</si>
  <si>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</si>
  <si>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</si>
  <si>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</si>
  <si>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</si>
  <si>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</si>
  <si>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</si>
  <si>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</si>
  <si>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</si>
  <si>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</si>
  <si>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</si>
  <si>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</si>
  <si>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</si>
  <si>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</si>
  <si>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</si>
  <si>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</si>
  <si>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</si>
  <si>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</si>
  <si>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</si>
  <si>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</si>
  <si>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</si>
  <si>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</si>
  <si>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</si>
  <si>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</si>
  <si>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</si>
  <si>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</si>
  <si>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</si>
  <si>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</si>
  <si>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</si>
  <si>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</si>
  <si>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</si>
  <si>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</si>
  <si>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</si>
  <si>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</si>
  <si>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</si>
  <si>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</si>
  <si>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</si>
  <si>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</si>
  <si>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</si>
  <si>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</si>
  <si>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</si>
  <si>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</si>
  <si>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</si>
  <si>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</si>
  <si>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</si>
  <si>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</si>
  <si>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</si>
  <si>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</si>
  <si>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</si>
  <si>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</si>
  <si>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</si>
  <si>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</si>
  <si>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</si>
  <si>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</si>
  <si>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</si>
  <si>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</si>
  <si>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</si>
  <si>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</si>
  <si>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</si>
  <si>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</si>
  <si>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</si>
  <si>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</si>
  <si>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</si>
  <si>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</si>
  <si>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</si>
  <si>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</si>
  <si>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</si>
  <si>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</si>
  <si>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</si>
  <si>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</si>
  <si>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</si>
  <si>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</si>
  <si>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</si>
  <si>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</si>
  <si>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</si>
  <si>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</si>
  <si>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</si>
  <si>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</si>
  <si>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</si>
  <si>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</si>
  <si>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</si>
  <si>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</si>
  <si>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</si>
  <si>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</si>
  <si>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</si>
  <si>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</si>
  <si>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</si>
  <si>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</si>
  <si>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</si>
  <si>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</si>
  <si>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</si>
  <si>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</si>
  <si>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</si>
  <si>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</si>
  <si>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</si>
  <si>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</si>
  <si>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</si>
  <si>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</si>
  <si>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</si>
  <si>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</si>
  <si>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</si>
  <si>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</si>
  <si>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</si>
  <si>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</si>
  <si>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</si>
  <si>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</si>
  <si>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</si>
  <si>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</si>
  <si>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</si>
  <si>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</si>
  <si>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</si>
  <si>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</si>
  <si>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</si>
  <si>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</si>
  <si>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</si>
  <si>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</si>
  <si>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</si>
  <si>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</si>
  <si>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</si>
  <si>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</si>
  <si>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</si>
  <si>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</si>
  <si>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</si>
  <si>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</si>
  <si>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</si>
  <si>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</si>
  <si>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</si>
  <si>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</si>
  <si>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</si>
  <si>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</si>
  <si>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</si>
  <si>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</si>
  <si>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</si>
  <si>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</si>
  <si>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</si>
  <si>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</si>
  <si>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</si>
  <si>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</si>
  <si>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</si>
  <si>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</si>
  <si>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</si>
  <si>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</si>
  <si>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</si>
  <si>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</si>
  <si>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</si>
  <si>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</si>
  <si>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</si>
  <si>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</si>
  <si>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</si>
  <si>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</si>
  <si>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</si>
  <si>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</si>
  <si>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</si>
  <si>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</si>
  <si>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</si>
  <si>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</si>
  <si>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</si>
  <si>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</si>
  <si>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</si>
  <si>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</si>
  <si>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</si>
  <si>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</si>
  <si>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</si>
  <si>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</si>
  <si>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</si>
  <si>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</si>
  <si>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</si>
  <si>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</si>
  <si>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</si>
  <si>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</si>
  <si>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</si>
  <si>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</si>
  <si>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</si>
  <si>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</si>
  <si>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</si>
  <si>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</si>
  <si>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</si>
  <si>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</si>
  <si>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</si>
  <si>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</si>
  <si>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</si>
  <si>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</si>
  <si>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</si>
  <si>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</si>
  <si>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</si>
  <si>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</si>
  <si>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</si>
  <si>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</si>
  <si>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</si>
  <si>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</si>
  <si>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</si>
  <si>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</si>
  <si>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</si>
  <si>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</si>
  <si>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</si>
  <si>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</si>
  <si>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</si>
  <si>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</si>
  <si>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</si>
  <si>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</si>
  <si>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</si>
  <si>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</si>
  <si>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</si>
  <si>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</si>
  <si>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</si>
  <si>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</si>
  <si>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</si>
  <si>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</si>
  <si>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</si>
  <si>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</si>
  <si>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</si>
  <si>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</si>
  <si>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</si>
  <si>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</si>
  <si>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</si>
  <si>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</si>
  <si>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</si>
  <si>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</si>
  <si>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</si>
  <si>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</si>
  <si>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</si>
  <si>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</si>
  <si>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</si>
  <si>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</si>
  <si>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</si>
  <si>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</si>
  <si>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</si>
  <si>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</si>
  <si>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</si>
  <si>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</si>
  <si>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</si>
  <si>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</si>
  <si>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</si>
  <si>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</si>
  <si>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</si>
  <si>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</si>
  <si>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</si>
  <si>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</si>
  <si>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</si>
  <si>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</si>
  <si>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</si>
  <si>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</si>
  <si>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</si>
  <si>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</si>
  <si>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</si>
  <si>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</si>
  <si>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</si>
  <si>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</si>
  <si>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</si>
  <si>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</si>
  <si>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</si>
  <si>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</si>
  <si>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</si>
  <si>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</si>
  <si>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</si>
  <si>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</si>
  <si>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</si>
  <si>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</si>
  <si>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</si>
  <si>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</si>
  <si>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</si>
  <si>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</si>
  <si>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</si>
  <si>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</si>
  <si>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</si>
  <si>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</si>
  <si>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</si>
  <si>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</si>
  <si>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</si>
  <si>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</si>
  <si>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</si>
  <si>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</si>
  <si>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</si>
  <si>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</si>
  <si>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</si>
  <si>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</si>
  <si>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</si>
  <si>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</si>
  <si>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</si>
  <si>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</si>
  <si>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</si>
  <si>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</si>
  <si>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</si>
  <si>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</si>
  <si>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</si>
  <si>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</si>
  <si>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</si>
  <si>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</si>
  <si>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</si>
  <si>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</si>
  <si>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</si>
  <si>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</si>
  <si>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</si>
  <si>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</si>
  <si>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</si>
  <si>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</si>
  <si>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</si>
  <si>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</si>
  <si>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</si>
  <si>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</si>
  <si>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</si>
  <si>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</si>
  <si>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</si>
  <si>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</si>
  <si>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</si>
  <si>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</si>
  <si>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</si>
  <si>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</si>
  <si>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</si>
  <si>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</si>
  <si>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</si>
  <si>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</si>
  <si>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</si>
  <si>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</si>
  <si>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</si>
  <si>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</si>
  <si>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</si>
  <si>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</si>
  <si>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</si>
  <si>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</si>
  <si>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</si>
  <si>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</si>
  <si>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</si>
  <si>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</si>
  <si>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</si>
  <si>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</si>
  <si>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</si>
  <si>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</si>
  <si>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</si>
  <si>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</si>
  <si>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</si>
  <si>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</si>
  <si>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</si>
  <si>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</si>
  <si>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</si>
  <si>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</si>
  <si>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</si>
  <si>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</si>
  <si>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</si>
  <si>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</si>
  <si>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</si>
  <si>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</si>
  <si>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</si>
  <si>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</si>
  <si>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</si>
  <si>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</si>
  <si>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</si>
  <si>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</si>
  <si>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</si>
  <si>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</si>
  <si>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</si>
  <si>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</si>
  <si>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</si>
  <si>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</si>
  <si>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</si>
  <si>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</si>
  <si>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</si>
  <si>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</si>
  <si>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</si>
  <si>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</si>
  <si>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</si>
  <si>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</si>
  <si>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</si>
  <si>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</si>
  <si>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</si>
  <si>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</si>
  <si>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</si>
  <si>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</si>
  <si>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</si>
  <si>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</si>
  <si>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</si>
  <si>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</si>
  <si>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</si>
  <si>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</si>
  <si>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</si>
  <si>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</si>
  <si>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</si>
  <si>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</si>
  <si>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</si>
  <si>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</si>
  <si>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</si>
  <si>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</si>
  <si>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</si>
  <si>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</si>
  <si>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</si>
  <si>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</si>
  <si>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</si>
  <si>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</si>
  <si>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</si>
  <si>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</si>
  <si>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</si>
  <si>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</si>
  <si>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</si>
  <si>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</si>
  <si>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</si>
  <si>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</si>
  <si>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</si>
  <si>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</si>
  <si>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</si>
  <si>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</si>
  <si>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</si>
  <si>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</si>
  <si>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</si>
  <si>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</si>
  <si>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</si>
  <si>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</si>
  <si>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</si>
  <si>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</si>
  <si>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</si>
  <si>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</si>
  <si>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</si>
  <si>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</si>
  <si>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</si>
  <si>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</si>
  <si>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</si>
  <si>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</si>
  <si>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</si>
  <si>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</si>
  <si>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</si>
  <si>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</si>
  <si>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</si>
  <si>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</si>
  <si>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</si>
  <si>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</si>
  <si>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</si>
  <si>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</si>
  <si>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</si>
  <si>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</si>
  <si>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</si>
  <si>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</si>
  <si>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</si>
  <si>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</si>
  <si>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</si>
  <si>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</si>
  <si>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</si>
  <si>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</si>
  <si>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</si>
  <si>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</si>
  <si>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</si>
  <si>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</si>
  <si>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</si>
  <si>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</si>
  <si>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</si>
  <si>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</si>
  <si>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</si>
  <si>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</si>
  <si>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</si>
  <si>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</si>
  <si>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</si>
  <si>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</si>
  <si>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</si>
  <si>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</si>
  <si>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</si>
  <si>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</si>
  <si>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</si>
  <si>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</si>
  <si>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</si>
  <si>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</si>
  <si>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</si>
  <si>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</si>
  <si>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</si>
  <si>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</si>
  <si>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</si>
  <si>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</si>
  <si>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</si>
  <si>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</si>
  <si>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</si>
  <si>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</si>
  <si>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</si>
  <si>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</si>
  <si>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</si>
  <si>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</si>
  <si>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</si>
  <si>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</si>
  <si>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</si>
  <si>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</si>
  <si>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</si>
  <si>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</si>
  <si>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</si>
  <si>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</si>
  <si>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</si>
  <si>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</si>
  <si>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</si>
  <si>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</si>
  <si>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</si>
  <si>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</si>
  <si>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</si>
  <si>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</si>
  <si>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</si>
  <si>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</si>
  <si>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</si>
  <si>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</si>
  <si>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</si>
  <si>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</si>
  <si>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</si>
  <si>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</si>
  <si>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</si>
  <si>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</si>
  <si>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</si>
  <si>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</si>
  <si>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</si>
  <si>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</si>
  <si>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</si>
  <si>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</si>
  <si>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</si>
  <si>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</si>
  <si>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</si>
  <si>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</si>
  <si>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</si>
  <si>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</si>
  <si>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</si>
  <si>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</si>
  <si>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</si>
  <si>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</si>
  <si>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</si>
  <si>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</si>
  <si>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</si>
  <si>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</si>
  <si>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</si>
  <si>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</si>
  <si>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</si>
  <si>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</si>
  <si>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</si>
  <si>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</si>
  <si>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</si>
  <si>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</si>
  <si>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</si>
  <si>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</si>
  <si>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</si>
  <si>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</si>
  <si>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</si>
  <si>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</si>
  <si>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</si>
  <si>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</si>
  <si>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</si>
  <si>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</si>
  <si>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</si>
  <si>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</si>
  <si>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</si>
  <si>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</si>
  <si>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</si>
  <si>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</si>
  <si>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</si>
  <si>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</si>
  <si>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</si>
  <si>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</si>
  <si>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</si>
  <si>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</si>
  <si>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</si>
  <si>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</si>
  <si>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</si>
  <si>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</si>
  <si>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</si>
  <si>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</si>
  <si>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</si>
  <si>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</si>
  <si>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</si>
  <si>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</si>
  <si>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</si>
  <si>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</si>
  <si>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</si>
  <si>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</si>
  <si>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</si>
  <si>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</si>
  <si>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</si>
  <si>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</si>
  <si>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</si>
  <si>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</si>
  <si>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</si>
  <si>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</si>
  <si>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</si>
  <si>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</si>
  <si>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</si>
  <si>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</si>
  <si>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</si>
  <si>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</si>
  <si>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</si>
  <si>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</si>
  <si>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</si>
  <si>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</si>
  <si>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</si>
  <si>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</si>
  <si>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</si>
  <si>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</si>
  <si>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</si>
  <si>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</si>
  <si>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</si>
  <si>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</si>
  <si>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</si>
  <si>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</si>
  <si>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</si>
  <si>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</si>
  <si>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</si>
  <si>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</si>
  <si>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</si>
  <si>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</si>
  <si>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</si>
  <si>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</si>
  <si>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</si>
  <si>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</si>
  <si>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</si>
  <si>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</si>
  <si>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</si>
  <si>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</si>
  <si>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</si>
  <si>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</si>
  <si>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</si>
  <si>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</si>
  <si>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</si>
  <si>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</si>
  <si>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</si>
  <si>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</si>
  <si>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</si>
  <si>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</si>
  <si>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</si>
  <si>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</si>
  <si>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</si>
  <si>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</si>
  <si>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</si>
  <si>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</si>
  <si>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</si>
  <si>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</si>
  <si>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</si>
  <si>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</si>
  <si>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</si>
  <si>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</si>
  <si>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</si>
  <si>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</si>
  <si>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</si>
  <si>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</si>
  <si>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</si>
  <si>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</si>
  <si>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</si>
  <si>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</si>
  <si>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</si>
  <si>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</si>
  <si>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</si>
  <si>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</si>
  <si>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</si>
  <si>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</si>
  <si>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</si>
  <si>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</si>
  <si>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</si>
  <si>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</si>
  <si>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</si>
  <si>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</si>
  <si>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</si>
  <si>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</si>
  <si>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</si>
  <si>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</si>
  <si>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</si>
  <si>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</si>
  <si>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</si>
  <si>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</si>
  <si>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</si>
  <si>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</si>
  <si>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</si>
  <si>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</si>
  <si>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</si>
  <si>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</si>
  <si>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</si>
  <si>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</si>
  <si>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</si>
  <si>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</si>
  <si>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</si>
  <si>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</si>
  <si>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</si>
  <si>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</si>
  <si>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</si>
  <si>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</si>
  <si>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</si>
  <si>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</si>
  <si>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</si>
  <si>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</si>
  <si>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</si>
  <si>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</si>
  <si>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</si>
  <si>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</si>
  <si>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</si>
  <si>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</si>
  <si>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</si>
  <si>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</si>
  <si>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</si>
  <si>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</si>
  <si>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</si>
  <si>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</si>
  <si>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</si>
  <si>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</si>
  <si>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</si>
  <si>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</si>
  <si>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</si>
  <si>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</si>
  <si>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</si>
  <si>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</si>
  <si>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</si>
  <si>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</si>
  <si>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</si>
  <si>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</si>
  <si>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</si>
  <si>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</si>
  <si>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</si>
  <si>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</si>
  <si>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</si>
  <si>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</si>
  <si>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</si>
  <si>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</si>
  <si>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</si>
  <si>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</si>
  <si>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</si>
  <si>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</si>
  <si>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</si>
  <si>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</si>
  <si>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</si>
  <si>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</si>
  <si>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</si>
  <si>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</si>
  <si>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</si>
  <si>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</si>
  <si>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</si>
  <si>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</si>
  <si>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</si>
  <si>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</si>
  <si>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</si>
  <si>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</si>
  <si>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</si>
  <si>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</si>
  <si>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</si>
  <si>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</si>
  <si>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</si>
  <si>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</si>
  <si>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</si>
  <si>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</si>
  <si>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</si>
  <si>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</si>
  <si>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</si>
  <si>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</si>
  <si>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</si>
  <si>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</si>
  <si>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</si>
  <si>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</si>
  <si>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</si>
  <si>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</si>
  <si>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</si>
  <si>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</si>
  <si>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</si>
  <si>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</si>
  <si>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</si>
  <si>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</si>
  <si>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</si>
  <si>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</si>
  <si>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</si>
  <si>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</si>
  <si>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</si>
  <si>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</si>
  <si>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</si>
  <si>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</si>
  <si>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</si>
  <si>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</si>
  <si>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</si>
  <si>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</si>
  <si>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</si>
  <si>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</si>
  <si>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</si>
  <si>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</si>
  <si>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</si>
  <si>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</si>
  <si>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</si>
  <si>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</si>
  <si>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</si>
  <si>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</si>
  <si>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</si>
  <si>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</si>
  <si>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</si>
  <si>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</si>
  <si>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</si>
  <si>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</si>
  <si>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</si>
  <si>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</si>
  <si>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</si>
  <si>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</si>
  <si>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</si>
  <si>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</si>
  <si>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</si>
  <si>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</si>
  <si>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</si>
  <si>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</si>
  <si>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</si>
  <si>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</si>
  <si>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</si>
  <si>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</si>
  <si>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</si>
  <si>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</si>
  <si>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</si>
  <si>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</si>
  <si>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</si>
  <si>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</si>
  <si>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</si>
  <si>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</si>
  <si>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</si>
  <si>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</si>
  <si>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</si>
  <si>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</si>
  <si>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</si>
  <si>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</si>
  <si>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</si>
  <si>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</si>
  <si>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</si>
  <si>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</si>
  <si>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</si>
  <si>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</si>
  <si>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</si>
  <si>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</si>
  <si>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</si>
  <si>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</si>
  <si>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</si>
  <si>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</si>
  <si>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</si>
  <si>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</si>
  <si>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</si>
  <si>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</si>
  <si>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</si>
  <si>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</si>
  <si>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</si>
  <si>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</si>
  <si>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</si>
  <si>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</si>
  <si>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</si>
  <si>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</si>
  <si>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</si>
  <si>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</si>
  <si>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</si>
  <si>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</si>
  <si>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</si>
  <si>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</si>
  <si>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</si>
  <si>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</si>
  <si>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</si>
  <si>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</si>
  <si>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</si>
  <si>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</si>
  <si>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</si>
  <si>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</si>
  <si>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</si>
  <si>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</si>
  <si>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</si>
  <si>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</si>
  <si>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</si>
  <si>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</si>
  <si>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</si>
  <si>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</si>
  <si>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</si>
  <si>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</si>
  <si>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</si>
  <si>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</si>
  <si>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</si>
  <si>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</si>
  <si>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</si>
  <si>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</si>
  <si>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</si>
  <si>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</si>
  <si>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</si>
  <si>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</si>
  <si>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</si>
  <si>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</si>
  <si>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</si>
  <si>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</si>
  <si>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</si>
  <si>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</si>
  <si>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</si>
  <si>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</si>
  <si>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</si>
  <si>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</si>
  <si>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</si>
  <si>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</si>
  <si>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</si>
  <si>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</si>
  <si>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</si>
  <si>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</si>
  <si>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</si>
  <si>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</si>
  <si>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</si>
  <si>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</si>
  <si>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</si>
  <si>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</si>
  <si>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</si>
  <si>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</si>
  <si>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</si>
  <si>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</si>
  <si>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</si>
  <si>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</si>
  <si>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</si>
  <si>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</si>
  <si>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</si>
  <si>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</si>
  <si>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</si>
  <si>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</si>
  <si>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</si>
  <si>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</si>
  <si>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</si>
  <si>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</si>
  <si>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</si>
  <si>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</si>
  <si>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</si>
  <si>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</si>
  <si>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</si>
  <si>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</si>
  <si>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</si>
  <si>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</si>
  <si>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</si>
  <si>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</si>
  <si>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</si>
  <si>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</si>
  <si>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</si>
  <si>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</si>
  <si>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</si>
  <si>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</si>
  <si>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</si>
  <si>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</si>
  <si>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</si>
  <si>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</si>
  <si>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</si>
  <si>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</si>
  <si>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</si>
  <si>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</si>
  <si>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</si>
  <si>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</si>
  <si>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</si>
  <si>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</si>
  <si>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</si>
  <si>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</si>
  <si>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</si>
  <si>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</si>
  <si>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</si>
  <si>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</si>
  <si>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</si>
  <si>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</si>
  <si>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</si>
  <si>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</si>
  <si>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</si>
  <si>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</si>
  <si>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</si>
  <si>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</si>
  <si>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</si>
  <si>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</si>
  <si>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</si>
  <si>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</si>
  <si>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</si>
  <si>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</si>
  <si>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</si>
  <si>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</si>
  <si>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</si>
  <si>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</si>
  <si>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</si>
  <si>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</si>
  <si>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</si>
  <si>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</si>
  <si>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</si>
  <si>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</si>
  <si>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</si>
  <si>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</si>
  <si>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</si>
  <si>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</si>
  <si>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</si>
  <si>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</si>
  <si>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</si>
  <si>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</si>
  <si>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</si>
  <si>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</si>
  <si>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</si>
  <si>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</si>
  <si>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</si>
  <si>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</si>
  <si>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</si>
  <si>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</si>
  <si>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</si>
  <si>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</si>
  <si>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</si>
  <si>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</si>
  <si>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</si>
  <si>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</si>
  <si>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</si>
  <si>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</si>
  <si>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</si>
  <si>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</si>
  <si>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</si>
  <si>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</si>
  <si>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</si>
  <si>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</si>
  <si>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</si>
  <si>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</si>
  <si>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</si>
  <si>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</si>
  <si>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</si>
  <si>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</si>
  <si>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</si>
  <si>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</si>
  <si>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</si>
  <si>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</si>
  <si>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</si>
  <si>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</si>
  <si>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</si>
  <si>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</si>
  <si>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</si>
  <si>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</si>
  <si>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</si>
  <si>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</si>
  <si>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</si>
  <si>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</si>
  <si>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</si>
  <si>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</si>
  <si>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</si>
  <si>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</si>
  <si>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</si>
  <si>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</si>
  <si>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</si>
  <si>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</si>
  <si>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</si>
  <si>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</si>
  <si>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</si>
  <si>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</si>
  <si>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</si>
  <si>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</si>
  <si>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</si>
  <si>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</si>
  <si>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</si>
  <si>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</si>
  <si>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</si>
  <si>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</si>
  <si>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</si>
  <si>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</si>
  <si>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</si>
  <si>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</si>
  <si>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</si>
  <si>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</si>
  <si>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</si>
  <si>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</si>
  <si>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</si>
  <si>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</si>
  <si>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</si>
  <si>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</si>
  <si>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</si>
  <si>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</si>
  <si>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</si>
  <si>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</si>
  <si>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</si>
  <si>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</si>
  <si>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</si>
  <si>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</si>
  <si>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</si>
  <si>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</si>
  <si>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</si>
  <si>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</si>
  <si>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</si>
  <si>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</si>
  <si>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</si>
  <si>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</si>
  <si>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</si>
  <si>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</si>
  <si>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</si>
  <si>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</si>
  <si>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</si>
  <si>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</si>
  <si>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</si>
  <si>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</si>
  <si>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</si>
  <si>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</si>
  <si>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</si>
  <si>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</si>
  <si>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</si>
  <si>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</si>
  <si>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</si>
  <si>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</si>
  <si>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</si>
  <si>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</si>
  <si>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</si>
  <si>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</si>
  <si>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</si>
  <si>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</si>
  <si>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</si>
  <si>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</si>
  <si>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</si>
  <si>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</si>
  <si>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</si>
  <si>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</si>
  <si>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</si>
  <si>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</si>
  <si>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</si>
  <si>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</si>
  <si>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</si>
  <si>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</si>
  <si>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</si>
  <si>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</si>
  <si>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</si>
  <si>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</si>
  <si>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</si>
  <si>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</si>
  <si>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</si>
  <si>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</si>
  <si>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</si>
  <si>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</si>
  <si>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</si>
  <si>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</si>
  <si>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</si>
  <si>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</si>
  <si>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</si>
  <si>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</si>
  <si>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</si>
  <si>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</si>
  <si>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</si>
  <si>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</si>
  <si>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</si>
  <si>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</si>
  <si>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</si>
  <si>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</si>
  <si>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</si>
  <si>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</si>
  <si>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</si>
  <si>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</si>
  <si>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</si>
  <si>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</si>
  <si>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</si>
  <si>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</si>
  <si>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</si>
  <si>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</si>
  <si>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</si>
  <si>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</si>
  <si>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</si>
  <si>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</si>
  <si>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</si>
  <si>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</si>
  <si>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</si>
  <si>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</si>
  <si>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</si>
  <si>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</si>
  <si>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</si>
  <si>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</si>
  <si>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</si>
  <si>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</si>
  <si>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</si>
  <si>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</si>
  <si>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</si>
  <si>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</si>
  <si>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</si>
  <si>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</si>
  <si>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</si>
  <si>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</si>
  <si>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</si>
  <si>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</si>
  <si>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</si>
  <si>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</si>
  <si>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</si>
  <si>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</si>
  <si>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</si>
  <si>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</si>
  <si>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</si>
  <si>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</si>
  <si>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</si>
  <si>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</si>
  <si>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</si>
  <si>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</si>
  <si>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</si>
  <si>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</si>
  <si>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</si>
  <si>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</si>
  <si>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</si>
  <si>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</si>
  <si>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</si>
  <si>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</si>
  <si>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</si>
  <si>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</si>
  <si>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</si>
  <si>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</si>
  <si>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</si>
  <si>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</si>
  <si>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</si>
  <si>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</si>
  <si>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</si>
  <si>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</si>
  <si>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</si>
  <si>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</si>
  <si>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</si>
  <si>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</si>
  <si>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</si>
  <si>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</si>
  <si>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</si>
  <si>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</si>
  <si>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</si>
  <si>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</si>
  <si>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</si>
  <si>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</si>
  <si>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</si>
  <si>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</si>
  <si>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</si>
  <si>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</si>
  <si>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</si>
  <si>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</si>
  <si>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</si>
  <si>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</si>
  <si>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</si>
  <si>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</si>
  <si>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</si>
  <si>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</si>
  <si>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</si>
  <si>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</si>
  <si>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</si>
  <si>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</si>
  <si>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</si>
  <si>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</si>
  <si>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</si>
  <si>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</si>
  <si>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</si>
  <si>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</si>
  <si>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</si>
  <si>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</si>
  <si>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</si>
  <si>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</si>
  <si>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</si>
  <si>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</si>
  <si>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</si>
  <si>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</si>
  <si>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</si>
  <si>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</si>
  <si>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</si>
  <si>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</si>
  <si>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</si>
  <si>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</si>
  <si>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</si>
  <si>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</si>
  <si>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</si>
  <si>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</si>
  <si>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</si>
  <si>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</si>
  <si>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</si>
  <si>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</si>
  <si>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</si>
  <si>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</si>
  <si>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</si>
  <si>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</si>
  <si>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</si>
  <si>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</si>
  <si>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</si>
  <si>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</si>
  <si>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</si>
  <si>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</si>
  <si>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</si>
  <si>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</si>
  <si>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</si>
  <si>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</si>
  <si>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</si>
  <si>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</si>
  <si>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</si>
  <si>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</si>
  <si>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</si>
  <si>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</si>
  <si>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</si>
  <si>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</si>
  <si>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</si>
  <si>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</si>
  <si>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</si>
  <si>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</si>
  <si>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</si>
  <si>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</si>
  <si>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</si>
  <si>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</si>
  <si>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</si>
  <si>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</si>
  <si>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</si>
  <si>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</si>
  <si>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</si>
  <si>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</si>
  <si>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</si>
  <si>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</si>
  <si>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</si>
  <si>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</si>
  <si>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</si>
  <si>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</si>
  <si>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</si>
  <si>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</si>
  <si>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</si>
  <si>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</si>
  <si>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</si>
  <si>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</si>
  <si>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</si>
  <si>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</si>
  <si>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</si>
  <si>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</si>
  <si>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</si>
  <si>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</si>
  <si>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</si>
  <si>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</si>
  <si>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</si>
  <si>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</si>
  <si>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</si>
  <si>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</si>
  <si>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</si>
  <si>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</si>
  <si>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</si>
  <si>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</si>
  <si>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</si>
  <si>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</si>
  <si>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</si>
  <si>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</si>
  <si>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</si>
  <si>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</si>
  <si>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</si>
  <si>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</si>
  <si>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</si>
  <si>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</si>
  <si>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</si>
  <si>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</si>
  <si>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</si>
  <si>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</si>
  <si>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</si>
  <si>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</si>
  <si>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</si>
  <si>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</si>
  <si>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</si>
  <si>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</si>
  <si>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</si>
  <si>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</si>
  <si>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</si>
  <si>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</si>
  <si>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</si>
  <si>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</si>
  <si>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</si>
  <si>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</si>
  <si>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</si>
  <si>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</si>
  <si>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</si>
  <si>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</si>
  <si>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</si>
  <si>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</si>
  <si>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</si>
  <si>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</si>
  <si>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</si>
  <si>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</si>
  <si>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</si>
  <si>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</si>
  <si>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</si>
  <si>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</si>
  <si>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</si>
  <si>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</si>
  <si>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</si>
  <si>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</si>
  <si>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</si>
  <si>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</si>
  <si>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</si>
  <si>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</si>
  <si>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</si>
  <si>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</si>
  <si>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</si>
  <si>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</si>
  <si>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</si>
  <si>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</si>
  <si>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</si>
  <si>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</si>
  <si>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</si>
  <si>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</si>
  <si>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</si>
  <si>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</si>
  <si>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</si>
  <si>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</si>
  <si>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</si>
  <si>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</si>
  <si>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</si>
  <si>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</si>
  <si>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</si>
  <si>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</si>
  <si>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</si>
  <si>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</si>
  <si>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</si>
  <si>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</si>
  <si>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</si>
  <si>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</si>
  <si>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</si>
  <si>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</si>
  <si>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</si>
  <si>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</si>
  <si>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</si>
  <si>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</si>
  <si>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</si>
  <si>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</si>
  <si>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</si>
  <si>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</si>
  <si>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</si>
  <si>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</si>
  <si>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</si>
  <si>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</si>
  <si>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</si>
  <si>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</si>
  <si>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</si>
  <si>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</si>
  <si>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</si>
  <si>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</si>
  <si>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</si>
  <si>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</si>
  <si>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</si>
  <si>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</si>
  <si>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</si>
  <si>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</si>
  <si>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</si>
  <si>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</si>
  <si>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</si>
  <si>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</si>
  <si>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</si>
  <si>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</si>
  <si>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</si>
  <si>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</si>
  <si>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</si>
  <si>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</si>
  <si>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</si>
  <si>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</si>
  <si>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</si>
  <si>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</si>
  <si>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</si>
  <si>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</si>
  <si>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</si>
  <si>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</si>
  <si>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</si>
  <si>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</si>
  <si>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</si>
  <si>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</si>
  <si>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</si>
  <si>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</si>
  <si>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</si>
  <si>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</si>
  <si>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</si>
  <si>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</si>
  <si>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</si>
  <si>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</si>
  <si>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</si>
  <si>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</si>
  <si>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</si>
  <si>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</si>
  <si>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</si>
  <si>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</si>
  <si>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</si>
  <si>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</si>
  <si>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</si>
  <si>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</si>
  <si>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</si>
  <si>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</si>
  <si>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</si>
  <si>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</si>
  <si>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</si>
  <si>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</si>
  <si>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</si>
  <si>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</si>
  <si>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</si>
  <si>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</si>
  <si>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</si>
  <si>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</si>
  <si>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</si>
  <si>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</si>
  <si>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</si>
  <si>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</si>
  <si>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</si>
  <si>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</si>
  <si>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</si>
  <si>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</si>
  <si>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</si>
  <si>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</si>
  <si>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</si>
  <si>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</si>
  <si>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</si>
  <si>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</si>
  <si>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</si>
  <si>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</si>
  <si>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</si>
  <si>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</si>
  <si>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</si>
  <si>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</si>
  <si>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</si>
  <si>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</si>
  <si>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</si>
  <si>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</si>
  <si>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</si>
  <si>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</si>
  <si>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</si>
  <si>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</si>
  <si>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</si>
  <si>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</si>
  <si>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</si>
  <si>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</si>
  <si>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</si>
  <si>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</si>
  <si>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</si>
  <si>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</si>
  <si>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</si>
  <si>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</si>
  <si>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</si>
  <si>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</si>
  <si>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</si>
  <si>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</si>
  <si>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</si>
  <si>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</si>
  <si>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</si>
  <si>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</si>
  <si>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</si>
  <si>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</si>
  <si>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</si>
  <si>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</si>
  <si>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</si>
  <si>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</si>
  <si>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</si>
  <si>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</si>
  <si>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</si>
  <si>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</si>
  <si>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</si>
  <si>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</si>
  <si>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</si>
  <si>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</si>
  <si>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</si>
  <si>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</si>
  <si>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</si>
  <si>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</si>
  <si>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</si>
  <si>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</si>
  <si>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</si>
  <si>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</si>
  <si>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</si>
  <si>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</si>
  <si>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</si>
  <si>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</si>
  <si>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</si>
  <si>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</si>
  <si>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</si>
  <si>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</si>
  <si>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</si>
  <si>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</si>
  <si>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</si>
  <si>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</si>
  <si>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</si>
  <si>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</si>
  <si>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</si>
  <si>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</si>
  <si>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</si>
  <si>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</si>
  <si>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</si>
  <si>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</si>
  <si>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</si>
  <si>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</si>
  <si>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</si>
  <si>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</si>
  <si>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</si>
  <si>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</si>
  <si>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</si>
  <si>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</si>
  <si>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</si>
  <si>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</si>
  <si>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</si>
  <si>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</si>
  <si>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</si>
  <si>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</si>
  <si>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</si>
  <si>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</si>
  <si>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</si>
  <si>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</si>
  <si>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</si>
  <si>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</si>
  <si>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</si>
  <si>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</si>
  <si>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</si>
  <si>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</si>
  <si>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</si>
  <si>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</si>
  <si>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</si>
  <si>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</si>
  <si>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</si>
  <si>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</si>
  <si>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</si>
  <si>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</si>
  <si>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</si>
  <si>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</si>
  <si>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</si>
  <si>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</si>
  <si>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</si>
  <si>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</si>
  <si>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</si>
  <si>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</si>
  <si>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</si>
  <si>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</si>
  <si>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</si>
  <si>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</si>
  <si>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</si>
  <si>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</si>
  <si>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</si>
  <si>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</si>
  <si>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</si>
  <si>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</si>
  <si>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</si>
  <si>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</si>
  <si>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</si>
  <si>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</si>
  <si>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</si>
  <si>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</si>
  <si>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</si>
  <si>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</si>
  <si>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</si>
  <si>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</si>
  <si>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</si>
  <si>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</si>
  <si>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</si>
  <si>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</si>
  <si>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</si>
  <si>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</si>
  <si>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</si>
  <si>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</si>
  <si>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</si>
  <si>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</si>
  <si>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</si>
  <si>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</si>
  <si>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</si>
  <si>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</si>
  <si>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</si>
  <si>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</si>
  <si>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</si>
  <si>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</si>
  <si>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</si>
  <si>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</si>
  <si>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</si>
  <si>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</si>
  <si>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</si>
  <si>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</si>
  <si>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</si>
  <si>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</si>
  <si>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</si>
  <si>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</si>
  <si>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</si>
  <si>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</si>
  <si>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</si>
  <si>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</si>
  <si>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</si>
  <si>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</si>
  <si>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</si>
  <si>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</si>
  <si>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</si>
  <si>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</si>
  <si>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</si>
  <si>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</si>
  <si>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</si>
  <si>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</si>
  <si>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</si>
  <si>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</si>
  <si>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</si>
  <si>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</si>
  <si>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</si>
  <si>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</si>
  <si>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</si>
  <si>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</si>
  <si>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</si>
  <si>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</si>
  <si>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</si>
  <si>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</si>
  <si>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</si>
  <si>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</si>
  <si>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</si>
  <si>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</si>
  <si>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</si>
  <si>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</si>
  <si>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</si>
  <si>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</si>
  <si>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</si>
  <si>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</si>
  <si>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</si>
  <si>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</si>
  <si>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</si>
  <si>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</si>
  <si>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</si>
  <si>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</si>
  <si>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</si>
  <si>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</si>
  <si>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</si>
  <si>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</si>
  <si>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</si>
  <si>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</si>
  <si>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</si>
  <si>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</si>
  <si>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</si>
  <si>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</si>
  <si>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</si>
  <si>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</si>
  <si>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</si>
  <si>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</si>
  <si>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</si>
  <si>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</si>
  <si>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</si>
  <si>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</si>
  <si>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</si>
  <si>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</si>
  <si>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</si>
  <si>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</si>
  <si>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</si>
  <si>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</si>
  <si>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</si>
  <si>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</si>
  <si>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</si>
  <si>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</si>
  <si>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</si>
  <si>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</si>
  <si>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</si>
  <si>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</si>
  <si>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</si>
  <si>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</si>
  <si>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</si>
  <si>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</si>
  <si>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</si>
  <si>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</si>
  <si>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</si>
  <si>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</si>
  <si>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</si>
  <si>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</si>
  <si>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</si>
  <si>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</si>
  <si>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</si>
  <si>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</si>
  <si>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</si>
  <si>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</si>
  <si>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</si>
  <si>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</si>
  <si>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</si>
  <si>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</si>
  <si>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</si>
  <si>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</si>
  <si>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</si>
  <si>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</si>
  <si>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</si>
  <si>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</si>
  <si>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</si>
  <si>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</si>
  <si>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</si>
  <si>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</si>
  <si>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</si>
  <si>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</si>
  <si>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</si>
  <si>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</si>
  <si>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</si>
  <si>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</si>
  <si>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</si>
  <si>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</si>
  <si>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</si>
  <si>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</si>
  <si>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</si>
  <si>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</si>
  <si>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</si>
  <si>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</si>
  <si>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</si>
  <si>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</si>
  <si>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</si>
  <si>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</si>
  <si>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</si>
  <si>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</si>
  <si>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</si>
  <si>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</si>
  <si>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</si>
  <si>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</si>
  <si>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</si>
  <si>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</si>
  <si>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</si>
  <si>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</si>
  <si>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</si>
  <si>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</si>
  <si>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</si>
  <si>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</si>
  <si>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</si>
  <si>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</si>
  <si>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</si>
  <si>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</si>
  <si>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</si>
  <si>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</si>
  <si>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</si>
  <si>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</si>
  <si>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</si>
  <si>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</si>
  <si>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</si>
  <si>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</si>
  <si>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</si>
  <si>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</si>
  <si>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</si>
  <si>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</si>
  <si>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</si>
  <si>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</si>
  <si>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</si>
  <si>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</si>
  <si>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</si>
  <si>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</si>
  <si>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</si>
  <si>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</si>
  <si>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</si>
  <si>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</si>
  <si>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</si>
  <si>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</si>
  <si>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</si>
  <si>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</si>
  <si>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</si>
  <si>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</si>
  <si>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</si>
  <si>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</si>
  <si>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</si>
  <si>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</si>
  <si>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</si>
  <si>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</si>
  <si>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</si>
  <si>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</si>
  <si>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</si>
  <si>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</si>
  <si>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</si>
  <si>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</si>
  <si>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</si>
  <si>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</si>
  <si>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</si>
  <si>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</si>
  <si>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</si>
  <si>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</si>
  <si>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</si>
  <si>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</si>
  <si>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</si>
  <si>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</si>
  <si>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</si>
  <si>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</si>
  <si>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</si>
  <si>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</si>
  <si>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</si>
  <si>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</si>
  <si>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</si>
  <si>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</si>
  <si>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</si>
  <si>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</si>
  <si>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</si>
  <si>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</si>
  <si>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</si>
  <si>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</si>
  <si>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</si>
  <si>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</si>
  <si>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</si>
  <si>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</si>
  <si>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</si>
  <si>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</si>
  <si>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</si>
  <si>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</si>
  <si>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</si>
  <si>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</si>
  <si>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</si>
  <si>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</si>
  <si>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</si>
  <si>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</si>
  <si>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</si>
  <si>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</si>
  <si>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</si>
  <si>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</si>
  <si>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</si>
  <si>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</si>
  <si>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</si>
  <si>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</si>
  <si>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</si>
  <si>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</si>
  <si>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</si>
  <si>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</si>
  <si>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</si>
  <si>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</si>
  <si>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</si>
  <si>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</si>
  <si>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</si>
  <si>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</si>
  <si>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</si>
  <si>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</si>
  <si>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</si>
  <si>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</si>
  <si>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</si>
  <si>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</si>
  <si>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</si>
  <si>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</si>
  <si>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</si>
  <si>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</si>
  <si>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</si>
  <si>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</si>
  <si>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</si>
  <si>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</si>
  <si>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</si>
  <si>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</si>
  <si>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</si>
  <si>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</si>
  <si>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</si>
  <si>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</si>
  <si>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</si>
  <si>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</si>
  <si>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</si>
  <si>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</si>
  <si>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</si>
  <si>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</si>
  <si>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</si>
  <si>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</si>
  <si>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</si>
  <si>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</si>
  <si>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</si>
  <si>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</si>
  <si>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</si>
  <si>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</si>
  <si>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</si>
  <si>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</si>
  <si>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</si>
  <si>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</si>
  <si>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</si>
  <si>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</si>
  <si>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</si>
  <si>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</si>
  <si>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</si>
  <si>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</si>
  <si>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</si>
  <si>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</si>
  <si>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</si>
  <si>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</si>
  <si>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</si>
  <si>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</si>
  <si>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</si>
  <si>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</si>
  <si>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</si>
  <si>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</si>
  <si>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</si>
  <si>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</si>
  <si>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</si>
  <si>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</si>
  <si>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</si>
  <si>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</si>
  <si>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</si>
  <si>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</si>
  <si>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</si>
  <si>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</si>
  <si>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</si>
  <si>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</si>
  <si>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</si>
  <si>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</si>
  <si>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</si>
  <si>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</si>
  <si>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</si>
  <si>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</si>
  <si>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</si>
  <si>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</si>
  <si>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</si>
  <si>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</si>
  <si>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</si>
  <si>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</si>
  <si>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</si>
  <si>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</si>
  <si>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</si>
  <si>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</si>
  <si>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</si>
  <si>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</si>
  <si>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</si>
  <si>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</si>
  <si>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</si>
  <si>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</si>
  <si>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</si>
  <si>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</si>
  <si>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</si>
  <si>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</si>
  <si>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</si>
  <si>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</si>
  <si>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</si>
  <si>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</si>
  <si>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</si>
  <si>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</si>
  <si>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</si>
  <si>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</si>
  <si>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</si>
  <si>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</si>
  <si>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</si>
  <si>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</si>
  <si>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</si>
  <si>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</si>
  <si>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</si>
  <si>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</si>
  <si>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</si>
  <si>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</si>
  <si>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</si>
  <si>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</si>
  <si>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</si>
  <si>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</si>
  <si>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</si>
  <si>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</si>
  <si>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</si>
  <si>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</si>
  <si>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</si>
  <si>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</si>
  <si>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</si>
  <si>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</si>
  <si>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</si>
  <si>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</si>
  <si>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</si>
  <si>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</si>
  <si>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</si>
  <si>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</si>
  <si>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</si>
  <si>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</si>
  <si>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</si>
  <si>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</si>
  <si>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</si>
  <si>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</si>
  <si>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</si>
  <si>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</si>
  <si>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</si>
  <si>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</si>
  <si>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</si>
  <si>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</si>
  <si>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</si>
  <si>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</si>
  <si>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</si>
  <si>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</si>
  <si>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</si>
  <si>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</si>
  <si>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</si>
  <si>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</si>
  <si>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</si>
  <si>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</si>
  <si>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</si>
  <si>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</si>
  <si>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</si>
  <si>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</si>
  <si>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</si>
  <si>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</si>
  <si>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</si>
  <si>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</si>
  <si>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</si>
  <si>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</si>
  <si>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</si>
  <si>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</si>
  <si>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</si>
  <si>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</si>
  <si>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</si>
  <si>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</si>
  <si>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</si>
  <si>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</si>
  <si>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</si>
  <si>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</si>
  <si>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</si>
  <si>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</si>
  <si>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</si>
  <si>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</si>
  <si>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</si>
  <si>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</si>
  <si>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</si>
  <si>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</si>
  <si>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</si>
  <si>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</si>
  <si>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</si>
  <si>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</si>
  <si>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</si>
  <si>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</si>
  <si>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</si>
  <si>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</si>
  <si>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</si>
  <si>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</si>
  <si>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</si>
  <si>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</si>
  <si>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</si>
  <si>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</si>
  <si>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</si>
  <si>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</si>
  <si>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</si>
  <si>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</si>
  <si>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</si>
  <si>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</si>
  <si>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</si>
  <si>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</si>
  <si>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</si>
  <si>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</si>
  <si>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</si>
  <si>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</si>
  <si>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</si>
  <si>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</si>
  <si>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</si>
  <si>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</si>
  <si>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</si>
  <si>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</si>
  <si>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</si>
  <si>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</si>
  <si>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</si>
  <si>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</si>
  <si>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</si>
  <si>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</si>
  <si>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</si>
  <si>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</si>
  <si>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</si>
  <si>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</si>
  <si>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</si>
  <si>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</si>
  <si>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</si>
  <si>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</si>
  <si>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</si>
  <si>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</si>
  <si>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</si>
  <si>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</si>
  <si>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</si>
  <si>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</si>
  <si>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</si>
  <si>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</si>
  <si>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</si>
  <si>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</si>
  <si>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</si>
  <si>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</si>
  <si>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</si>
  <si>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</si>
  <si>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</si>
  <si>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</si>
  <si>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</si>
  <si>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</si>
  <si>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</si>
  <si>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</si>
  <si>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</si>
  <si>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</si>
  <si>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</si>
  <si>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</si>
  <si>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</si>
  <si>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</si>
  <si>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</si>
  <si>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</si>
  <si>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</si>
  <si>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</si>
  <si>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</si>
  <si>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</si>
  <si>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</si>
  <si>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</si>
  <si>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</si>
  <si>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</si>
  <si>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</si>
  <si>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</si>
  <si>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</si>
  <si>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</si>
  <si>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</si>
  <si>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</si>
  <si>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</si>
  <si>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</si>
  <si>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</si>
  <si>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</si>
  <si>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</si>
  <si>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</si>
  <si>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</si>
  <si>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</si>
  <si>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</si>
  <si>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</si>
  <si>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</si>
  <si>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</si>
  <si>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</si>
  <si>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</si>
  <si>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</si>
  <si>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</si>
  <si>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</si>
  <si>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</si>
  <si>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</si>
  <si>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</si>
  <si>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</si>
  <si>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</si>
  <si>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</si>
  <si>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</si>
  <si>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</si>
  <si>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</si>
  <si>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</si>
  <si>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</si>
  <si>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</si>
  <si>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</si>
  <si>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</si>
  <si>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</si>
  <si>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</si>
  <si>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</si>
  <si>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</si>
  <si>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</si>
  <si>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</si>
  <si>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</si>
  <si>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</si>
  <si>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</si>
  <si>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</si>
  <si>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</si>
  <si>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</si>
  <si>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</si>
  <si>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</si>
  <si>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</si>
  <si>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</si>
  <si>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</si>
  <si>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</si>
  <si>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</si>
  <si>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</si>
  <si>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</si>
  <si>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</si>
  <si>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</si>
  <si>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</si>
  <si>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</si>
  <si>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</si>
  <si>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</si>
  <si>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</si>
  <si>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</si>
  <si>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</si>
  <si>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</si>
  <si>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</si>
  <si>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</si>
  <si>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</si>
  <si>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</si>
  <si>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</si>
  <si>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</si>
  <si>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</si>
  <si>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</si>
  <si>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</si>
  <si>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</si>
  <si>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</si>
  <si>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</si>
  <si>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</si>
  <si>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</si>
  <si>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</si>
  <si>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</si>
  <si>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</si>
  <si>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</si>
  <si>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</si>
  <si>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</si>
  <si>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</si>
  <si>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</si>
  <si>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</si>
  <si>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</si>
  <si>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</si>
  <si>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</si>
  <si>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</si>
  <si>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</si>
  <si>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</si>
  <si>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</si>
  <si>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</si>
  <si>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</si>
  <si>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</si>
  <si>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</si>
  <si>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</si>
  <si>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</si>
  <si>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</si>
  <si>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</si>
  <si>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</si>
  <si>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</si>
  <si>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</si>
  <si>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</si>
  <si>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</si>
  <si>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</si>
  <si>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</si>
  <si>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</si>
  <si>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</si>
  <si>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</si>
  <si>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</si>
  <si>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</si>
  <si>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</si>
  <si>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</si>
  <si>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</si>
  <si>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</si>
  <si>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</si>
  <si>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</si>
  <si>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</si>
  <si>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</si>
  <si>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</si>
  <si>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</si>
  <si>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</si>
  <si>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</si>
  <si>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</si>
  <si>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</si>
  <si>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</si>
  <si>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</si>
  <si>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</si>
  <si>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</si>
  <si>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</si>
  <si>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</si>
  <si>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</si>
  <si>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</si>
  <si>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</si>
  <si>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</si>
  <si>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</si>
  <si>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</si>
  <si>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</si>
  <si>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</si>
  <si>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</si>
  <si>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</si>
  <si>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</si>
  <si>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</si>
  <si>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</si>
  <si>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</si>
  <si>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</si>
  <si>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</si>
  <si>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</si>
  <si>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</si>
  <si>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</si>
  <si>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</si>
  <si>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</si>
  <si>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</si>
  <si>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</si>
  <si>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</si>
  <si>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</si>
  <si>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</si>
  <si>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</si>
  <si>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</si>
  <si>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</si>
  <si>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</si>
  <si>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</si>
  <si>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</si>
  <si>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</si>
  <si>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</si>
  <si>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</si>
  <si>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</si>
  <si>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</si>
  <si>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</si>
  <si>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</si>
  <si>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</si>
  <si>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</si>
  <si>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</si>
  <si>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</si>
  <si>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</si>
  <si>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</si>
  <si>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</si>
  <si>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</si>
  <si>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</si>
  <si>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</si>
  <si>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</si>
  <si>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</si>
  <si>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</si>
  <si>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</si>
  <si>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</si>
  <si>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</si>
  <si>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</si>
  <si>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</si>
  <si>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</si>
  <si>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</si>
  <si>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</si>
  <si>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</si>
  <si>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</si>
  <si>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</si>
  <si>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</si>
  <si>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</si>
  <si>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</si>
  <si>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</si>
  <si>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</si>
  <si>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</si>
  <si>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</si>
  <si>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</si>
  <si>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</si>
  <si>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</si>
  <si>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</si>
  <si>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</si>
  <si>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</si>
  <si>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</si>
  <si>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</si>
  <si>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</si>
  <si>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</si>
  <si>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</si>
  <si>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</si>
  <si>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</si>
  <si>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</si>
  <si>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</si>
  <si>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</si>
  <si>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</si>
  <si>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</si>
  <si>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</si>
  <si>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</si>
  <si>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</si>
  <si>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</si>
  <si>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</si>
  <si>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</si>
  <si>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</si>
  <si>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</si>
  <si>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</si>
  <si>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</si>
  <si>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</si>
  <si>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</si>
  <si>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</si>
  <si>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</si>
  <si>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</si>
  <si>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</si>
  <si>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</si>
  <si>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</si>
  <si>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</si>
  <si>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</si>
  <si>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</si>
  <si>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</si>
  <si>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</si>
  <si>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</si>
  <si>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</si>
  <si>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</si>
  <si>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</si>
  <si>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</si>
  <si>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</si>
  <si>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</si>
  <si>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</si>
  <si>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</si>
  <si>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</si>
  <si>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</si>
  <si>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</si>
  <si>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</si>
  <si>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</si>
  <si>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</si>
  <si>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</si>
  <si>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</si>
  <si>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</si>
  <si>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</si>
  <si>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</si>
  <si>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</si>
  <si>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</si>
  <si>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</si>
  <si>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</si>
  <si>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</si>
  <si>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</si>
  <si>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</si>
  <si>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</si>
  <si>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</si>
  <si>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</si>
  <si>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</si>
  <si>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</si>
  <si>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</si>
  <si>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</si>
  <si>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</si>
  <si>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</si>
  <si>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</si>
  <si>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</si>
  <si>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</si>
  <si>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</si>
  <si>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</si>
  <si>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</si>
  <si>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</si>
  <si>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</si>
  <si>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</si>
  <si>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</si>
  <si>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</si>
  <si>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</si>
  <si>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</si>
  <si>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</si>
  <si>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</si>
  <si>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</si>
  <si>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</si>
  <si>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</si>
  <si>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</si>
  <si>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</si>
  <si>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</si>
  <si>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</si>
  <si>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</si>
  <si>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</si>
  <si>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</si>
  <si>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</si>
  <si>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</si>
  <si>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</si>
  <si>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</si>
  <si>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</si>
  <si>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</si>
  <si>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</si>
  <si>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</si>
  <si>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</si>
  <si>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</si>
  <si>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</si>
  <si>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</si>
  <si>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</si>
  <si>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</si>
  <si>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</si>
  <si>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</si>
  <si>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</si>
  <si>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</si>
  <si>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</si>
  <si>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</si>
  <si>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</si>
  <si>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</si>
  <si>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</si>
  <si>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</si>
  <si>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</si>
  <si>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</si>
  <si>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</si>
  <si>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</si>
  <si>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</si>
  <si>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</si>
  <si>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</si>
  <si>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</si>
  <si>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</si>
  <si>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</si>
  <si>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</si>
  <si>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</si>
  <si>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</si>
  <si>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</si>
  <si>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</si>
  <si>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</si>
  <si>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</si>
  <si>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</si>
  <si>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</si>
  <si>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</si>
  <si>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</si>
  <si>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</si>
  <si>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</si>
  <si>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</si>
  <si>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</si>
  <si>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</si>
  <si>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</si>
  <si>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</si>
  <si>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</si>
  <si>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</si>
  <si>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</si>
  <si>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</si>
  <si>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</si>
  <si>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</si>
  <si>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</si>
  <si>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</si>
  <si>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</si>
  <si>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</si>
  <si>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</si>
  <si>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</si>
  <si>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</si>
  <si>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</si>
  <si>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</si>
  <si>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</si>
  <si>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</si>
  <si>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</si>
  <si>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</si>
  <si>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</si>
  <si>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</si>
  <si>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</si>
  <si>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</si>
  <si>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</si>
  <si>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</si>
  <si>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</si>
  <si>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</si>
  <si>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</si>
  <si>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</si>
  <si>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</si>
  <si>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</si>
  <si>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</si>
  <si>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</si>
  <si>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</si>
  <si>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</si>
  <si>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</si>
  <si>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</si>
  <si>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</si>
  <si>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</si>
  <si>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</si>
  <si>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</si>
  <si>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</si>
  <si>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</si>
  <si>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</si>
  <si>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</si>
  <si>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</si>
  <si>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</si>
  <si>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</si>
  <si>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</si>
  <si>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</si>
  <si>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</si>
  <si>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</si>
  <si>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</si>
  <si>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</si>
  <si>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</si>
  <si>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</si>
  <si>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</si>
  <si>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</si>
  <si>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</si>
  <si>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</si>
  <si>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</si>
  <si>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</si>
  <si>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</si>
  <si>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</si>
  <si>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</si>
  <si>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</si>
  <si>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</si>
  <si>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</si>
  <si>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</si>
  <si>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</si>
  <si>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</si>
  <si>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</si>
  <si>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</si>
  <si>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</si>
  <si>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</si>
  <si>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</si>
  <si>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</si>
  <si>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</si>
  <si>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</si>
  <si>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</si>
  <si>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</si>
  <si>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</si>
  <si>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</si>
  <si>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</si>
  <si>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</si>
  <si>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</si>
  <si>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</si>
  <si>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</si>
  <si>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</si>
  <si>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</si>
  <si>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</si>
  <si>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</si>
  <si>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</si>
  <si>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</si>
  <si>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</si>
  <si>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</si>
  <si>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</si>
  <si>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</si>
  <si>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</si>
  <si>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</si>
  <si>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</si>
  <si>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</si>
  <si>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</si>
  <si>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</si>
  <si>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</si>
  <si>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</si>
  <si>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</si>
  <si>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</si>
  <si>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</si>
  <si>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</si>
  <si>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</si>
  <si>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</si>
  <si>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</si>
  <si>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</si>
  <si>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</si>
  <si>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</si>
  <si>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</si>
  <si>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</si>
  <si>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</si>
  <si>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</si>
  <si>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</si>
  <si>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</si>
  <si>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</si>
  <si>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</si>
  <si>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</si>
  <si>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</si>
  <si>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</si>
  <si>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</si>
  <si>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</si>
  <si>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</si>
  <si>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</si>
  <si>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</si>
  <si>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</si>
  <si>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</si>
  <si>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</si>
  <si>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</si>
  <si>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</si>
  <si>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</si>
  <si>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</si>
  <si>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</si>
  <si>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</si>
  <si>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</si>
  <si>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</si>
  <si>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</si>
  <si>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</si>
  <si>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</si>
  <si>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</si>
  <si>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</si>
  <si>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</si>
  <si>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</si>
  <si>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</si>
  <si>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</si>
  <si>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</si>
  <si>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</si>
  <si>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</si>
  <si>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</si>
  <si>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</si>
  <si>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</si>
  <si>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</si>
  <si>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</si>
  <si>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</si>
  <si>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</si>
  <si>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</si>
  <si>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</si>
  <si>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</si>
  <si>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</si>
  <si>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</si>
  <si>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</si>
  <si>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</si>
  <si>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</si>
  <si>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</si>
  <si>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</si>
  <si>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</si>
  <si>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</si>
  <si>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</si>
  <si>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</si>
  <si>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</si>
  <si>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</si>
  <si>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</si>
  <si>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</si>
  <si>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</si>
  <si>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</si>
  <si>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</si>
  <si>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</si>
  <si>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</si>
  <si>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</si>
  <si>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</si>
  <si>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</si>
  <si>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</si>
  <si>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</si>
  <si>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</si>
  <si>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</si>
  <si>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</si>
  <si>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</si>
  <si>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</si>
  <si>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</si>
  <si>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</si>
  <si>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</si>
  <si>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</si>
  <si>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</si>
  <si>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</si>
  <si>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</si>
  <si>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</si>
  <si>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</si>
  <si>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</si>
  <si>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</si>
  <si>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</si>
  <si>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</si>
  <si>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</si>
  <si>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</si>
  <si>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</si>
  <si>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</si>
  <si>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</si>
  <si>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</si>
  <si>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</si>
  <si>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</si>
  <si>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</si>
  <si>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</si>
  <si>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</si>
  <si>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</si>
  <si>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</si>
  <si>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</si>
  <si>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</si>
  <si>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</si>
  <si>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</si>
  <si>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</si>
  <si>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</si>
  <si>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</si>
  <si>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</si>
  <si>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</si>
  <si>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</si>
  <si>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</si>
  <si>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</si>
  <si>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</si>
  <si>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</si>
  <si>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</si>
  <si>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</si>
  <si>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</si>
  <si>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</si>
  <si>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</si>
  <si>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</si>
  <si>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</si>
  <si>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</si>
  <si>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</si>
  <si>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</si>
  <si>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</si>
  <si>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</si>
  <si>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</si>
  <si>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</si>
  <si>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</si>
  <si>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</si>
  <si>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</si>
  <si>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</si>
  <si>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</si>
  <si>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</si>
  <si>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</si>
  <si>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</si>
  <si>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</si>
  <si>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</si>
  <si>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</si>
  <si>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</si>
  <si>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</si>
  <si>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</si>
  <si>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</si>
  <si>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</si>
  <si>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</si>
  <si>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</si>
  <si>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</si>
  <si>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</si>
  <si>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</si>
  <si>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</si>
  <si>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</si>
  <si>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</si>
  <si>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</si>
  <si>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</si>
  <si>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</si>
  <si>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</si>
  <si>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</si>
  <si>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</si>
  <si>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</si>
  <si>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</si>
  <si>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</si>
  <si>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</si>
  <si>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</si>
  <si>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</si>
  <si>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</si>
  <si>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</si>
  <si>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</si>
  <si>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</si>
  <si>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</si>
  <si>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</si>
  <si>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</si>
  <si>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</si>
  <si>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</si>
  <si>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</si>
  <si>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</si>
  <si>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</si>
  <si>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</si>
  <si>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</si>
  <si>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</si>
  <si>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</si>
  <si>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</si>
  <si>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</si>
  <si>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</si>
  <si>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</si>
  <si>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</si>
  <si>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</si>
  <si>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</si>
  <si>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</si>
  <si>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</si>
  <si>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</si>
  <si>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</si>
  <si>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</si>
  <si>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</si>
  <si>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</si>
  <si>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</si>
  <si>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</si>
  <si>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</si>
  <si>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</si>
  <si>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</si>
  <si>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</si>
  <si>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</si>
  <si>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</si>
  <si>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</si>
  <si>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</si>
  <si>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</si>
  <si>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</si>
  <si>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</si>
  <si>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</si>
  <si>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</si>
  <si>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</si>
  <si>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</si>
  <si>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</si>
  <si>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</si>
  <si>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</si>
  <si>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</si>
  <si>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</si>
  <si>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</si>
  <si>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</si>
  <si>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</si>
  <si>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</si>
  <si>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</si>
  <si>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</si>
  <si>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</si>
  <si>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</si>
  <si>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</si>
  <si>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</si>
  <si>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</si>
  <si>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</si>
  <si>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</si>
  <si>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</si>
  <si>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</si>
  <si>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</si>
  <si>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</si>
  <si>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</si>
  <si>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</si>
  <si>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</si>
  <si>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</si>
  <si>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</si>
  <si>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</si>
  <si>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</si>
  <si>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</si>
  <si>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</si>
  <si>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</si>
  <si>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</si>
  <si>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</si>
  <si>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</si>
  <si>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</si>
  <si>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</si>
  <si>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</si>
  <si>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</si>
  <si>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</si>
  <si>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</si>
  <si>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</si>
  <si>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</si>
  <si>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</si>
  <si>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</si>
  <si>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</si>
  <si>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</si>
  <si>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</si>
  <si>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</si>
  <si>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</si>
  <si>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</si>
  <si>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</si>
  <si>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</si>
  <si>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</si>
  <si>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</si>
  <si>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</si>
  <si>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</si>
  <si>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</si>
  <si>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</si>
  <si>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</si>
  <si>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</si>
  <si>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</si>
  <si>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</si>
  <si>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</si>
  <si>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</si>
  <si>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</si>
  <si>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</si>
  <si>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</si>
  <si>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</si>
  <si>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</si>
  <si>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</si>
  <si>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</si>
  <si>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</si>
  <si>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</si>
  <si>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</si>
  <si>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</si>
  <si>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</si>
  <si>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</si>
  <si>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</si>
  <si>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</si>
  <si>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</si>
  <si>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</si>
  <si>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</si>
  <si>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</si>
  <si>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</si>
  <si>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</si>
  <si>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</si>
  <si>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</si>
  <si>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</si>
  <si>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</si>
  <si>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</si>
  <si>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</si>
  <si>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</si>
  <si>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</si>
  <si>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</si>
  <si>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</si>
  <si>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</si>
  <si>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</si>
  <si>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</si>
  <si>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</si>
  <si>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</si>
  <si>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</si>
  <si>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</si>
  <si>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</si>
  <si>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</si>
  <si>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</si>
  <si>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</si>
  <si>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</si>
  <si>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</si>
  <si>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</si>
  <si>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</si>
  <si>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</si>
  <si>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</si>
  <si>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</si>
  <si>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</si>
  <si>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</si>
  <si>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</si>
  <si>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</si>
  <si>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</si>
  <si>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</si>
  <si>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</si>
  <si>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</si>
  <si>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</si>
  <si>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</si>
  <si>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</si>
  <si>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</si>
  <si>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</si>
  <si>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</si>
  <si>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</si>
  <si>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</si>
  <si>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</si>
  <si>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</si>
  <si>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</si>
  <si>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</si>
  <si>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</si>
  <si>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</si>
  <si>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</si>
  <si>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</si>
  <si>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</si>
  <si>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</si>
  <si>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</si>
  <si>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</si>
  <si>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</si>
  <si>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</si>
  <si>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</si>
  <si>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</si>
  <si>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</si>
  <si>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</si>
  <si>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</si>
  <si>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</si>
  <si>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</si>
  <si>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</si>
  <si>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</si>
  <si>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</si>
  <si>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</si>
  <si>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</si>
  <si>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</si>
  <si>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</si>
  <si>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</si>
  <si>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</si>
  <si>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</si>
  <si>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</si>
  <si>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</si>
  <si>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</si>
  <si>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</si>
  <si>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</si>
  <si>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</si>
  <si>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</si>
  <si>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</si>
  <si>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</si>
  <si>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</si>
  <si>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</si>
  <si>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</si>
  <si>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</si>
  <si>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</si>
  <si>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</si>
  <si>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</si>
  <si>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</si>
  <si>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</si>
  <si>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</si>
  <si>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</si>
  <si>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</si>
  <si>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</si>
  <si>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</si>
  <si>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</si>
  <si>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</si>
  <si>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</si>
  <si>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</si>
  <si>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</si>
  <si>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</si>
  <si>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</si>
  <si>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</si>
  <si>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</si>
  <si>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</si>
  <si>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</si>
  <si>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</si>
  <si>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</si>
  <si>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</si>
  <si>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</si>
  <si>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</si>
  <si>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</si>
  <si>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</si>
  <si>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</si>
  <si>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</si>
  <si>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</si>
  <si>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</si>
  <si>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</si>
  <si>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</si>
  <si>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</si>
  <si>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</si>
  <si>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万元</t>
  </si>
  <si>
    <t>总价</t>
  </si>
  <si>
    <t>否</t>
  </si>
  <si>
    <t>无租约</t>
  </si>
  <si>
    <t>利息：取LPR加浮动点数</t>
  </si>
  <si>
    <t>成本法</t>
  </si>
  <si>
    <t>收益法</t>
  </si>
  <si>
    <t>钢混</t>
  </si>
  <si>
    <t>非生产用房</t>
  </si>
  <si>
    <t>是</t>
  </si>
  <si>
    <t>未包含在土地购买价格中</t>
  </si>
  <si>
    <t>已包含在土地取得成本中</t>
  </si>
  <si>
    <t>办公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</si>
</sst>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11796</v>
          </cell>
          <cell r="D33">
            <v>481.49</v>
          </cell>
        </row>
        <row r="42">
          <cell r="C42">
            <v>1683</v>
          </cell>
          <cell r="D42">
            <v>134.07</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估价对象为北京市房地产，为XX所有。根据《》[]，估价对象建筑面积为615.56平方米。根据《》[]，估价对象（分摊）出让国有建设用地使用权面积为平方米。估价对象用途为。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2022年7月4日（评估专业人员实地查勘之日）</v>
      </c>
    </row>
    <row r="10" spans="1:2">
      <c r="A10" s="1139" t="s">
        <v>865</v>
      </c>
      <c r="B10" s="1126" t="str">
        <f>'预评函-1'!A13</f>
        <v>本次估价的“房地产价值”是指在正常市场情况下，在价值时点2022年7月4日，估价对象规划用途为，假定未设立法定优先受偿款下的房地产市场价值。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615.55999999999995</v>
      </c>
    </row>
    <row r="19" spans="1:2">
      <c r="A19" s="1139" t="s">
        <v>874</v>
      </c>
      <c r="B19" s="1126">
        <f ca="1">'预评函-2（1）'!D7</f>
        <v>1065</v>
      </c>
    </row>
    <row r="20" spans="1:2">
      <c r="A20" s="1139" t="s">
        <v>912</v>
      </c>
      <c r="B20" s="1126" t="str">
        <f>'预评函-2（1）'!C7</f>
        <v>总价（万元）</v>
      </c>
    </row>
    <row r="21" spans="1:2">
      <c r="A21" s="1139" t="s">
        <v>875</v>
      </c>
      <c r="B21" s="1126">
        <f ca="1">'预评函-2（1）'!D9</f>
        <v>17301</v>
      </c>
    </row>
    <row r="22" spans="1:2">
      <c r="A22" s="1139" t="s">
        <v>876</v>
      </c>
      <c r="B22" s="1126" t="str">
        <f ca="1">'预评函-2（1）'!D8</f>
        <v>壹仟零陆拾伍万元整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1065</v>
      </c>
    </row>
    <row r="30" spans="1:2">
      <c r="A30" s="1139" t="s">
        <v>882</v>
      </c>
      <c r="B30" s="1126" t="str">
        <f ca="1">'预评函-2（1）'!D16</f>
        <v>壹仟零陆拾伍万元整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819</v>
      </c>
    </row>
    <row r="38" spans="1:2">
      <c r="A38" s="1139" t="s">
        <v>890</v>
      </c>
      <c r="B38" s="1126">
        <f ca="1">'预评函-2（2）'!E4</f>
        <v>13305</v>
      </c>
    </row>
    <row r="39" spans="1:2">
      <c r="A39" s="1139" t="s">
        <v>891</v>
      </c>
      <c r="B39" s="1126" t="str">
        <f ca="1">'预评函-2（2）'!D5</f>
        <v>捌佰壹拾玖万元整</v>
      </c>
    </row>
    <row r="40" spans="1:2">
      <c r="A40" s="1139" t="s">
        <v>892</v>
      </c>
      <c r="B40" s="1126">
        <f ca="1">'预评函-2（2）'!F4</f>
        <v>246</v>
      </c>
    </row>
    <row r="41" spans="1:2">
      <c r="A41" s="1139" t="s">
        <v>893</v>
      </c>
      <c r="B41" s="1126">
        <f ca="1">'预评函-2（2）'!G4</f>
        <v>3996</v>
      </c>
    </row>
    <row r="42" spans="1:2" s="1136" customFormat="1" ht="15.75" thickBot="1">
      <c r="A42" s="1140" t="s">
        <v>894</v>
      </c>
      <c r="B42" s="1128" t="str">
        <f ca="1">'预评函-2（2）'!F5</f>
        <v>贰佰肆拾陆万元整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17301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B2" sqref="B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44746</v>
      </c>
      <c r="C2" s="2809" t="s">
        <v>1291</v>
      </c>
      <c r="D2" s="2510">
        <f>B2</f>
        <v>44746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姓名</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f>481.49+134.07</f>
        <v>615.55999999999995</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tabSelected="1"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44746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3035</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615.55999999999995</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34</v>
      </c>
      <c r="C13" s="2885"/>
      <c r="D13" s="2851" t="s">
        <v>1397</v>
      </c>
      <c r="E13" s="2571">
        <f>成本法!C10</f>
        <v>123112</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0.873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4.4999999999999998E-2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2154460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0.77</v>
      </c>
      <c r="F20" s="905"/>
      <c r="G20" s="1613">
        <f>2022-2008</f>
        <v>14</v>
      </c>
      <c r="H20" s="1613">
        <f>46/60</f>
        <v>0.76666666666666672</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2008</v>
      </c>
      <c r="C27" s="1613"/>
      <c r="D27" s="3074" t="s">
        <v>3037</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3036</v>
      </c>
      <c r="D29" s="2853" t="s">
        <v>1423</v>
      </c>
      <c r="E29" s="2872">
        <f>E30+E31</f>
        <v>5.6000000000000001E-2</v>
      </c>
      <c r="F29" s="1238"/>
      <c r="G29" s="2887"/>
      <c r="H29" s="2887"/>
      <c r="K29" s="1613"/>
      <c r="N29" s="1613"/>
    </row>
    <row r="30" spans="1:41" ht="14.25">
      <c r="A30" s="2848" t="str">
        <f>IF(B29="租赁期内按合同租金","合同租金","市场租金")</f>
        <v>市场租金</v>
      </c>
      <c r="B30" s="2588">
        <v>2.8</v>
      </c>
      <c r="C30" s="2593">
        <f>(481.49*3.5+0.3*134.07)/(481.49+134.07)</f>
        <v>2.8030346351289888</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5"/>
  <sheetViews>
    <sheetView view="pageBreakPreview" zoomScale="80" zoomScaleNormal="100" zoomScaleSheetLayoutView="80" workbookViewId="0">
      <selection activeCell="D28" sqref="D28"/>
    </sheetView>
  </sheetViews>
  <sheetFormatPr defaultColWidth="14.625" defaultRowHeight="13.5"/>
  <cols>
    <col min="1" max="1" width="24.375" style="2501" customWidth="1"/>
    <col min="2" max="16384" width="14.625" style="2501"/>
  </cols>
  <sheetData>
    <row r="1" spans="1:9" ht="16.5">
      <c r="A1" s="2499" t="s">
        <v>973</v>
      </c>
      <c r="B1" s="2499">
        <f>SUM(B14:B23)</f>
        <v>615.55999999999995</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44746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1065</v>
      </c>
      <c r="C5" s="2499">
        <f ca="1">ROUND(B5*10000/$B$1,0)</f>
        <v>17301</v>
      </c>
      <c r="D5" s="2499" t="e">
        <f ca="1">ROUND(B5*10000/$B$2,0)</f>
        <v>#DIV/0!</v>
      </c>
      <c r="E5" s="1562"/>
      <c r="F5" s="2500"/>
      <c r="G5" s="2500"/>
    </row>
    <row r="6" spans="1:9" ht="16.5">
      <c r="A6" s="2499" t="s">
        <v>981</v>
      </c>
      <c r="B6" s="2499">
        <f ca="1">SUM(G14:G23)</f>
        <v>1065</v>
      </c>
      <c r="C6" s="2499">
        <f t="shared" ref="C6:C8" ca="1" si="0">ROUND(B6*10000/$B$1,0)</f>
        <v>17301</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615.55999999999995</v>
      </c>
      <c r="C14" s="2835">
        <f>项目基本情况!C13</f>
        <v>0</v>
      </c>
      <c r="D14" s="2835">
        <f ca="1">IF('数据-取费表'!B3="万元",IF(A14="估价对象1（结果表）",结果表!H121,'结果表 (1修多)'!H125),IF(A14="估价对象1（结果表）",结果表!H121,'结果表 (1修多)'!H125)/10000)</f>
        <v>1065</v>
      </c>
      <c r="E14" s="2835">
        <f ca="1">ROUND(D14*10000/B14,0)</f>
        <v>17301</v>
      </c>
      <c r="F14" s="2835" t="e">
        <f ca="1">ROUND(D14*10000/C14,0)</f>
        <v>#DIV/0!</v>
      </c>
      <c r="G14" s="2835">
        <f ca="1">IF('数据-取费表'!B3="万元",IF(A14="估价对象1（结果表）",结果表!D125,'结果表 (1修多)'!D129),IF(A14="估价对象1（结果表）",结果表!D125,'结果表 (1修多)'!D129)/10000)</f>
        <v>1065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5" spans="1:9">
      <c r="D25" s="2501">
        <f>1.51*B14</f>
        <v>929.49559999999997</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00" zoomScale="80" zoomScaleNormal="100" zoomScaleSheetLayoutView="80" zoomScalePageLayoutView="80" workbookViewId="0">
      <selection activeCell="H122" sqref="H122:I12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3038</v>
      </c>
      <c r="D4" s="2632" t="s">
        <v>3039</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f>10-C14</f>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5">
      <c r="A19" s="2638" t="s">
        <v>1494</v>
      </c>
      <c r="B19" s="2639" t="s">
        <v>1495</v>
      </c>
      <c r="C19" s="2640">
        <f ca="1">SUMIF(INDIRECT("'"&amp;C4&amp;"'"&amp;"!A:A"),结果表!B19,INDIRECT("'"&amp;C4&amp;"'"&amp;"!B:B"))</f>
        <v>1088</v>
      </c>
      <c r="D19" s="2641">
        <f ca="1">SUMIF(INDIRECT("'"&amp;D4&amp;"'"&amp;"!A:A"),结果表!B19,INDIRECT("'"&amp;D4&amp;"'"&amp;"!B:B"))</f>
        <v>1042</v>
      </c>
      <c r="E19" s="2638" t="s">
        <v>1496</v>
      </c>
      <c r="F19" s="2639" t="s">
        <v>1495</v>
      </c>
      <c r="G19" s="2642">
        <f ca="1">ROUND(C19*$C$18+D19*$D$18,0)</f>
        <v>1065</v>
      </c>
      <c r="H19" s="2643" t="str">
        <f>'数据-取费表'!B3</f>
        <v>万元</v>
      </c>
      <c r="I19" s="2691"/>
      <c r="J19" s="2766"/>
    </row>
    <row r="20" spans="1:36" ht="15">
      <c r="A20" s="2644"/>
      <c r="B20" s="1622" t="s">
        <v>1497</v>
      </c>
      <c r="C20" s="1847">
        <f ca="1">SUMIF(INDIRECT("'"&amp;C4&amp;"'"&amp;"!A:A"),结果表!B20,INDIRECT("'"&amp;C4&amp;"'"&amp;"!B:B"))</f>
        <v>17679</v>
      </c>
      <c r="D20" s="1850">
        <f ca="1">SUMIF(INDIRECT("'"&amp;D4&amp;"'"&amp;"!A:A"),结果表!B20,INDIRECT("'"&amp;D4&amp;"'"&amp;"!B:B"))</f>
        <v>16929</v>
      </c>
      <c r="E20" s="2644"/>
      <c r="F20" s="1622" t="s">
        <v>1497</v>
      </c>
      <c r="G20" s="2021">
        <f ca="1">ROUND(C20*$C$18+D20*$D$18,0)</f>
        <v>17304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4.4145873320537321E-2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1065</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819</v>
      </c>
      <c r="D34" s="2668">
        <f ca="1">IF(D33="自定义",ROUND(C34/C32,3),1-D35)</f>
        <v>0.76900000000000002</v>
      </c>
      <c r="E34" s="1363" t="s">
        <v>1510</v>
      </c>
      <c r="F34" s="2669">
        <v>2000</v>
      </c>
      <c r="G34" s="905"/>
      <c r="H34" s="905"/>
      <c r="I34" s="905"/>
      <c r="J34" s="2765"/>
    </row>
    <row r="35" spans="1:17" ht="15.75" thickBot="1">
      <c r="A35" s="1395"/>
      <c r="B35" s="2670" t="s">
        <v>1511</v>
      </c>
      <c r="C35" s="2671">
        <f ca="1">IF(D33="自定义",F35,ROUND(C32*D35,0))</f>
        <v>246</v>
      </c>
      <c r="D35" s="2672">
        <f ca="1">IF(D33="自定义",ROUND(C35/C32,3),IF(D33="成本法成本比率",成本法!C56,IF(D33="收益法收益比率",收益法!J38,收益法!J41)))</f>
        <v>0.23100000000000001</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1065</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44746</v>
      </c>
      <c r="O47" s="3522"/>
      <c r="P47" s="3522"/>
      <c r="Q47" s="1236"/>
    </row>
    <row r="48" spans="1:17" ht="25.5">
      <c r="A48" s="3464" t="s">
        <v>1536</v>
      </c>
      <c r="B48" s="3418"/>
      <c r="C48" s="3418"/>
      <c r="D48" s="12">
        <f ca="1">IF(H48="情况1",0,IF(H48="情况2",D52,IF(H48="情况3",D53,IF(H48="情况4",D54))))</f>
        <v>57</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1065</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57</v>
      </c>
      <c r="E52" s="2020" t="s">
        <v>1553</v>
      </c>
      <c r="F52" s="2493">
        <f>'数据-取费表'!E29</f>
        <v>5.6000000000000001E-2</v>
      </c>
      <c r="G52" s="2494"/>
      <c r="H52" s="905"/>
      <c r="I52" s="2898"/>
      <c r="J52" s="2773"/>
      <c r="K52" s="2454">
        <v>1</v>
      </c>
      <c r="L52" s="3487" t="s">
        <v>2515</v>
      </c>
      <c r="M52" s="3487"/>
      <c r="N52" s="2456">
        <f ca="1">D48</f>
        <v>57</v>
      </c>
      <c r="O52" s="2454" t="str">
        <f>E48</f>
        <v>销售额×税（费）率</v>
      </c>
      <c r="P52" s="2457">
        <f>F48</f>
        <v>5.6000000000000001E-2</v>
      </c>
      <c r="Q52" s="1236"/>
    </row>
    <row r="53" spans="1:17" ht="12" customHeight="1">
      <c r="A53" s="2010" t="s">
        <v>1555</v>
      </c>
      <c r="B53" s="3419" t="s">
        <v>2593</v>
      </c>
      <c r="C53" s="3458"/>
      <c r="D53" s="1028">
        <f ca="1">ROUND(D45*'数据-取费表'!E29/(1+'数据-取费表'!F30),0)</f>
        <v>57</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57</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57</v>
      </c>
      <c r="P57" s="2465"/>
      <c r="Q57" s="1234" t="e">
        <f ca="1">O57/N49</f>
        <v>#VALUE!</v>
      </c>
    </row>
    <row r="58" spans="1:17" ht="24.75">
      <c r="A58" s="2010" t="s">
        <v>1551</v>
      </c>
      <c r="B58" s="3419" t="s">
        <v>1569</v>
      </c>
      <c r="C58" s="3457"/>
      <c r="D58" s="12">
        <f ca="1">IF(H58="转让取得",C81,C97)</f>
        <v>603</v>
      </c>
      <c r="E58" s="2020" t="s">
        <v>1564</v>
      </c>
      <c r="F58" s="235" t="s">
        <v>48</v>
      </c>
      <c r="G58" s="2494"/>
      <c r="H58" s="2496" t="s">
        <v>1570</v>
      </c>
      <c r="I58" s="2900"/>
      <c r="J58" s="2773"/>
      <c r="K58" s="3487"/>
      <c r="L58" s="3487"/>
      <c r="M58" s="2462" t="s">
        <v>2520</v>
      </c>
      <c r="N58" s="2466"/>
      <c r="O58" s="2467" t="str">
        <f ca="1">IF(H19="元",NUMBERSTRING(INT(O57),2)&amp;"元整",NUMBERSTRING(INT(O57*10000),2)&amp;"元整")</f>
        <v>伍拾柒万元整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1014</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1065</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1014</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57</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1014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1008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603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1014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1008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603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1088</v>
      </c>
      <c r="D101" s="2727">
        <f ca="1">D19</f>
        <v>1042</v>
      </c>
      <c r="E101" s="1389"/>
      <c r="F101" s="3422" t="str">
        <f>项目基本情况!I1</f>
        <v>北京市房地产</v>
      </c>
      <c r="G101" s="3423"/>
      <c r="H101" s="3420">
        <f>项目基本情况!C12</f>
        <v>615.55999999999995</v>
      </c>
      <c r="I101" s="3421"/>
      <c r="J101" s="2780"/>
    </row>
    <row r="102" spans="1:36" ht="12.75">
      <c r="A102" s="3490"/>
      <c r="B102" s="2235" t="s">
        <v>2571</v>
      </c>
      <c r="C102" s="2728">
        <f ca="1">C20</f>
        <v>17679</v>
      </c>
      <c r="D102" s="2729">
        <f ca="1">D20</f>
        <v>16929</v>
      </c>
      <c r="E102" s="1389"/>
      <c r="F102" s="3432" t="s">
        <v>2567</v>
      </c>
      <c r="G102" s="3433"/>
      <c r="H102" s="2737" t="str">
        <f>C106</f>
        <v>总价（万元）</v>
      </c>
      <c r="I102" s="2738">
        <f ca="1">H121</f>
        <v>1065</v>
      </c>
      <c r="J102" s="2780"/>
    </row>
    <row r="103" spans="1:36" ht="12.75">
      <c r="A103" s="3490" t="s">
        <v>2572</v>
      </c>
      <c r="B103" s="2173" t="str">
        <f>B101</f>
        <v>总价（万元）</v>
      </c>
      <c r="C103" s="2732">
        <f ca="1">H121</f>
        <v>1065</v>
      </c>
      <c r="D103" s="2730"/>
      <c r="E103" s="1389"/>
      <c r="F103" s="3432"/>
      <c r="G103" s="3433"/>
      <c r="H103" s="2737" t="s">
        <v>2540</v>
      </c>
      <c r="I103" s="52">
        <f ca="1">I121</f>
        <v>17301</v>
      </c>
      <c r="J103" s="2764"/>
    </row>
    <row r="104" spans="1:36" ht="13.5" thickBot="1">
      <c r="A104" s="3491"/>
      <c r="B104" s="2734" t="s">
        <v>2571</v>
      </c>
      <c r="C104" s="2735">
        <f ca="1">I121</f>
        <v>17301</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1065</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17301</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1065</v>
      </c>
      <c r="J110" s="2780"/>
    </row>
    <row r="111" spans="1:36" ht="12.75">
      <c r="A111" s="3434" t="s">
        <v>2545</v>
      </c>
      <c r="B111" s="3435"/>
      <c r="C111" s="2739" t="str">
        <f>C108</f>
        <v>总额（万元）</v>
      </c>
      <c r="D111" s="52">
        <f>C38</f>
        <v>0</v>
      </c>
      <c r="E111" s="1389"/>
      <c r="F111" s="3523"/>
      <c r="G111" s="3524"/>
      <c r="H111" s="2737" t="s">
        <v>2540</v>
      </c>
      <c r="I111" s="2741">
        <f ca="1">D113</f>
        <v>17301</v>
      </c>
      <c r="J111" s="2783"/>
    </row>
    <row r="112" spans="1:36" ht="26.25" customHeight="1">
      <c r="A112" s="3432" t="str">
        <f>IF(项目基本情况!F5="已注销","——","3.房地产抵押价值")</f>
        <v>3.房地产抵押价值</v>
      </c>
      <c r="B112" s="3433"/>
      <c r="C112" s="2737" t="str">
        <f>B101</f>
        <v>总价（万元）</v>
      </c>
      <c r="D112" s="2738">
        <f ca="1">IF(A112="——","——",D106-D108)</f>
        <v>1065</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17301</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（以上估价结果中单价为总价除以建筑面积得出）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615.55999999999995</v>
      </c>
      <c r="C121" s="2020">
        <f>项目基本情况!C13</f>
        <v>0</v>
      </c>
      <c r="D121" s="2020">
        <f ca="1">ROUND(IF(B32="总价",C34,IF('数据-取费表'!B3="万元",E121*B121/10000,E121*B121)),0)</f>
        <v>819</v>
      </c>
      <c r="E121" s="2020">
        <f ca="1">ROUND(IF(B32="楼面单价",C34,IF(H19="元",D121/B121,D121*10000/B121)),0)</f>
        <v>13305</v>
      </c>
      <c r="F121" s="2020">
        <f ca="1">ROUND(IF(B32="总价",C35,IF('数据-取费表'!B3="万元",G121*B121/10000,G121*B121)),0)</f>
        <v>246</v>
      </c>
      <c r="G121" s="2020">
        <f ca="1">ROUND(IF(B32="楼面单价",C35,IF(H19="元",F121/B121,F121*10000/B121)),0)</f>
        <v>3996</v>
      </c>
      <c r="H121" s="2020">
        <f ca="1">ROUND(IF(B32="总价",C32,IF('数据-取费表'!B3="万元",I121*B121/10000,I121*B121)),0)</f>
        <v>1065</v>
      </c>
      <c r="I121" s="52">
        <f ca="1">ROUND(IF(B32="楼面单价",C32,IF(H19="元",H121/B121,H121*10000/B121)),0)</f>
        <v>17301</v>
      </c>
      <c r="J121" s="2764"/>
    </row>
    <row r="122" spans="1:16" ht="12.75">
      <c r="A122" s="3417" t="s">
        <v>2557</v>
      </c>
      <c r="B122" s="3418"/>
      <c r="C122" s="3418"/>
      <c r="D122" s="3445" t="str">
        <f ca="1">IF(H19="元",NUMBERSTRING(INT(D121),2)&amp;"元整",NUMBERSTRING(INT(D121*10000),2)&amp;"元整")</f>
        <v>捌佰壹拾玖万元整</v>
      </c>
      <c r="E122" s="3488"/>
      <c r="F122" s="3445" t="str">
        <f ca="1">IF(H19="元",NUMBERSTRING(INT(F121),2)&amp;"元整",NUMBERSTRING(INT(F121*10000),2)&amp;"元整")</f>
        <v>贰佰肆拾陆万元整</v>
      </c>
      <c r="G122" s="3488"/>
      <c r="H122" s="3445" t="str">
        <f ca="1">IF(H19="元",NUMBERSTRING(INT(H121),2)&amp;"元整",NUMBERSTRING(INT(H121*10000),2)&amp;"元整")</f>
        <v>壹仟零陆拾伍万元整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1065</v>
      </c>
      <c r="E125" s="3428"/>
      <c r="F125" s="3428"/>
      <c r="G125" s="3428"/>
      <c r="H125" s="3428"/>
      <c r="I125" s="3421"/>
      <c r="J125" s="2780"/>
    </row>
    <row r="126" spans="1:16" ht="12.75">
      <c r="A126" s="3417" t="s">
        <v>2557</v>
      </c>
      <c r="B126" s="3418"/>
      <c r="C126" s="3418"/>
      <c r="D126" s="3429">
        <f ca="1">I111</f>
        <v>17301</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44746</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E22" sqref="E2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1088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17679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6208520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ROUND([2]基准地价修正!$C$33*[2]基准地价修正!$D$33+[2]基准地价修正!$C$42*[2]基准地价修正!$D$42,0)</f>
        <v>5905296</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180112</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123112</v>
      </c>
      <c r="D8" s="1099"/>
      <c r="E8" s="115"/>
      <c r="F8" s="1098"/>
      <c r="G8" s="1446" t="s">
        <v>3043</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123112</v>
      </c>
      <c r="D10" s="1101">
        <f>IF('数据-取费表'!B10&lt;&gt;"住宅",IF(B1="仅计算典型户型",'数据-取费表'!E5,'数据-取费表'!B5),0)</f>
        <v>615.55999999999995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615.55999999999995</v>
      </c>
      <c r="E19" s="111">
        <f>'数据-取费表'!E15</f>
        <v>200</v>
      </c>
      <c r="F19" s="112"/>
      <c r="G19" s="1446" t="s">
        <v>3044</v>
      </c>
    </row>
    <row r="20" spans="1:123" s="91" customFormat="1" ht="13.5" customHeight="1">
      <c r="A20" s="120" t="s">
        <v>1702</v>
      </c>
      <c r="B20" s="89" t="s">
        <v>1703</v>
      </c>
      <c r="C20" s="99">
        <f>ROUND((C5+C19)*F20,0)</f>
        <v>124170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537683</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532468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5215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949904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949904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8473591</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2374523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2154460</v>
      </c>
      <c r="D34" s="1096"/>
      <c r="E34" s="115"/>
      <c r="F34" s="1107" t="str">
        <f>IF('数据-取费表'!B26=0,"",'数据-取费表'!E20)</f>
        <v/>
      </c>
      <c r="G34" s="95"/>
    </row>
    <row r="35" spans="1:123" ht="13.5" customHeight="1">
      <c r="A35" s="92" t="s">
        <v>1685</v>
      </c>
      <c r="B35" s="93" t="s">
        <v>1734</v>
      </c>
      <c r="C35" s="115">
        <f>ROUND(C34*F35,0)</f>
        <v>64634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123112</v>
      </c>
      <c r="D37" s="1096">
        <f>IF(B1="仅计算典型户型",'数据-取费表'!E5,'数据-取费表'!B5)</f>
        <v>615.55999999999995</v>
      </c>
      <c r="E37" s="115">
        <f>'数据-取费表'!E23</f>
        <v>200</v>
      </c>
      <c r="F37" s="1108"/>
      <c r="G37" s="124" t="s">
        <v>1739</v>
      </c>
    </row>
    <row r="38" spans="1:123" ht="13.5" customHeight="1">
      <c r="A38" s="92" t="s">
        <v>1740</v>
      </c>
      <c r="B38" s="93" t="s">
        <v>1741</v>
      </c>
      <c r="C38" s="115">
        <f>ROUND(C34*F38,0)</f>
        <v>32317</v>
      </c>
      <c r="D38" s="115"/>
      <c r="E38" s="115"/>
      <c r="F38" s="1108">
        <f>'数据-取费表'!E24</f>
        <v>1.4999999999999999E-2</v>
      </c>
      <c r="G38" s="95" t="s">
        <v>1735</v>
      </c>
    </row>
    <row r="39" spans="1:123" s="91" customFormat="1" ht="13.5" customHeight="1">
      <c r="A39" s="120" t="s">
        <v>1700</v>
      </c>
      <c r="B39" s="89" t="s">
        <v>1703</v>
      </c>
      <c r="C39" s="99">
        <f>ROUND(C33*F20,0)</f>
        <v>47490</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101725</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99730</v>
      </c>
      <c r="D42" s="104"/>
      <c r="E42" s="104"/>
      <c r="F42" s="105"/>
      <c r="G42" s="3554" t="s">
        <v>1745</v>
      </c>
    </row>
    <row r="43" spans="1:123" ht="13.5" customHeight="1">
      <c r="A43" s="92" t="s">
        <v>1685</v>
      </c>
      <c r="B43" s="93" t="s">
        <v>1714</v>
      </c>
      <c r="C43" s="104">
        <f ca="1">ROUND(IF('数据-取费表'!B24&lt;=1,C39*F22*'数据-取费表'!B23/2,C39*(POWER((1+F22),'数据-取费表'!B23/2)-1)),0)</f>
        <v>1995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363302</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363302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3128226</v>
      </c>
      <c r="D49" s="99"/>
      <c r="E49" s="99"/>
      <c r="F49" s="126"/>
      <c r="G49" s="100" t="s">
        <v>1753</v>
      </c>
    </row>
    <row r="50" spans="1:123" s="122" customFormat="1" ht="24">
      <c r="A50" s="952" t="s">
        <v>1754</v>
      </c>
      <c r="B50" s="89" t="s">
        <v>1755</v>
      </c>
      <c r="C50" s="99"/>
      <c r="D50" s="99"/>
      <c r="E50" s="99"/>
      <c r="F50" s="126">
        <f>IF('数据-取费表'!B26=0,'数据-取费表'!E20,1)</f>
        <v>0.77</v>
      </c>
      <c r="G50" s="113" t="s">
        <v>1756</v>
      </c>
    </row>
    <row r="51" spans="1:123" ht="16.5" customHeight="1">
      <c r="A51" s="952" t="s">
        <v>1757</v>
      </c>
      <c r="B51" s="89" t="s">
        <v>1758</v>
      </c>
      <c r="C51" s="99">
        <f ca="1">ROUND(C49*F50,0)</f>
        <v>2408734</v>
      </c>
      <c r="D51" s="99"/>
      <c r="E51" s="99"/>
      <c r="F51" s="126"/>
      <c r="G51" s="100" t="s">
        <v>1759</v>
      </c>
    </row>
    <row r="52" spans="1:123" s="88" customFormat="1" ht="16.5" thickBot="1">
      <c r="A52" s="127" t="s">
        <v>1760</v>
      </c>
      <c r="B52" s="128"/>
      <c r="C52" s="129">
        <f ca="1">C31+C51</f>
        <v>10882325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0.221</v>
      </c>
    </row>
    <row r="57" spans="1:123">
      <c r="B57" s="135" t="s">
        <v>1763</v>
      </c>
      <c r="C57" s="137">
        <f ca="1">1-C56</f>
        <v>0.77900000000000003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-123112</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-123112</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-2462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-18836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-18836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122030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4" zoomScale="80" zoomScaleNormal="60" zoomScaleSheetLayoutView="80" workbookViewId="0">
      <selection activeCell="D23" sqref="D2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1042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16929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566900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566192</v>
      </c>
      <c r="D6" s="36" t="s">
        <v>2461</v>
      </c>
      <c r="E6" s="235" t="s">
        <v>1776</v>
      </c>
      <c r="F6" s="236">
        <f>'数据-取费表'!B30</f>
        <v>2.8</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615.55999999999995</v>
      </c>
      <c r="G7" s="909"/>
      <c r="H7" s="237"/>
      <c r="I7" s="238"/>
      <c r="J7" s="239"/>
      <c r="K7" s="240"/>
      <c r="L7" s="235" t="s">
        <v>1777</v>
      </c>
      <c r="M7" s="236">
        <f>IF('数据-取费表'!B42="",IF(D1="仅计算典型户型",'数据-取费表'!E5,'数据-取费表'!B5),'数据-取费表'!B42)</f>
        <v>615.55999999999995</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708</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2408734</v>
      </c>
      <c r="D13" s="1023" t="s">
        <v>1791</v>
      </c>
      <c r="E13" s="1023" t="s">
        <v>1792</v>
      </c>
      <c r="F13" s="1024">
        <f>'数据-取费表'!E20</f>
        <v>0.77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2154460</v>
      </c>
      <c r="D14" s="1256" t="s">
        <v>1795</v>
      </c>
      <c r="E14" s="1257"/>
      <c r="F14" s="757"/>
      <c r="G14" s="910"/>
      <c r="H14" s="253" t="s">
        <v>1774</v>
      </c>
      <c r="I14" s="235" t="s">
        <v>1796</v>
      </c>
      <c r="J14" s="13">
        <f ca="1">C29</f>
        <v>3128226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64634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46923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123112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32317</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2374523</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47490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46923</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101725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-46923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363302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3128226</v>
      </c>
      <c r="D29" s="1034"/>
      <c r="E29" s="1032"/>
      <c r="F29" s="1035"/>
      <c r="G29" s="652"/>
      <c r="H29" s="271" t="s">
        <v>24</v>
      </c>
      <c r="I29" s="272" t="s">
        <v>1869</v>
      </c>
      <c r="J29" s="273">
        <f ca="1">ROUND(J26/(1+F40)^F41,0)</f>
        <v>0</v>
      </c>
      <c r="K29" s="274" t="s">
        <v>1870</v>
      </c>
      <c r="L29" s="275"/>
      <c r="M29" s="276">
        <f>IF(D1="仅计算典型户型",'数据-取费表'!E5,'数据-取费表'!B5)</f>
        <v>615.55999999999995</v>
      </c>
    </row>
    <row r="30" spans="1:37" ht="18" customHeight="1" thickTop="1">
      <c r="A30" s="1021" t="s">
        <v>14</v>
      </c>
      <c r="B30" s="1022" t="s">
        <v>1871</v>
      </c>
      <c r="C30" s="243">
        <f ca="1">ROUND(C31+C36+C37+C38,0)</f>
        <v>99620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37746</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46923</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3613</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11338</v>
      </c>
      <c r="D38" s="1034" t="s">
        <v>1846</v>
      </c>
      <c r="E38" s="1032" t="s">
        <v>1842</v>
      </c>
      <c r="F38" s="1027">
        <f>'数据-取费表'!B47</f>
        <v>0.02</v>
      </c>
      <c r="G38" s="652"/>
      <c r="H38" s="901"/>
      <c r="I38" s="280" t="s">
        <v>1884</v>
      </c>
      <c r="J38" s="136">
        <f ca="1">ROUND(J34/C39,3)</f>
        <v>0</v>
      </c>
      <c r="K38" s="906"/>
      <c r="L38" s="901"/>
      <c r="M38" s="901"/>
    </row>
    <row r="39" spans="1:18" ht="18" customHeight="1" thickTop="1">
      <c r="A39" s="1021" t="s">
        <v>22</v>
      </c>
      <c r="B39" s="1036" t="s">
        <v>1885</v>
      </c>
      <c r="C39" s="243">
        <f ca="1">C5-C30</f>
        <v>467280</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10420939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34</v>
      </c>
      <c r="H41" s="908"/>
      <c r="I41" s="135" t="s">
        <v>1762</v>
      </c>
      <c r="J41" s="136">
        <f ca="1">ROUND(C13/C40,3)</f>
        <v>0.23100000000000001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0.76900000000000002</v>
      </c>
      <c r="K42" s="905"/>
      <c r="L42" s="908"/>
      <c r="M42" s="908"/>
      <c r="Q42" s="656"/>
    </row>
    <row r="43" spans="1:18" s="652" customFormat="1" ht="18" customHeight="1" thickBot="1">
      <c r="A43" s="271" t="s">
        <v>24</v>
      </c>
      <c r="B43" s="272" t="s">
        <v>1891</v>
      </c>
      <c r="C43" s="273">
        <f ca="1">ROUND(C40/F43,0)</f>
        <v>16929</v>
      </c>
      <c r="D43" s="274" t="s">
        <v>1892</v>
      </c>
      <c r="E43" s="275" t="s">
        <v>1893</v>
      </c>
      <c r="F43" s="276">
        <f>IF(D1="仅计算典型户型",'数据-取费表'!E5,'数据-取费表'!B5)</f>
        <v>615.55999999999995</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10420939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-1119</v>
      </c>
      <c r="D47" s="1456" t="str">
        <f>C2</f>
        <v>万元</v>
      </c>
      <c r="E47" s="649"/>
      <c r="F47" s="649"/>
      <c r="I47" s="1457" t="s">
        <v>1904</v>
      </c>
      <c r="J47" s="981"/>
      <c r="K47" s="982"/>
      <c r="L47" s="995" t="str">
        <f>IF(M48="住宅",0,IF(L49&gt;J52,L61,J61))</f>
        <v>0</v>
      </c>
      <c r="O47" s="1009" t="s">
        <v>769</v>
      </c>
      <c r="P47" s="1006" t="s">
        <v>1905</v>
      </c>
      <c r="Q47" s="1007">
        <f ca="1">C29</f>
        <v>3128226</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34</v>
      </c>
      <c r="R50" s="1008" t="s">
        <v>1923</v>
      </c>
    </row>
    <row r="51" spans="1:18" s="652" customFormat="1" ht="15.75" thickBot="1">
      <c r="A51" s="237"/>
      <c r="B51" s="238"/>
      <c r="C51" s="239"/>
      <c r="D51" s="240"/>
      <c r="E51" s="255" t="s">
        <v>1777</v>
      </c>
      <c r="F51" s="943">
        <f>F7</f>
        <v>615.55999999999995</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1042</v>
      </c>
      <c r="R51" s="1008" t="s">
        <v>774</v>
      </c>
    </row>
    <row r="52" spans="1:18" s="652" customFormat="1" ht="16.5" thickBot="1">
      <c r="A52" s="237"/>
      <c r="B52" s="238"/>
      <c r="C52" s="239"/>
      <c r="D52" s="240"/>
      <c r="E52" s="235" t="s">
        <v>1779</v>
      </c>
      <c r="F52" s="236">
        <f>F8</f>
        <v>365</v>
      </c>
      <c r="I52" s="1466" t="s">
        <v>1926</v>
      </c>
      <c r="J52" s="986">
        <f>IF(J50="",J51,J50+J51-YEAR('数据-取费表'!B2))</f>
        <v>46</v>
      </c>
      <c r="K52" s="1467" t="s">
        <v>1927</v>
      </c>
      <c r="L52" s="987">
        <f ca="1">ROUND(-PV('数据-取费表'!B15,J52,(C40-C13*J35)),0)</f>
        <v>201002935</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34</v>
      </c>
      <c r="K54" s="3557" t="s">
        <v>2460</v>
      </c>
      <c r="L54" s="3558"/>
      <c r="O54" s="1005" t="s">
        <v>767</v>
      </c>
      <c r="P54" s="1006" t="s">
        <v>1899</v>
      </c>
      <c r="Q54" s="1007">
        <f ca="1">C40+J29</f>
        <v>10420939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2408734</v>
      </c>
      <c r="D57" s="941"/>
      <c r="E57" s="942"/>
      <c r="F57" s="949"/>
      <c r="I57" s="1475" t="s">
        <v>1936</v>
      </c>
      <c r="J57" s="993" t="s">
        <v>3042</v>
      </c>
      <c r="K57" s="1461" t="s">
        <v>1937</v>
      </c>
      <c r="L57" s="821" t="str">
        <f>IF(L49&lt;J52,"——",L49-J52)</f>
        <v>——</v>
      </c>
      <c r="O57" s="1009" t="s">
        <v>770</v>
      </c>
      <c r="P57" s="1006" t="s">
        <v>1938</v>
      </c>
      <c r="Q57" s="1010">
        <f>L53</f>
        <v>0</v>
      </c>
      <c r="R57" s="1008"/>
    </row>
    <row r="58" spans="1:18" s="652" customFormat="1" ht="29.25" thickBot="1">
      <c r="A58" s="948"/>
      <c r="B58" s="235" t="s">
        <v>1868</v>
      </c>
      <c r="C58" s="104">
        <f ca="1">C29</f>
        <v>3128226</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50536</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1042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10420939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46923</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201002935</v>
      </c>
      <c r="R65" s="1012" t="s">
        <v>1962</v>
      </c>
    </row>
    <row r="66" spans="1:18" s="652" customFormat="1" ht="20.25" thickBot="1">
      <c r="A66" s="253" t="s">
        <v>20</v>
      </c>
      <c r="B66" s="235" t="s">
        <v>1840</v>
      </c>
      <c r="C66" s="13">
        <f ca="1">ROUND(C57*F66,0)</f>
        <v>3613</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467280</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467280</v>
      </c>
      <c r="R67" s="1008" t="s">
        <v>1900</v>
      </c>
    </row>
    <row r="68" spans="1:18" ht="15.75" thickBot="1">
      <c r="A68" s="248" t="s">
        <v>22</v>
      </c>
      <c r="B68" s="41" t="s">
        <v>1850</v>
      </c>
      <c r="C68" s="250">
        <f ca="1">C49-C59</f>
        <v>-50536</v>
      </c>
      <c r="D68" s="1256" t="s">
        <v>1851</v>
      </c>
      <c r="E68" s="1258"/>
      <c r="F68" s="268"/>
      <c r="H68" s="652"/>
      <c r="I68" s="652"/>
      <c r="J68" s="652"/>
      <c r="K68" s="652"/>
      <c r="L68" s="652"/>
      <c r="M68" s="652"/>
      <c r="O68" s="1009" t="s">
        <v>776</v>
      </c>
      <c r="P68" s="1013" t="s">
        <v>1966</v>
      </c>
      <c r="Q68" s="1007">
        <f ca="1">C13</f>
        <v>2408734</v>
      </c>
      <c r="R68" s="1008" t="s">
        <v>1900</v>
      </c>
    </row>
    <row r="69" spans="1:18" ht="15.75" thickBot="1">
      <c r="A69" s="232" t="s">
        <v>23</v>
      </c>
      <c r="B69" s="233" t="s">
        <v>1888</v>
      </c>
      <c r="C69" s="234">
        <f ca="1">ROUND(C68*(1-((1+F71)/(1+F69))^F70)/(F69-F71),0)</f>
        <v>-770019</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-1251</v>
      </c>
      <c r="D72" s="274" t="s">
        <v>1892</v>
      </c>
      <c r="E72" s="275" t="s">
        <v>1893</v>
      </c>
      <c r="F72" s="276">
        <f>F43</f>
        <v>615.55999999999995</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1042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615.55999999999995</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44746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615.55999999999995</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44746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615.55999999999995</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44746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615.55999999999995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44746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615.55999999999995</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44746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615.55999999999995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44746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44746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115</v>
      </c>
      <c r="G10" s="1686"/>
      <c r="H10" s="1626">
        <f>ROUND(100/'数据-取费表'!B14,0)</f>
        <v>115</v>
      </c>
      <c r="I10" s="1686"/>
      <c r="J10" s="1626">
        <f>ROUND(100/'数据-取费表'!B14,0)</f>
        <v>115</v>
      </c>
      <c r="K10" s="1898"/>
      <c r="L10" s="2917"/>
      <c r="M10" s="2918"/>
      <c r="N10" s="2918"/>
      <c r="O10" s="2963"/>
      <c r="P10" s="3590"/>
      <c r="Q10" s="1563" t="str">
        <f t="shared" si="6"/>
        <v>土地使用年限（年）</v>
      </c>
      <c r="R10" s="1609" t="s">
        <v>25</v>
      </c>
      <c r="S10" s="1610">
        <f t="shared" si="0"/>
        <v>115</v>
      </c>
      <c r="T10" s="1609" t="s">
        <v>25</v>
      </c>
      <c r="U10" s="1610">
        <f t="shared" si="1"/>
        <v>115</v>
      </c>
      <c r="V10" s="1609" t="s">
        <v>25</v>
      </c>
      <c r="W10" s="1610">
        <f t="shared" si="2"/>
        <v>115</v>
      </c>
      <c r="X10" s="1611"/>
      <c r="Y10" s="3450"/>
      <c r="Z10" s="1622" t="str">
        <f t="shared" si="7"/>
        <v>土地使用年限（年）</v>
      </c>
      <c r="AA10" s="1612">
        <f t="shared" si="3"/>
        <v>0.86956521739130432</v>
      </c>
      <c r="AB10" s="1612">
        <f t="shared" si="4"/>
        <v>0.86956521739130432</v>
      </c>
      <c r="AC10" s="1612">
        <f t="shared" si="5"/>
        <v>0.86956521739130432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44746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115</v>
      </c>
      <c r="G10" s="322"/>
      <c r="H10" s="29">
        <f>ROUND(100/'数据-取费表'!B14,0)</f>
        <v>115</v>
      </c>
      <c r="I10" s="322"/>
      <c r="J10" s="29">
        <f>ROUND(100/'数据-取费表'!B14,0)</f>
        <v>115</v>
      </c>
      <c r="K10" s="553"/>
      <c r="L10" s="2948"/>
      <c r="M10" s="2949"/>
      <c r="N10" s="2949"/>
      <c r="O10" s="2950"/>
      <c r="P10" s="3633"/>
      <c r="Q10" s="1255" t="str">
        <f t="shared" si="6"/>
        <v>土地使用年限（年）</v>
      </c>
      <c r="R10" s="627" t="s">
        <v>25</v>
      </c>
      <c r="S10" s="628">
        <f t="shared" si="0"/>
        <v>115</v>
      </c>
      <c r="T10" s="627" t="s">
        <v>25</v>
      </c>
      <c r="U10" s="628">
        <f t="shared" si="1"/>
        <v>115</v>
      </c>
      <c r="V10" s="627" t="s">
        <v>25</v>
      </c>
      <c r="W10" s="628">
        <f t="shared" si="2"/>
        <v>115</v>
      </c>
      <c r="X10" s="629"/>
      <c r="Y10" s="3652"/>
      <c r="Z10" s="19" t="str">
        <f t="shared" si="7"/>
        <v>土地使用年限（年）</v>
      </c>
      <c r="AA10" s="630">
        <f t="shared" si="3"/>
        <v>0.86956521739130432</v>
      </c>
      <c r="AB10" s="630">
        <f t="shared" si="4"/>
        <v>0.86956521739130432</v>
      </c>
      <c r="AC10" s="630">
        <f t="shared" si="5"/>
        <v>0.86956521739130432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估价对象为北京市房地产，为XX所有。根据《》[]，估价对象建筑面积为615.56平方米。根据《》[]，估价对象（分摊）出让国有建设用地使用权面积为平方米。估价对象用途为。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2022年7月4日（评估专业人员实地查勘之日）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615.55999999999995</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44746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0.83720000000000006</v>
      </c>
      <c r="D20" s="2130" t="s">
        <v>2354</v>
      </c>
      <c r="E20" s="3072">
        <f>存贷款利率!E21/100</f>
        <v>4.3499999999999997E-2</v>
      </c>
      <c r="F20" s="2130" t="s">
        <v>2343</v>
      </c>
      <c r="G20" s="3073">
        <f>SUMIF(M26:P26,E2,M28:P28)</f>
        <v>0.05</v>
      </c>
      <c r="H20" s="2130" t="s">
        <v>2355</v>
      </c>
      <c r="I20" s="2131">
        <f>'数据-取费表'!B13</f>
        <v>34</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615.55999999999995</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E8" sqref="E8"/>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44746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615.55999999999995</v>
      </c>
      <c r="D6" s="3346"/>
      <c r="E6" s="1287"/>
    </row>
    <row r="7" spans="1:5" ht="14.25">
      <c r="A7" s="1287"/>
      <c r="B7" s="3340" t="s">
        <v>594</v>
      </c>
      <c r="C7" s="1293" t="str">
        <f>IF('数据-取费表'!B3="万元","总价（万元）","总价（元）")</f>
        <v>总价（万元）</v>
      </c>
      <c r="D7" s="1294">
        <f ca="1">IF('数据-取费表'!E3="否",结果表!I102,'结果表 (1修多)'!I104)</f>
        <v>1065</v>
      </c>
      <c r="E7" s="1287"/>
    </row>
    <row r="8" spans="1:5" ht="14.25">
      <c r="A8" s="1287"/>
      <c r="B8" s="3340"/>
      <c r="C8" s="1295" t="s">
        <v>924</v>
      </c>
      <c r="D8" s="1296" t="str">
        <f ca="1">IF('数据-取费表'!B3="万元",NUMBERSTRING(INT(D7*10000),2)&amp;"元整",NUMBERSTRING(INT(D7),2)&amp;"元整")</f>
        <v>壹仟零陆拾伍万元整</v>
      </c>
      <c r="E8" s="1287"/>
    </row>
    <row r="9" spans="1:5" ht="14.25">
      <c r="A9" s="1287"/>
      <c r="B9" s="3340"/>
      <c r="C9" s="1297" t="s">
        <v>1020</v>
      </c>
      <c r="D9" s="1294">
        <f ca="1">IF('数据-取费表'!E3="否",结果表!I103,'结果表 (1修多)'!I105)</f>
        <v>17301</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1065</v>
      </c>
      <c r="E15" s="1287"/>
    </row>
    <row r="16" spans="1:5" ht="14.25">
      <c r="A16" s="1287"/>
      <c r="B16" s="3347"/>
      <c r="C16" s="1295" t="s">
        <v>924</v>
      </c>
      <c r="D16" s="1294" t="str">
        <f ca="1">IF('数据-取费表'!B3="万元",NUMBERSTRING(INT(D15*10000),2)&amp;"元整",NUMBERSTRING(INT(D15),2)&amp;"元整")</f>
        <v>壹仟零陆拾伍万元整</v>
      </c>
      <c r="E16" s="1287"/>
    </row>
    <row r="17" spans="1:5" ht="14.25">
      <c r="A17" s="1287"/>
      <c r="B17" s="3347"/>
      <c r="C17" s="1297" t="s">
        <v>1020</v>
      </c>
      <c r="D17" s="1294">
        <f ca="1">IF('数据-取费表'!E3="否",结果表!I111,'结果表 (1修多)'!I113)</f>
        <v>17301</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1065</v>
      </c>
      <c r="E28" s="1287"/>
    </row>
    <row r="29" spans="1:5" ht="14.25">
      <c r="A29" s="1287"/>
      <c r="B29" s="3326"/>
      <c r="C29" s="1306" t="s">
        <v>924</v>
      </c>
      <c r="D29" s="1307" t="str">
        <f ca="1">IF('数据-取费表'!B3="万元",NUMBERSTRING(INT(D28*10000),2)&amp;"元整",NUMBERSTRING(INT(D28),2)&amp;"元整")</f>
        <v>壹仟零陆拾伍万元整</v>
      </c>
      <c r="E29" s="1287"/>
    </row>
    <row r="30" spans="1:5" ht="14.25">
      <c r="A30" s="1287"/>
      <c r="B30" s="3327"/>
      <c r="C30" s="1297" t="s">
        <v>927</v>
      </c>
      <c r="D30" s="1308">
        <f ca="1">IF('数据-取费表'!E3="否",结果表!I103,'结果表 (1修多)'!I105)</f>
        <v>17301</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1065</v>
      </c>
      <c r="E36" s="1287"/>
    </row>
    <row r="37" spans="1:5" ht="14.25">
      <c r="A37" s="1287"/>
      <c r="B37" s="3328"/>
      <c r="C37" s="1306" t="s">
        <v>924</v>
      </c>
      <c r="D37" s="1311" t="str">
        <f ca="1">IF('数据-取费表'!B3="万元",NUMBERSTRING(INT(D36*10000),2)&amp;"元整",NUMBERSTRING(INT(D36),2)&amp;"元整")</f>
        <v>壹仟零陆拾伍万元整</v>
      </c>
      <c r="E37" s="1287"/>
    </row>
    <row r="38" spans="1:5" ht="14.25">
      <c r="A38" s="1287"/>
      <c r="B38" s="3328"/>
      <c r="C38" s="1297" t="s">
        <v>928</v>
      </c>
      <c r="D38" s="1308">
        <f ca="1">IF('数据-取费表'!E3="否",结果表!D113,'结果表 (1修多)'!D117)</f>
        <v>17301</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615.55999999999995</v>
      </c>
      <c r="C4" s="776">
        <f>结果表!C121</f>
        <v>0</v>
      </c>
      <c r="D4" s="776">
        <f ca="1">IF('数据-取费表'!E3="否",结果表!D121,'结果表 (1修多)'!D125)</f>
        <v>819</v>
      </c>
      <c r="E4" s="776">
        <f ca="1">IF('数据-取费表'!E3="否",结果表!E121,'结果表 (1修多)'!E125)</f>
        <v>13305</v>
      </c>
      <c r="F4" s="776">
        <f ca="1">IF('数据-取费表'!E3="否",结果表!F121,'结果表 (1修多)'!F125)</f>
        <v>246</v>
      </c>
      <c r="G4" s="776">
        <f ca="1">IF('数据-取费表'!E3="否",结果表!G121,'结果表 (1修多)'!G125)</f>
        <v>3996</v>
      </c>
      <c r="H4" s="776">
        <f ca="1">IF('数据-取费表'!E3="否",结果表!H121,'结果表 (1修多)'!H125)</f>
        <v>1065</v>
      </c>
      <c r="I4" s="776">
        <f ca="1">IF('数据-取费表'!E3="否",结果表!I121,'结果表 (1修多)'!I125)</f>
        <v>17301</v>
      </c>
    </row>
    <row r="5" spans="1:9" ht="15">
      <c r="A5" s="3348" t="s">
        <v>1030</v>
      </c>
      <c r="B5" s="3348"/>
      <c r="C5" s="3348"/>
      <c r="D5" s="3349" t="str">
        <f ca="1">IF('数据-取费表'!E3="否",结果表!D122,'结果表 (1修多)'!D126)</f>
        <v>捌佰壹拾玖万元整</v>
      </c>
      <c r="E5" s="3349"/>
      <c r="F5" s="3349" t="str">
        <f ca="1">IF('数据-取费表'!E3="否",结果表!F122,'结果表 (1修多)'!F126)</f>
        <v>贰佰肆拾陆万元整</v>
      </c>
      <c r="G5" s="3349"/>
      <c r="H5" s="3349" t="str">
        <f ca="1">IF('数据-取费表'!E3="否",结果表!H122,'结果表 (1修多)'!H126)</f>
        <v>壹仟零陆拾伍万元整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1065</v>
      </c>
      <c r="E8" s="3350"/>
      <c r="F8" s="3350"/>
      <c r="G8" s="3350"/>
      <c r="H8" s="3350"/>
      <c r="I8" s="3350"/>
    </row>
    <row r="9" spans="1:9" ht="15">
      <c r="A9" s="3348" t="s">
        <v>1030</v>
      </c>
      <c r="B9" s="3348"/>
      <c r="C9" s="3348"/>
      <c r="D9" s="3349">
        <f ca="1">IF('数据-取费表'!E3="否",结果表!D126,'结果表 (1修多)'!D130)</f>
        <v>17301</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44747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2022-07-05T06:20:35Z</dcterms:modified>
</cp:coreProperties>
</file>